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630"/>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RC1015 .E47 1983</t>
        </is>
      </c>
      <c r="C2" t="inlineStr">
        <is>
          <t>0                      RC 1015000E  47          1983</t>
        </is>
      </c>
      <c r="D2" t="inlineStr">
        <is>
          <t>Diving and asphyxia : a comparative study of animals and man / Robert Elsner, Brett Gooden.</t>
        </is>
      </c>
      <c r="F2" t="inlineStr">
        <is>
          <t>No</t>
        </is>
      </c>
      <c r="G2" t="inlineStr">
        <is>
          <t>1</t>
        </is>
      </c>
      <c r="H2" t="inlineStr">
        <is>
          <t>No</t>
        </is>
      </c>
      <c r="I2" t="inlineStr">
        <is>
          <t>No</t>
        </is>
      </c>
      <c r="J2" t="inlineStr">
        <is>
          <t>0</t>
        </is>
      </c>
      <c r="K2" t="inlineStr">
        <is>
          <t>Elsner, Robert.</t>
        </is>
      </c>
      <c r="L2" t="inlineStr">
        <is>
          <t>Cambridge [Cambridgeshire] ; New York : Cambridge University Press, 1983.</t>
        </is>
      </c>
      <c r="M2" t="inlineStr">
        <is>
          <t>1983</t>
        </is>
      </c>
      <c r="O2" t="inlineStr">
        <is>
          <t>eng</t>
        </is>
      </c>
      <c r="P2" t="inlineStr">
        <is>
          <t>enk</t>
        </is>
      </c>
      <c r="Q2" t="inlineStr">
        <is>
          <t>Monographs of the Physiological Society ; no. 40</t>
        </is>
      </c>
      <c r="R2" t="inlineStr">
        <is>
          <t xml:space="preserve">RC </t>
        </is>
      </c>
      <c r="S2" t="n">
        <v>6</v>
      </c>
      <c r="T2" t="n">
        <v>6</v>
      </c>
      <c r="U2" t="inlineStr">
        <is>
          <t>2004-02-18</t>
        </is>
      </c>
      <c r="V2" t="inlineStr">
        <is>
          <t>2004-02-18</t>
        </is>
      </c>
      <c r="W2" t="inlineStr">
        <is>
          <t>1993-03-24</t>
        </is>
      </c>
      <c r="X2" t="inlineStr">
        <is>
          <t>1993-03-24</t>
        </is>
      </c>
      <c r="Y2" t="n">
        <v>261</v>
      </c>
      <c r="Z2" t="n">
        <v>175</v>
      </c>
      <c r="AA2" t="n">
        <v>185</v>
      </c>
      <c r="AB2" t="n">
        <v>1</v>
      </c>
      <c r="AC2" t="n">
        <v>1</v>
      </c>
      <c r="AD2" t="n">
        <v>4</v>
      </c>
      <c r="AE2" t="n">
        <v>4</v>
      </c>
      <c r="AF2" t="n">
        <v>1</v>
      </c>
      <c r="AG2" t="n">
        <v>1</v>
      </c>
      <c r="AH2" t="n">
        <v>1</v>
      </c>
      <c r="AI2" t="n">
        <v>1</v>
      </c>
      <c r="AJ2" t="n">
        <v>4</v>
      </c>
      <c r="AK2" t="n">
        <v>4</v>
      </c>
      <c r="AL2" t="n">
        <v>0</v>
      </c>
      <c r="AM2" t="n">
        <v>0</v>
      </c>
      <c r="AN2" t="n">
        <v>0</v>
      </c>
      <c r="AO2" t="n">
        <v>0</v>
      </c>
      <c r="AP2" t="inlineStr">
        <is>
          <t>No</t>
        </is>
      </c>
      <c r="AQ2" t="inlineStr">
        <is>
          <t>No</t>
        </is>
      </c>
      <c r="AS2">
        <f>HYPERLINK("https://creighton-primo.hosted.exlibrisgroup.com/primo-explore/search?tab=default_tab&amp;search_scope=EVERYTHING&amp;vid=01CRU&amp;lang=en_US&amp;offset=0&amp;query=any,contains,991000112819702656","Catalog Record")</f>
        <v/>
      </c>
      <c r="AT2">
        <f>HYPERLINK("http://www.worldcat.org/oclc/9018209","WorldCat Record")</f>
        <v/>
      </c>
      <c r="AU2" t="inlineStr">
        <is>
          <t>372035616:eng</t>
        </is>
      </c>
      <c r="AV2" t="inlineStr">
        <is>
          <t>9018209</t>
        </is>
      </c>
      <c r="AW2" t="inlineStr">
        <is>
          <t>991000112819702656</t>
        </is>
      </c>
      <c r="AX2" t="inlineStr">
        <is>
          <t>991000112819702656</t>
        </is>
      </c>
      <c r="AY2" t="inlineStr">
        <is>
          <t>2258536620002656</t>
        </is>
      </c>
      <c r="AZ2" t="inlineStr">
        <is>
          <t>BOOK</t>
        </is>
      </c>
      <c r="BB2" t="inlineStr">
        <is>
          <t>9780521250689</t>
        </is>
      </c>
      <c r="BC2" t="inlineStr">
        <is>
          <t>32285001608255</t>
        </is>
      </c>
      <c r="BD2" t="inlineStr">
        <is>
          <t>893249092</t>
        </is>
      </c>
    </row>
    <row r="3">
      <c r="A3" t="inlineStr">
        <is>
          <t>No</t>
        </is>
      </c>
      <c r="B3" t="inlineStr">
        <is>
          <t>RC1015 .M36 1987</t>
        </is>
      </c>
      <c r="C3" t="inlineStr">
        <is>
          <t>0                      RC 1015000M  36          1987</t>
        </is>
      </c>
      <c r="D3" t="inlineStr">
        <is>
          <t>Man in stressful environments : diving, hyper- and hypobaric physiology / edited by Keizo Shiraki, Mohamed K. Yousef.</t>
        </is>
      </c>
      <c r="F3" t="inlineStr">
        <is>
          <t>No</t>
        </is>
      </c>
      <c r="G3" t="inlineStr">
        <is>
          <t>1</t>
        </is>
      </c>
      <c r="H3" t="inlineStr">
        <is>
          <t>No</t>
        </is>
      </c>
      <c r="I3" t="inlineStr">
        <is>
          <t>No</t>
        </is>
      </c>
      <c r="J3" t="inlineStr">
        <is>
          <t>0</t>
        </is>
      </c>
      <c r="L3" t="inlineStr">
        <is>
          <t>Springfield, Ill., U.S.A. : C.C. Thomas, c1987.</t>
        </is>
      </c>
      <c r="M3" t="inlineStr">
        <is>
          <t>1987</t>
        </is>
      </c>
      <c r="O3" t="inlineStr">
        <is>
          <t>eng</t>
        </is>
      </c>
      <c r="P3" t="inlineStr">
        <is>
          <t>ilu</t>
        </is>
      </c>
      <c r="Q3" t="inlineStr">
        <is>
          <t>American lecture series ; publication no. 1072</t>
        </is>
      </c>
      <c r="R3" t="inlineStr">
        <is>
          <t xml:space="preserve">RC </t>
        </is>
      </c>
      <c r="S3" t="n">
        <v>6</v>
      </c>
      <c r="T3" t="n">
        <v>6</v>
      </c>
      <c r="U3" t="inlineStr">
        <is>
          <t>2004-02-18</t>
        </is>
      </c>
      <c r="V3" t="inlineStr">
        <is>
          <t>2004-02-18</t>
        </is>
      </c>
      <c r="W3" t="inlineStr">
        <is>
          <t>1991-12-09</t>
        </is>
      </c>
      <c r="X3" t="inlineStr">
        <is>
          <t>1991-12-09</t>
        </is>
      </c>
      <c r="Y3" t="n">
        <v>77</v>
      </c>
      <c r="Z3" t="n">
        <v>60</v>
      </c>
      <c r="AA3" t="n">
        <v>61</v>
      </c>
      <c r="AB3" t="n">
        <v>1</v>
      </c>
      <c r="AC3" t="n">
        <v>1</v>
      </c>
      <c r="AD3" t="n">
        <v>0</v>
      </c>
      <c r="AE3" t="n">
        <v>0</v>
      </c>
      <c r="AF3" t="n">
        <v>0</v>
      </c>
      <c r="AG3" t="n">
        <v>0</v>
      </c>
      <c r="AH3" t="n">
        <v>0</v>
      </c>
      <c r="AI3" t="n">
        <v>0</v>
      </c>
      <c r="AJ3" t="n">
        <v>0</v>
      </c>
      <c r="AK3" t="n">
        <v>0</v>
      </c>
      <c r="AL3" t="n">
        <v>0</v>
      </c>
      <c r="AM3" t="n">
        <v>0</v>
      </c>
      <c r="AN3" t="n">
        <v>0</v>
      </c>
      <c r="AO3" t="n">
        <v>0</v>
      </c>
      <c r="AP3" t="inlineStr">
        <is>
          <t>No</t>
        </is>
      </c>
      <c r="AQ3" t="inlineStr">
        <is>
          <t>Yes</t>
        </is>
      </c>
      <c r="AR3">
        <f>HYPERLINK("http://catalog.hathitrust.org/Record/008331410","HathiTrust Record")</f>
        <v/>
      </c>
      <c r="AS3">
        <f>HYPERLINK("https://creighton-primo.hosted.exlibrisgroup.com/primo-explore/search?tab=default_tab&amp;search_scope=EVERYTHING&amp;vid=01CRU&amp;lang=en_US&amp;offset=0&amp;query=any,contains,991001035779702656","Catalog Record")</f>
        <v/>
      </c>
      <c r="AT3">
        <f>HYPERLINK("http://www.worldcat.org/oclc/15548987","WorldCat Record")</f>
        <v/>
      </c>
      <c r="AU3" t="inlineStr">
        <is>
          <t>794365896:eng</t>
        </is>
      </c>
      <c r="AV3" t="inlineStr">
        <is>
          <t>15548987</t>
        </is>
      </c>
      <c r="AW3" t="inlineStr">
        <is>
          <t>991001035779702656</t>
        </is>
      </c>
      <c r="AX3" t="inlineStr">
        <is>
          <t>991001035779702656</t>
        </is>
      </c>
      <c r="AY3" t="inlineStr">
        <is>
          <t>2261286740002656</t>
        </is>
      </c>
      <c r="AZ3" t="inlineStr">
        <is>
          <t>BOOK</t>
        </is>
      </c>
      <c r="BB3" t="inlineStr">
        <is>
          <t>9780398053611</t>
        </is>
      </c>
      <c r="BC3" t="inlineStr">
        <is>
          <t>32285000829704</t>
        </is>
      </c>
      <c r="BD3" t="inlineStr">
        <is>
          <t>893255954</t>
        </is>
      </c>
    </row>
    <row r="4">
      <c r="A4" t="inlineStr">
        <is>
          <t>No</t>
        </is>
      </c>
      <c r="B4" t="inlineStr">
        <is>
          <t>RC108 .C46 1988</t>
        </is>
      </c>
      <c r="C4" t="inlineStr">
        <is>
          <t>0                      RC 0108000C  46          1988</t>
        </is>
      </c>
      <c r="D4" t="inlineStr">
        <is>
          <t>Chronic illness and disability / edited by Catherine S. Chilman, Elam W. Nunnally, Fred M. Cox.</t>
        </is>
      </c>
      <c r="F4" t="inlineStr">
        <is>
          <t>No</t>
        </is>
      </c>
      <c r="G4" t="inlineStr">
        <is>
          <t>1</t>
        </is>
      </c>
      <c r="H4" t="inlineStr">
        <is>
          <t>No</t>
        </is>
      </c>
      <c r="I4" t="inlineStr">
        <is>
          <t>No</t>
        </is>
      </c>
      <c r="J4" t="inlineStr">
        <is>
          <t>0</t>
        </is>
      </c>
      <c r="L4" t="inlineStr">
        <is>
          <t>Newbury Park : Sage Publications, c1988.</t>
        </is>
      </c>
      <c r="M4" t="inlineStr">
        <is>
          <t>1988</t>
        </is>
      </c>
      <c r="O4" t="inlineStr">
        <is>
          <t>eng</t>
        </is>
      </c>
      <c r="P4" t="inlineStr">
        <is>
          <t>cau</t>
        </is>
      </c>
      <c r="Q4" t="inlineStr">
        <is>
          <t>Families in trouble series ; v. 2</t>
        </is>
      </c>
      <c r="R4" t="inlineStr">
        <is>
          <t xml:space="preserve">RC </t>
        </is>
      </c>
      <c r="S4" t="n">
        <v>29</v>
      </c>
      <c r="T4" t="n">
        <v>29</v>
      </c>
      <c r="U4" t="inlineStr">
        <is>
          <t>1998-02-26</t>
        </is>
      </c>
      <c r="V4" t="inlineStr">
        <is>
          <t>1998-02-26</t>
        </is>
      </c>
      <c r="W4" t="inlineStr">
        <is>
          <t>1995-02-28</t>
        </is>
      </c>
      <c r="X4" t="inlineStr">
        <is>
          <t>1995-02-28</t>
        </is>
      </c>
      <c r="Y4" t="n">
        <v>295</v>
      </c>
      <c r="Z4" t="n">
        <v>224</v>
      </c>
      <c r="AA4" t="n">
        <v>225</v>
      </c>
      <c r="AB4" t="n">
        <v>3</v>
      </c>
      <c r="AC4" t="n">
        <v>3</v>
      </c>
      <c r="AD4" t="n">
        <v>13</v>
      </c>
      <c r="AE4" t="n">
        <v>13</v>
      </c>
      <c r="AF4" t="n">
        <v>4</v>
      </c>
      <c r="AG4" t="n">
        <v>4</v>
      </c>
      <c r="AH4" t="n">
        <v>3</v>
      </c>
      <c r="AI4" t="n">
        <v>3</v>
      </c>
      <c r="AJ4" t="n">
        <v>7</v>
      </c>
      <c r="AK4" t="n">
        <v>7</v>
      </c>
      <c r="AL4" t="n">
        <v>2</v>
      </c>
      <c r="AM4" t="n">
        <v>2</v>
      </c>
      <c r="AN4" t="n">
        <v>0</v>
      </c>
      <c r="AO4" t="n">
        <v>0</v>
      </c>
      <c r="AP4" t="inlineStr">
        <is>
          <t>No</t>
        </is>
      </c>
      <c r="AQ4" t="inlineStr">
        <is>
          <t>No</t>
        </is>
      </c>
      <c r="AS4">
        <f>HYPERLINK("https://creighton-primo.hosted.exlibrisgroup.com/primo-explore/search?tab=default_tab&amp;search_scope=EVERYTHING&amp;vid=01CRU&amp;lang=en_US&amp;offset=0&amp;query=any,contains,991001481499702656","Catalog Record")</f>
        <v/>
      </c>
      <c r="AT4">
        <f>HYPERLINK("http://www.worldcat.org/oclc/19626492","WorldCat Record")</f>
        <v/>
      </c>
      <c r="AU4" t="inlineStr">
        <is>
          <t>375311821:eng</t>
        </is>
      </c>
      <c r="AV4" t="inlineStr">
        <is>
          <t>19626492</t>
        </is>
      </c>
      <c r="AW4" t="inlineStr">
        <is>
          <t>991001481499702656</t>
        </is>
      </c>
      <c r="AX4" t="inlineStr">
        <is>
          <t>991001481499702656</t>
        </is>
      </c>
      <c r="AY4" t="inlineStr">
        <is>
          <t>2264442490002656</t>
        </is>
      </c>
      <c r="AZ4" t="inlineStr">
        <is>
          <t>BOOK</t>
        </is>
      </c>
      <c r="BB4" t="inlineStr">
        <is>
          <t>9780803927049</t>
        </is>
      </c>
      <c r="BC4" t="inlineStr">
        <is>
          <t>32285001779585</t>
        </is>
      </c>
      <c r="BD4" t="inlineStr">
        <is>
          <t>893261847</t>
        </is>
      </c>
    </row>
    <row r="5">
      <c r="A5" t="inlineStr">
        <is>
          <t>No</t>
        </is>
      </c>
      <c r="B5" t="inlineStr">
        <is>
          <t>RC108 .C47 1984</t>
        </is>
      </c>
      <c r="C5" t="inlineStr">
        <is>
          <t>0                      RC 0108000C  47          1984</t>
        </is>
      </c>
      <c r="D5" t="inlineStr">
        <is>
          <t>Chronic illness and disability through the life span : effects on self and family / Myron G. Eisenberg, LaFaye C. Sutkin, Mary A. Jansen, editors.</t>
        </is>
      </c>
      <c r="F5" t="inlineStr">
        <is>
          <t>No</t>
        </is>
      </c>
      <c r="G5" t="inlineStr">
        <is>
          <t>1</t>
        </is>
      </c>
      <c r="H5" t="inlineStr">
        <is>
          <t>Yes</t>
        </is>
      </c>
      <c r="I5" t="inlineStr">
        <is>
          <t>No</t>
        </is>
      </c>
      <c r="J5" t="inlineStr">
        <is>
          <t>0</t>
        </is>
      </c>
      <c r="L5" t="inlineStr">
        <is>
          <t>New York : Springer Pub. Co., c1984.</t>
        </is>
      </c>
      <c r="M5" t="inlineStr">
        <is>
          <t>1984</t>
        </is>
      </c>
      <c r="O5" t="inlineStr">
        <is>
          <t>eng</t>
        </is>
      </c>
      <c r="P5" t="inlineStr">
        <is>
          <t>nyu</t>
        </is>
      </c>
      <c r="Q5" t="inlineStr">
        <is>
          <t>Springer series on rehabilitation ; v. 4</t>
        </is>
      </c>
      <c r="R5" t="inlineStr">
        <is>
          <t xml:space="preserve">RC </t>
        </is>
      </c>
      <c r="S5" t="n">
        <v>13</v>
      </c>
      <c r="T5" t="n">
        <v>13</v>
      </c>
      <c r="U5" t="inlineStr">
        <is>
          <t>1998-02-26</t>
        </is>
      </c>
      <c r="V5" t="inlineStr">
        <is>
          <t>1998-02-26</t>
        </is>
      </c>
      <c r="W5" t="inlineStr">
        <is>
          <t>1992-03-23</t>
        </is>
      </c>
      <c r="X5" t="inlineStr">
        <is>
          <t>1992-03-23</t>
        </is>
      </c>
      <c r="Y5" t="n">
        <v>468</v>
      </c>
      <c r="Z5" t="n">
        <v>404</v>
      </c>
      <c r="AA5" t="n">
        <v>411</v>
      </c>
      <c r="AB5" t="n">
        <v>4</v>
      </c>
      <c r="AC5" t="n">
        <v>4</v>
      </c>
      <c r="AD5" t="n">
        <v>17</v>
      </c>
      <c r="AE5" t="n">
        <v>17</v>
      </c>
      <c r="AF5" t="n">
        <v>5</v>
      </c>
      <c r="AG5" t="n">
        <v>5</v>
      </c>
      <c r="AH5" t="n">
        <v>3</v>
      </c>
      <c r="AI5" t="n">
        <v>3</v>
      </c>
      <c r="AJ5" t="n">
        <v>12</v>
      </c>
      <c r="AK5" t="n">
        <v>12</v>
      </c>
      <c r="AL5" t="n">
        <v>2</v>
      </c>
      <c r="AM5" t="n">
        <v>2</v>
      </c>
      <c r="AN5" t="n">
        <v>0</v>
      </c>
      <c r="AO5" t="n">
        <v>0</v>
      </c>
      <c r="AP5" t="inlineStr">
        <is>
          <t>No</t>
        </is>
      </c>
      <c r="AQ5" t="inlineStr">
        <is>
          <t>Yes</t>
        </is>
      </c>
      <c r="AR5">
        <f>HYPERLINK("http://catalog.hathitrust.org/Record/000166285","HathiTrust Record")</f>
        <v/>
      </c>
      <c r="AS5">
        <f>HYPERLINK("https://creighton-primo.hosted.exlibrisgroup.com/primo-explore/search?tab=default_tab&amp;search_scope=EVERYTHING&amp;vid=01CRU&amp;lang=en_US&amp;offset=0&amp;query=any,contains,991000322839702656","Catalog Record")</f>
        <v/>
      </c>
      <c r="AT5">
        <f>HYPERLINK("http://www.worldcat.org/oclc/10161487","WorldCat Record")</f>
        <v/>
      </c>
      <c r="AU5" t="inlineStr">
        <is>
          <t>355903191:eng</t>
        </is>
      </c>
      <c r="AV5" t="inlineStr">
        <is>
          <t>10161487</t>
        </is>
      </c>
      <c r="AW5" t="inlineStr">
        <is>
          <t>991000322839702656</t>
        </is>
      </c>
      <c r="AX5" t="inlineStr">
        <is>
          <t>991000322839702656</t>
        </is>
      </c>
      <c r="AY5" t="inlineStr">
        <is>
          <t>2265439230002656</t>
        </is>
      </c>
      <c r="AZ5" t="inlineStr">
        <is>
          <t>BOOK</t>
        </is>
      </c>
      <c r="BB5" t="inlineStr">
        <is>
          <t>9780826141804</t>
        </is>
      </c>
      <c r="BC5" t="inlineStr">
        <is>
          <t>32285001026706</t>
        </is>
      </c>
      <c r="BD5" t="inlineStr">
        <is>
          <t>893413266</t>
        </is>
      </c>
    </row>
    <row r="6">
      <c r="A6" t="inlineStr">
        <is>
          <t>No</t>
        </is>
      </c>
      <c r="B6" t="inlineStr">
        <is>
          <t>RC108 .E65 1988</t>
        </is>
      </c>
      <c r="C6" t="inlineStr">
        <is>
          <t>0                      RC 0108000E  65          1988</t>
        </is>
      </c>
      <c r="D6" t="inlineStr">
        <is>
          <t>Epidemiology, behavior change, and intervention in chronic disease / edited by Linda K. Hall, G. Curt Meyer.</t>
        </is>
      </c>
      <c r="F6" t="inlineStr">
        <is>
          <t>No</t>
        </is>
      </c>
      <c r="G6" t="inlineStr">
        <is>
          <t>1</t>
        </is>
      </c>
      <c r="H6" t="inlineStr">
        <is>
          <t>No</t>
        </is>
      </c>
      <c r="I6" t="inlineStr">
        <is>
          <t>No</t>
        </is>
      </c>
      <c r="J6" t="inlineStr">
        <is>
          <t>0</t>
        </is>
      </c>
      <c r="L6" t="inlineStr">
        <is>
          <t>Champaign, Ill. : Life Enhancement Publications, c1988.</t>
        </is>
      </c>
      <c r="M6" t="inlineStr">
        <is>
          <t>1988</t>
        </is>
      </c>
      <c r="O6" t="inlineStr">
        <is>
          <t>eng</t>
        </is>
      </c>
      <c r="P6" t="inlineStr">
        <is>
          <t>ilu</t>
        </is>
      </c>
      <c r="Q6" t="inlineStr">
        <is>
          <t>La Crosse exercise and health series, 0894-4261</t>
        </is>
      </c>
      <c r="R6" t="inlineStr">
        <is>
          <t xml:space="preserve">RC </t>
        </is>
      </c>
      <c r="S6" t="n">
        <v>6</v>
      </c>
      <c r="T6" t="n">
        <v>6</v>
      </c>
      <c r="U6" t="inlineStr">
        <is>
          <t>1997-09-07</t>
        </is>
      </c>
      <c r="V6" t="inlineStr">
        <is>
          <t>1997-09-07</t>
        </is>
      </c>
      <c r="W6" t="inlineStr">
        <is>
          <t>1992-03-20</t>
        </is>
      </c>
      <c r="X6" t="inlineStr">
        <is>
          <t>1992-03-20</t>
        </is>
      </c>
      <c r="Y6" t="n">
        <v>195</v>
      </c>
      <c r="Z6" t="n">
        <v>144</v>
      </c>
      <c r="AA6" t="n">
        <v>146</v>
      </c>
      <c r="AB6" t="n">
        <v>1</v>
      </c>
      <c r="AC6" t="n">
        <v>1</v>
      </c>
      <c r="AD6" t="n">
        <v>2</v>
      </c>
      <c r="AE6" t="n">
        <v>2</v>
      </c>
      <c r="AF6" t="n">
        <v>0</v>
      </c>
      <c r="AG6" t="n">
        <v>0</v>
      </c>
      <c r="AH6" t="n">
        <v>1</v>
      </c>
      <c r="AI6" t="n">
        <v>1</v>
      </c>
      <c r="AJ6" t="n">
        <v>1</v>
      </c>
      <c r="AK6" t="n">
        <v>1</v>
      </c>
      <c r="AL6" t="n">
        <v>0</v>
      </c>
      <c r="AM6" t="n">
        <v>0</v>
      </c>
      <c r="AN6" t="n">
        <v>0</v>
      </c>
      <c r="AO6" t="n">
        <v>0</v>
      </c>
      <c r="AP6" t="inlineStr">
        <is>
          <t>No</t>
        </is>
      </c>
      <c r="AQ6" t="inlineStr">
        <is>
          <t>Yes</t>
        </is>
      </c>
      <c r="AR6">
        <f>HYPERLINK("http://catalog.hathitrust.org/Record/004409227","HathiTrust Record")</f>
        <v/>
      </c>
      <c r="AS6">
        <f>HYPERLINK("https://creighton-primo.hosted.exlibrisgroup.com/primo-explore/search?tab=default_tab&amp;search_scope=EVERYTHING&amp;vid=01CRU&amp;lang=en_US&amp;offset=0&amp;query=any,contains,991001135449702656","Catalog Record")</f>
        <v/>
      </c>
      <c r="AT6">
        <f>HYPERLINK("http://www.worldcat.org/oclc/16709566","WorldCat Record")</f>
        <v/>
      </c>
      <c r="AU6" t="inlineStr">
        <is>
          <t>355822180:eng</t>
        </is>
      </c>
      <c r="AV6" t="inlineStr">
        <is>
          <t>16709566</t>
        </is>
      </c>
      <c r="AW6" t="inlineStr">
        <is>
          <t>991001135449702656</t>
        </is>
      </c>
      <c r="AX6" t="inlineStr">
        <is>
          <t>991001135449702656</t>
        </is>
      </c>
      <c r="AY6" t="inlineStr">
        <is>
          <t>2257093200002656</t>
        </is>
      </c>
      <c r="AZ6" t="inlineStr">
        <is>
          <t>BOOK</t>
        </is>
      </c>
      <c r="BB6" t="inlineStr">
        <is>
          <t>9780873229128</t>
        </is>
      </c>
      <c r="BC6" t="inlineStr">
        <is>
          <t>32285001003044</t>
        </is>
      </c>
      <c r="BD6" t="inlineStr">
        <is>
          <t>893885068</t>
        </is>
      </c>
    </row>
    <row r="7">
      <c r="A7" t="inlineStr">
        <is>
          <t>No</t>
        </is>
      </c>
      <c r="B7" t="inlineStr">
        <is>
          <t>RC108 .G66 1997</t>
        </is>
      </c>
      <c r="C7" t="inlineStr">
        <is>
          <t>0                      RC 0108000G  66          1997</t>
        </is>
      </c>
      <c r="D7" t="inlineStr">
        <is>
          <t>Treating people with chronic disease : a psychological guide / Carol D. Goodheart and Martha H. Lansing.</t>
        </is>
      </c>
      <c r="F7" t="inlineStr">
        <is>
          <t>No</t>
        </is>
      </c>
      <c r="G7" t="inlineStr">
        <is>
          <t>1</t>
        </is>
      </c>
      <c r="H7" t="inlineStr">
        <is>
          <t>Yes</t>
        </is>
      </c>
      <c r="I7" t="inlineStr">
        <is>
          <t>No</t>
        </is>
      </c>
      <c r="J7" t="inlineStr">
        <is>
          <t>0</t>
        </is>
      </c>
      <c r="K7" t="inlineStr">
        <is>
          <t>Goodheart, Carol D.</t>
        </is>
      </c>
      <c r="L7" t="inlineStr">
        <is>
          <t>Washington, DC : American Psychological Association, c1997.</t>
        </is>
      </c>
      <c r="M7" t="inlineStr">
        <is>
          <t>1997</t>
        </is>
      </c>
      <c r="O7" t="inlineStr">
        <is>
          <t>eng</t>
        </is>
      </c>
      <c r="P7" t="inlineStr">
        <is>
          <t>dcu</t>
        </is>
      </c>
      <c r="Q7" t="inlineStr">
        <is>
          <t>Psychologists in independent practice book series ; [v.1]</t>
        </is>
      </c>
      <c r="R7" t="inlineStr">
        <is>
          <t xml:space="preserve">RC </t>
        </is>
      </c>
      <c r="S7" t="n">
        <v>2</v>
      </c>
      <c r="T7" t="n">
        <v>2</v>
      </c>
      <c r="U7" t="inlineStr">
        <is>
          <t>1999-06-17</t>
        </is>
      </c>
      <c r="V7" t="inlineStr">
        <is>
          <t>2002-10-17</t>
        </is>
      </c>
      <c r="W7" t="inlineStr">
        <is>
          <t>1999-04-12</t>
        </is>
      </c>
      <c r="X7" t="inlineStr">
        <is>
          <t>2002-06-18</t>
        </is>
      </c>
      <c r="Y7" t="n">
        <v>413</v>
      </c>
      <c r="Z7" t="n">
        <v>350</v>
      </c>
      <c r="AA7" t="n">
        <v>433</v>
      </c>
      <c r="AB7" t="n">
        <v>1</v>
      </c>
      <c r="AC7" t="n">
        <v>2</v>
      </c>
      <c r="AD7" t="n">
        <v>19</v>
      </c>
      <c r="AE7" t="n">
        <v>22</v>
      </c>
      <c r="AF7" t="n">
        <v>9</v>
      </c>
      <c r="AG7" t="n">
        <v>11</v>
      </c>
      <c r="AH7" t="n">
        <v>3</v>
      </c>
      <c r="AI7" t="n">
        <v>3</v>
      </c>
      <c r="AJ7" t="n">
        <v>13</v>
      </c>
      <c r="AK7" t="n">
        <v>13</v>
      </c>
      <c r="AL7" t="n">
        <v>0</v>
      </c>
      <c r="AM7" t="n">
        <v>1</v>
      </c>
      <c r="AN7" t="n">
        <v>0</v>
      </c>
      <c r="AO7" t="n">
        <v>0</v>
      </c>
      <c r="AP7" t="inlineStr">
        <is>
          <t>No</t>
        </is>
      </c>
      <c r="AQ7" t="inlineStr">
        <is>
          <t>Yes</t>
        </is>
      </c>
      <c r="AR7">
        <f>HYPERLINK("http://catalog.hathitrust.org/Record/003124748","HathiTrust Record")</f>
        <v/>
      </c>
      <c r="AS7">
        <f>HYPERLINK("https://creighton-primo.hosted.exlibrisgroup.com/primo-explore/search?tab=default_tab&amp;search_scope=EVERYTHING&amp;vid=01CRU&amp;lang=en_US&amp;offset=0&amp;query=any,contains,991001691349702656","Catalog Record")</f>
        <v/>
      </c>
      <c r="AT7">
        <f>HYPERLINK("http://www.worldcat.org/oclc/35235774","WorldCat Record")</f>
        <v/>
      </c>
      <c r="AU7" t="inlineStr">
        <is>
          <t>837004114:eng</t>
        </is>
      </c>
      <c r="AV7" t="inlineStr">
        <is>
          <t>35235774</t>
        </is>
      </c>
      <c r="AW7" t="inlineStr">
        <is>
          <t>991001691349702656</t>
        </is>
      </c>
      <c r="AX7" t="inlineStr">
        <is>
          <t>991001691349702656</t>
        </is>
      </c>
      <c r="AY7" t="inlineStr">
        <is>
          <t>2254835430002656</t>
        </is>
      </c>
      <c r="AZ7" t="inlineStr">
        <is>
          <t>BOOK</t>
        </is>
      </c>
      <c r="BB7" t="inlineStr">
        <is>
          <t>9781557983879</t>
        </is>
      </c>
      <c r="BC7" t="inlineStr">
        <is>
          <t>32285003551271</t>
        </is>
      </c>
      <c r="BD7" t="inlineStr">
        <is>
          <t>893709470</t>
        </is>
      </c>
    </row>
    <row r="8">
      <c r="A8" t="inlineStr">
        <is>
          <t>No</t>
        </is>
      </c>
      <c r="B8" t="inlineStr">
        <is>
          <t>RC1090 .A76 1971</t>
        </is>
      </c>
      <c r="C8" t="inlineStr">
        <is>
          <t>0                      RC 1090000A  76          1971</t>
        </is>
      </c>
      <c r="D8" t="inlineStr">
        <is>
          <t>How to overcome your fear of flying, by Marvin L. Aronson.</t>
        </is>
      </c>
      <c r="F8" t="inlineStr">
        <is>
          <t>No</t>
        </is>
      </c>
      <c r="G8" t="inlineStr">
        <is>
          <t>1</t>
        </is>
      </c>
      <c r="H8" t="inlineStr">
        <is>
          <t>No</t>
        </is>
      </c>
      <c r="I8" t="inlineStr">
        <is>
          <t>No</t>
        </is>
      </c>
      <c r="J8" t="inlineStr">
        <is>
          <t>0</t>
        </is>
      </c>
      <c r="K8" t="inlineStr">
        <is>
          <t>Aronson, Marvin L. (Marvin Lucius), 1925-</t>
        </is>
      </c>
      <c r="L8" t="inlineStr">
        <is>
          <t>New York, Hawthorn Books [1971]</t>
        </is>
      </c>
      <c r="M8" t="inlineStr">
        <is>
          <t>1971</t>
        </is>
      </c>
      <c r="O8" t="inlineStr">
        <is>
          <t>eng</t>
        </is>
      </c>
      <c r="P8" t="inlineStr">
        <is>
          <t>nyu</t>
        </is>
      </c>
      <c r="R8" t="inlineStr">
        <is>
          <t xml:space="preserve">RC </t>
        </is>
      </c>
      <c r="S8" t="n">
        <v>2</v>
      </c>
      <c r="T8" t="n">
        <v>2</v>
      </c>
      <c r="U8" t="inlineStr">
        <is>
          <t>1998-04-16</t>
        </is>
      </c>
      <c r="V8" t="inlineStr">
        <is>
          <t>1998-04-16</t>
        </is>
      </c>
      <c r="W8" t="inlineStr">
        <is>
          <t>1997-08-12</t>
        </is>
      </c>
      <c r="X8" t="inlineStr">
        <is>
          <t>1997-08-12</t>
        </is>
      </c>
      <c r="Y8" t="n">
        <v>148</v>
      </c>
      <c r="Z8" t="n">
        <v>137</v>
      </c>
      <c r="AA8" t="n">
        <v>146</v>
      </c>
      <c r="AB8" t="n">
        <v>2</v>
      </c>
      <c r="AC8" t="n">
        <v>2</v>
      </c>
      <c r="AD8" t="n">
        <v>0</v>
      </c>
      <c r="AE8" t="n">
        <v>0</v>
      </c>
      <c r="AF8" t="n">
        <v>0</v>
      </c>
      <c r="AG8" t="n">
        <v>0</v>
      </c>
      <c r="AH8" t="n">
        <v>0</v>
      </c>
      <c r="AI8" t="n">
        <v>0</v>
      </c>
      <c r="AJ8" t="n">
        <v>0</v>
      </c>
      <c r="AK8" t="n">
        <v>0</v>
      </c>
      <c r="AL8" t="n">
        <v>0</v>
      </c>
      <c r="AM8" t="n">
        <v>0</v>
      </c>
      <c r="AN8" t="n">
        <v>0</v>
      </c>
      <c r="AO8" t="n">
        <v>0</v>
      </c>
      <c r="AP8" t="inlineStr">
        <is>
          <t>No</t>
        </is>
      </c>
      <c r="AQ8" t="inlineStr">
        <is>
          <t>No</t>
        </is>
      </c>
      <c r="AS8">
        <f>HYPERLINK("https://creighton-primo.hosted.exlibrisgroup.com/primo-explore/search?tab=default_tab&amp;search_scope=EVERYTHING&amp;vid=01CRU&amp;lang=en_US&amp;offset=0&amp;query=any,contains,991001274639702656","Catalog Record")</f>
        <v/>
      </c>
      <c r="AT8">
        <f>HYPERLINK("http://www.worldcat.org/oclc/213934","WorldCat Record")</f>
        <v/>
      </c>
      <c r="AU8" t="inlineStr">
        <is>
          <t>1297316:eng</t>
        </is>
      </c>
      <c r="AV8" t="inlineStr">
        <is>
          <t>213934</t>
        </is>
      </c>
      <c r="AW8" t="inlineStr">
        <is>
          <t>991001274639702656</t>
        </is>
      </c>
      <c r="AX8" t="inlineStr">
        <is>
          <t>991001274639702656</t>
        </is>
      </c>
      <c r="AY8" t="inlineStr">
        <is>
          <t>2255108640002656</t>
        </is>
      </c>
      <c r="AZ8" t="inlineStr">
        <is>
          <t>BOOK</t>
        </is>
      </c>
      <c r="BC8" t="inlineStr">
        <is>
          <t>32285003092961</t>
        </is>
      </c>
      <c r="BD8" t="inlineStr">
        <is>
          <t>893346382</t>
        </is>
      </c>
    </row>
    <row r="9">
      <c r="A9" t="inlineStr">
        <is>
          <t>No</t>
        </is>
      </c>
      <c r="B9" t="inlineStr">
        <is>
          <t>RC111 .K46 1973</t>
        </is>
      </c>
      <c r="C9" t="inlineStr">
        <is>
          <t>0                      RC 0111000K  46          1973</t>
        </is>
      </c>
      <c r="D9" t="inlineStr">
        <is>
          <t>Scope monograph on pathoparasitology : a color atlas of parasites in tissue section / Michael Kenney.</t>
        </is>
      </c>
      <c r="F9" t="inlineStr">
        <is>
          <t>No</t>
        </is>
      </c>
      <c r="G9" t="inlineStr">
        <is>
          <t>1</t>
        </is>
      </c>
      <c r="H9" t="inlineStr">
        <is>
          <t>Yes</t>
        </is>
      </c>
      <c r="I9" t="inlineStr">
        <is>
          <t>No</t>
        </is>
      </c>
      <c r="J9" t="inlineStr">
        <is>
          <t>0</t>
        </is>
      </c>
      <c r="K9" t="inlineStr">
        <is>
          <t>Kenney, Michael.</t>
        </is>
      </c>
      <c r="L9" t="inlineStr">
        <is>
          <t>Kalamazoo, MI. : Upjohn Co., [1973]</t>
        </is>
      </c>
      <c r="M9" t="inlineStr">
        <is>
          <t>1973</t>
        </is>
      </c>
      <c r="O9" t="inlineStr">
        <is>
          <t>eng</t>
        </is>
      </c>
      <c r="P9" t="inlineStr">
        <is>
          <t>miu</t>
        </is>
      </c>
      <c r="R9" t="inlineStr">
        <is>
          <t xml:space="preserve">RC </t>
        </is>
      </c>
      <c r="S9" t="n">
        <v>2</v>
      </c>
      <c r="T9" t="n">
        <v>11</v>
      </c>
      <c r="U9" t="inlineStr">
        <is>
          <t>1994-11-02</t>
        </is>
      </c>
      <c r="V9" t="inlineStr">
        <is>
          <t>1994-11-02</t>
        </is>
      </c>
      <c r="W9" t="inlineStr">
        <is>
          <t>1993-10-12</t>
        </is>
      </c>
      <c r="X9" t="inlineStr">
        <is>
          <t>1993-10-12</t>
        </is>
      </c>
      <c r="Y9" t="n">
        <v>260</v>
      </c>
      <c r="Z9" t="n">
        <v>211</v>
      </c>
      <c r="AA9" t="n">
        <v>218</v>
      </c>
      <c r="AB9" t="n">
        <v>2</v>
      </c>
      <c r="AC9" t="n">
        <v>2</v>
      </c>
      <c r="AD9" t="n">
        <v>7</v>
      </c>
      <c r="AE9" t="n">
        <v>7</v>
      </c>
      <c r="AF9" t="n">
        <v>4</v>
      </c>
      <c r="AG9" t="n">
        <v>4</v>
      </c>
      <c r="AH9" t="n">
        <v>2</v>
      </c>
      <c r="AI9" t="n">
        <v>2</v>
      </c>
      <c r="AJ9" t="n">
        <v>4</v>
      </c>
      <c r="AK9" t="n">
        <v>4</v>
      </c>
      <c r="AL9" t="n">
        <v>0</v>
      </c>
      <c r="AM9" t="n">
        <v>0</v>
      </c>
      <c r="AN9" t="n">
        <v>0</v>
      </c>
      <c r="AO9" t="n">
        <v>0</v>
      </c>
      <c r="AP9" t="inlineStr">
        <is>
          <t>No</t>
        </is>
      </c>
      <c r="AQ9" t="inlineStr">
        <is>
          <t>Yes</t>
        </is>
      </c>
      <c r="AR9">
        <f>HYPERLINK("http://catalog.hathitrust.org/Record/002785249","HathiTrust Record")</f>
        <v/>
      </c>
      <c r="AS9">
        <f>HYPERLINK("https://creighton-primo.hosted.exlibrisgroup.com/primo-explore/search?tab=default_tab&amp;search_scope=EVERYTHING&amp;vid=01CRU&amp;lang=en_US&amp;offset=0&amp;query=any,contains,991001778679702656","Catalog Record")</f>
        <v/>
      </c>
      <c r="AT9">
        <f>HYPERLINK("http://www.worldcat.org/oclc/730550","WorldCat Record")</f>
        <v/>
      </c>
      <c r="AU9" t="inlineStr">
        <is>
          <t>1753215:eng</t>
        </is>
      </c>
      <c r="AV9" t="inlineStr">
        <is>
          <t>730550</t>
        </is>
      </c>
      <c r="AW9" t="inlineStr">
        <is>
          <t>991001778679702656</t>
        </is>
      </c>
      <c r="AX9" t="inlineStr">
        <is>
          <t>991001778679702656</t>
        </is>
      </c>
      <c r="AY9" t="inlineStr">
        <is>
          <t>2270483280002656</t>
        </is>
      </c>
      <c r="AZ9" t="inlineStr">
        <is>
          <t>BOOK</t>
        </is>
      </c>
      <c r="BC9" t="inlineStr">
        <is>
          <t>32285001800266</t>
        </is>
      </c>
      <c r="BD9" t="inlineStr">
        <is>
          <t>893232254</t>
        </is>
      </c>
    </row>
    <row r="10">
      <c r="A10" t="inlineStr">
        <is>
          <t>No</t>
        </is>
      </c>
      <c r="B10" t="inlineStr">
        <is>
          <t>RC112 .H3513 2006</t>
        </is>
      </c>
      <c r="C10" t="inlineStr">
        <is>
          <t>0                      RC 0112000H  3513        2006</t>
        </is>
      </c>
      <c r="D10" t="inlineStr">
        <is>
          <t>Viruses vs. superbugs : a solution to the antibiotics crisis? / Thomas Häusler ; translated by Karen Leube.</t>
        </is>
      </c>
      <c r="F10" t="inlineStr">
        <is>
          <t>No</t>
        </is>
      </c>
      <c r="G10" t="inlineStr">
        <is>
          <t>1</t>
        </is>
      </c>
      <c r="H10" t="inlineStr">
        <is>
          <t>No</t>
        </is>
      </c>
      <c r="I10" t="inlineStr">
        <is>
          <t>No</t>
        </is>
      </c>
      <c r="J10" t="inlineStr">
        <is>
          <t>0</t>
        </is>
      </c>
      <c r="K10" t="inlineStr">
        <is>
          <t>Häusler, Thomas, 1968-</t>
        </is>
      </c>
      <c r="L10" t="inlineStr">
        <is>
          <t>London ; New York : Macmillan, 2006.</t>
        </is>
      </c>
      <c r="M10" t="inlineStr">
        <is>
          <t>2006</t>
        </is>
      </c>
      <c r="O10" t="inlineStr">
        <is>
          <t>eng</t>
        </is>
      </c>
      <c r="P10" t="inlineStr">
        <is>
          <t>enk</t>
        </is>
      </c>
      <c r="R10" t="inlineStr">
        <is>
          <t xml:space="preserve">RC </t>
        </is>
      </c>
      <c r="S10" t="n">
        <v>2</v>
      </c>
      <c r="T10" t="n">
        <v>2</v>
      </c>
      <c r="U10" t="inlineStr">
        <is>
          <t>2006-11-11</t>
        </is>
      </c>
      <c r="V10" t="inlineStr">
        <is>
          <t>2006-11-11</t>
        </is>
      </c>
      <c r="W10" t="inlineStr">
        <is>
          <t>2006-07-31</t>
        </is>
      </c>
      <c r="X10" t="inlineStr">
        <is>
          <t>2006-07-31</t>
        </is>
      </c>
      <c r="Y10" t="n">
        <v>683</v>
      </c>
      <c r="Z10" t="n">
        <v>599</v>
      </c>
      <c r="AA10" t="n">
        <v>666</v>
      </c>
      <c r="AB10" t="n">
        <v>6</v>
      </c>
      <c r="AC10" t="n">
        <v>7</v>
      </c>
      <c r="AD10" t="n">
        <v>10</v>
      </c>
      <c r="AE10" t="n">
        <v>13</v>
      </c>
      <c r="AF10" t="n">
        <v>2</v>
      </c>
      <c r="AG10" t="n">
        <v>4</v>
      </c>
      <c r="AH10" t="n">
        <v>2</v>
      </c>
      <c r="AI10" t="n">
        <v>3</v>
      </c>
      <c r="AJ10" t="n">
        <v>4</v>
      </c>
      <c r="AK10" t="n">
        <v>5</v>
      </c>
      <c r="AL10" t="n">
        <v>4</v>
      </c>
      <c r="AM10" t="n">
        <v>5</v>
      </c>
      <c r="AN10" t="n">
        <v>0</v>
      </c>
      <c r="AO10" t="n">
        <v>0</v>
      </c>
      <c r="AP10" t="inlineStr">
        <is>
          <t>No</t>
        </is>
      </c>
      <c r="AQ10" t="inlineStr">
        <is>
          <t>No</t>
        </is>
      </c>
      <c r="AS10">
        <f>HYPERLINK("https://creighton-primo.hosted.exlibrisgroup.com/primo-explore/search?tab=default_tab&amp;search_scope=EVERYTHING&amp;vid=01CRU&amp;lang=en_US&amp;offset=0&amp;query=any,contains,991004839899702656","Catalog Record")</f>
        <v/>
      </c>
      <c r="AT10">
        <f>HYPERLINK("http://www.worldcat.org/oclc/62804701","WorldCat Record")</f>
        <v/>
      </c>
      <c r="AU10" t="inlineStr">
        <is>
          <t>47111015:eng</t>
        </is>
      </c>
      <c r="AV10" t="inlineStr">
        <is>
          <t>62804701</t>
        </is>
      </c>
      <c r="AW10" t="inlineStr">
        <is>
          <t>991004839899702656</t>
        </is>
      </c>
      <c r="AX10" t="inlineStr">
        <is>
          <t>991004839899702656</t>
        </is>
      </c>
      <c r="AY10" t="inlineStr">
        <is>
          <t>2259638450002656</t>
        </is>
      </c>
      <c r="AZ10" t="inlineStr">
        <is>
          <t>BOOK</t>
        </is>
      </c>
      <c r="BB10" t="inlineStr">
        <is>
          <t>9781403987648</t>
        </is>
      </c>
      <c r="BC10" t="inlineStr">
        <is>
          <t>32285005198774</t>
        </is>
      </c>
      <c r="BD10" t="inlineStr">
        <is>
          <t>893700739</t>
        </is>
      </c>
    </row>
    <row r="11">
      <c r="A11" t="inlineStr">
        <is>
          <t>No</t>
        </is>
      </c>
      <c r="B11" t="inlineStr">
        <is>
          <t>RC112 .P37 1981</t>
        </is>
      </c>
      <c r="C11" t="inlineStr">
        <is>
          <t>0                      RC 0112000P  37          1981</t>
        </is>
      </c>
      <c r="D11" t="inlineStr">
        <is>
          <t>Health in colonial Ghana : disease, medicine, and socio-economic change, 1900-1955 / by K. David Patterson.</t>
        </is>
      </c>
      <c r="F11" t="inlineStr">
        <is>
          <t>No</t>
        </is>
      </c>
      <c r="G11" t="inlineStr">
        <is>
          <t>1</t>
        </is>
      </c>
      <c r="H11" t="inlineStr">
        <is>
          <t>No</t>
        </is>
      </c>
      <c r="I11" t="inlineStr">
        <is>
          <t>No</t>
        </is>
      </c>
      <c r="J11" t="inlineStr">
        <is>
          <t>0</t>
        </is>
      </c>
      <c r="K11" t="inlineStr">
        <is>
          <t>Patterson, K. David (Karl David), 1941-</t>
        </is>
      </c>
      <c r="L11" t="inlineStr">
        <is>
          <t>Waltham, Mass. : Crossroads Press, c1981.</t>
        </is>
      </c>
      <c r="M11" t="inlineStr">
        <is>
          <t>1981</t>
        </is>
      </c>
      <c r="O11" t="inlineStr">
        <is>
          <t>eng</t>
        </is>
      </c>
      <c r="P11" t="inlineStr">
        <is>
          <t>mau</t>
        </is>
      </c>
      <c r="R11" t="inlineStr">
        <is>
          <t xml:space="preserve">RC </t>
        </is>
      </c>
      <c r="S11" t="n">
        <v>2</v>
      </c>
      <c r="T11" t="n">
        <v>2</v>
      </c>
      <c r="U11" t="inlineStr">
        <is>
          <t>1998-10-05</t>
        </is>
      </c>
      <c r="V11" t="inlineStr">
        <is>
          <t>1998-10-05</t>
        </is>
      </c>
      <c r="W11" t="inlineStr">
        <is>
          <t>1993-03-17</t>
        </is>
      </c>
      <c r="X11" t="inlineStr">
        <is>
          <t>1993-03-17</t>
        </is>
      </c>
      <c r="Y11" t="n">
        <v>205</v>
      </c>
      <c r="Z11" t="n">
        <v>152</v>
      </c>
      <c r="AA11" t="n">
        <v>153</v>
      </c>
      <c r="AB11" t="n">
        <v>2</v>
      </c>
      <c r="AC11" t="n">
        <v>2</v>
      </c>
      <c r="AD11" t="n">
        <v>4</v>
      </c>
      <c r="AE11" t="n">
        <v>4</v>
      </c>
      <c r="AF11" t="n">
        <v>0</v>
      </c>
      <c r="AG11" t="n">
        <v>0</v>
      </c>
      <c r="AH11" t="n">
        <v>3</v>
      </c>
      <c r="AI11" t="n">
        <v>3</v>
      </c>
      <c r="AJ11" t="n">
        <v>1</v>
      </c>
      <c r="AK11" t="n">
        <v>1</v>
      </c>
      <c r="AL11" t="n">
        <v>1</v>
      </c>
      <c r="AM11" t="n">
        <v>1</v>
      </c>
      <c r="AN11" t="n">
        <v>0</v>
      </c>
      <c r="AO11" t="n">
        <v>0</v>
      </c>
      <c r="AP11" t="inlineStr">
        <is>
          <t>No</t>
        </is>
      </c>
      <c r="AQ11" t="inlineStr">
        <is>
          <t>Yes</t>
        </is>
      </c>
      <c r="AR11">
        <f>HYPERLINK("http://catalog.hathitrust.org/Record/000325631","HathiTrust Record")</f>
        <v/>
      </c>
      <c r="AS11">
        <f>HYPERLINK("https://creighton-primo.hosted.exlibrisgroup.com/primo-explore/search?tab=default_tab&amp;search_scope=EVERYTHING&amp;vid=01CRU&amp;lang=en_US&amp;offset=0&amp;query=any,contains,991005201189702656","Catalog Record")</f>
        <v/>
      </c>
      <c r="AT11">
        <f>HYPERLINK("http://www.worldcat.org/oclc/8082823","WorldCat Record")</f>
        <v/>
      </c>
      <c r="AU11" t="inlineStr">
        <is>
          <t>30466946:eng</t>
        </is>
      </c>
      <c r="AV11" t="inlineStr">
        <is>
          <t>8082823</t>
        </is>
      </c>
      <c r="AW11" t="inlineStr">
        <is>
          <t>991005201189702656</t>
        </is>
      </c>
      <c r="AX11" t="inlineStr">
        <is>
          <t>991005201189702656</t>
        </is>
      </c>
      <c r="AY11" t="inlineStr">
        <is>
          <t>2272402610002656</t>
        </is>
      </c>
      <c r="AZ11" t="inlineStr">
        <is>
          <t>BOOK</t>
        </is>
      </c>
      <c r="BB11" t="inlineStr">
        <is>
          <t>9780918456427</t>
        </is>
      </c>
      <c r="BC11" t="inlineStr">
        <is>
          <t>32285001588986</t>
        </is>
      </c>
      <c r="BD11" t="inlineStr">
        <is>
          <t>893344822</t>
        </is>
      </c>
    </row>
    <row r="12">
      <c r="A12" t="inlineStr">
        <is>
          <t>No</t>
        </is>
      </c>
      <c r="B12" t="inlineStr">
        <is>
          <t>RC112 .S64</t>
        </is>
      </c>
      <c r="C12" t="inlineStr">
        <is>
          <t>0                      RC 0112000S  64</t>
        </is>
      </c>
      <c r="D12" t="inlineStr">
        <is>
          <t>Infectious diseases : prevention and treatment in the nineteenth and twentieth centuries / by Wesley W. Spink.</t>
        </is>
      </c>
      <c r="F12" t="inlineStr">
        <is>
          <t>No</t>
        </is>
      </c>
      <c r="G12" t="inlineStr">
        <is>
          <t>1</t>
        </is>
      </c>
      <c r="H12" t="inlineStr">
        <is>
          <t>No</t>
        </is>
      </c>
      <c r="I12" t="inlineStr">
        <is>
          <t>No</t>
        </is>
      </c>
      <c r="J12" t="inlineStr">
        <is>
          <t>0</t>
        </is>
      </c>
      <c r="K12" t="inlineStr">
        <is>
          <t>Spink, Wesley W. (Wesley William), 1904-1988.</t>
        </is>
      </c>
      <c r="L12" t="inlineStr">
        <is>
          <t>Minneapolis : University of Minnesota Press, c1978.</t>
        </is>
      </c>
      <c r="M12" t="inlineStr">
        <is>
          <t>1978</t>
        </is>
      </c>
      <c r="O12" t="inlineStr">
        <is>
          <t>eng</t>
        </is>
      </c>
      <c r="P12" t="inlineStr">
        <is>
          <t>mnu</t>
        </is>
      </c>
      <c r="R12" t="inlineStr">
        <is>
          <t xml:space="preserve">RC </t>
        </is>
      </c>
      <c r="S12" t="n">
        <v>9</v>
      </c>
      <c r="T12" t="n">
        <v>9</v>
      </c>
      <c r="U12" t="inlineStr">
        <is>
          <t>2010-03-02</t>
        </is>
      </c>
      <c r="V12" t="inlineStr">
        <is>
          <t>2010-03-02</t>
        </is>
      </c>
      <c r="W12" t="inlineStr">
        <is>
          <t>1992-12-15</t>
        </is>
      </c>
      <c r="X12" t="inlineStr">
        <is>
          <t>1992-12-15</t>
        </is>
      </c>
      <c r="Y12" t="n">
        <v>292</v>
      </c>
      <c r="Z12" t="n">
        <v>245</v>
      </c>
      <c r="AA12" t="n">
        <v>736</v>
      </c>
      <c r="AB12" t="n">
        <v>2</v>
      </c>
      <c r="AC12" t="n">
        <v>6</v>
      </c>
      <c r="AD12" t="n">
        <v>8</v>
      </c>
      <c r="AE12" t="n">
        <v>34</v>
      </c>
      <c r="AF12" t="n">
        <v>1</v>
      </c>
      <c r="AG12" t="n">
        <v>12</v>
      </c>
      <c r="AH12" t="n">
        <v>4</v>
      </c>
      <c r="AI12" t="n">
        <v>10</v>
      </c>
      <c r="AJ12" t="n">
        <v>3</v>
      </c>
      <c r="AK12" t="n">
        <v>13</v>
      </c>
      <c r="AL12" t="n">
        <v>1</v>
      </c>
      <c r="AM12" t="n">
        <v>5</v>
      </c>
      <c r="AN12" t="n">
        <v>0</v>
      </c>
      <c r="AO12" t="n">
        <v>1</v>
      </c>
      <c r="AP12" t="inlineStr">
        <is>
          <t>No</t>
        </is>
      </c>
      <c r="AQ12" t="inlineStr">
        <is>
          <t>No</t>
        </is>
      </c>
      <c r="AS12">
        <f>HYPERLINK("https://creighton-primo.hosted.exlibrisgroup.com/primo-explore/search?tab=default_tab&amp;search_scope=EVERYTHING&amp;vid=01CRU&amp;lang=en_US&amp;offset=0&amp;query=any,contains,991004662339702656","Catalog Record")</f>
        <v/>
      </c>
      <c r="AT12">
        <f>HYPERLINK("http://www.worldcat.org/oclc/4497688","WorldCat Record")</f>
        <v/>
      </c>
      <c r="AU12" t="inlineStr">
        <is>
          <t>180112324:eng</t>
        </is>
      </c>
      <c r="AV12" t="inlineStr">
        <is>
          <t>4497688</t>
        </is>
      </c>
      <c r="AW12" t="inlineStr">
        <is>
          <t>991004662339702656</t>
        </is>
      </c>
      <c r="AX12" t="inlineStr">
        <is>
          <t>991004662339702656</t>
        </is>
      </c>
      <c r="AY12" t="inlineStr">
        <is>
          <t>2266773270002656</t>
        </is>
      </c>
      <c r="AZ12" t="inlineStr">
        <is>
          <t>BOOK</t>
        </is>
      </c>
      <c r="BB12" t="inlineStr">
        <is>
          <t>9780816608720</t>
        </is>
      </c>
      <c r="BC12" t="inlineStr">
        <is>
          <t>32285001441772</t>
        </is>
      </c>
      <c r="BD12" t="inlineStr">
        <is>
          <t>893687992</t>
        </is>
      </c>
    </row>
    <row r="13">
      <c r="A13" t="inlineStr">
        <is>
          <t>No</t>
        </is>
      </c>
      <c r="B13" t="inlineStr">
        <is>
          <t>RC114.6 .A84</t>
        </is>
      </c>
      <c r="C13" t="inlineStr">
        <is>
          <t>0                      RC 0114600A  84</t>
        </is>
      </c>
      <c r="D13" t="inlineStr">
        <is>
          <t>Aspects of slow and persistent virus infections : proceedings of the European workshop sponsored by the Commission of the European Communities on the advice of the Committee on Medical and Public Health Research, held in London (U.K.), April 5-6, 1979 / edited by D. A. J. Tyrrell.</t>
        </is>
      </c>
      <c r="F13" t="inlineStr">
        <is>
          <t>No</t>
        </is>
      </c>
      <c r="G13" t="inlineStr">
        <is>
          <t>1</t>
        </is>
      </c>
      <c r="H13" t="inlineStr">
        <is>
          <t>No</t>
        </is>
      </c>
      <c r="I13" t="inlineStr">
        <is>
          <t>No</t>
        </is>
      </c>
      <c r="J13" t="inlineStr">
        <is>
          <t>0</t>
        </is>
      </c>
      <c r="L13" t="inlineStr">
        <is>
          <t>The Hague ; Boston : [published by] Martinus Nijhoff Publishers for the Commission of the European Communities ; Hingham, MA : Kluwer Boston, inc., [distributor] for the United States, 1979.</t>
        </is>
      </c>
      <c r="M13" t="inlineStr">
        <is>
          <t>1979</t>
        </is>
      </c>
      <c r="O13" t="inlineStr">
        <is>
          <t>eng</t>
        </is>
      </c>
      <c r="P13" t="inlineStr">
        <is>
          <t xml:space="preserve">ne </t>
        </is>
      </c>
      <c r="Q13" t="inlineStr">
        <is>
          <t>New perspectives in clinical microbiology ; v. 2</t>
        </is>
      </c>
      <c r="R13" t="inlineStr">
        <is>
          <t xml:space="preserve">RC </t>
        </is>
      </c>
      <c r="S13" t="n">
        <v>1</v>
      </c>
      <c r="T13" t="n">
        <v>1</v>
      </c>
      <c r="U13" t="inlineStr">
        <is>
          <t>2008-02-24</t>
        </is>
      </c>
      <c r="V13" t="inlineStr">
        <is>
          <t>2008-02-24</t>
        </is>
      </c>
      <c r="W13" t="inlineStr">
        <is>
          <t>1993-03-17</t>
        </is>
      </c>
      <c r="X13" t="inlineStr">
        <is>
          <t>1993-03-17</t>
        </is>
      </c>
      <c r="Y13" t="n">
        <v>87</v>
      </c>
      <c r="Z13" t="n">
        <v>43</v>
      </c>
      <c r="AA13" t="n">
        <v>68</v>
      </c>
      <c r="AB13" t="n">
        <v>2</v>
      </c>
      <c r="AC13" t="n">
        <v>2</v>
      </c>
      <c r="AD13" t="n">
        <v>1</v>
      </c>
      <c r="AE13" t="n">
        <v>2</v>
      </c>
      <c r="AF13" t="n">
        <v>0</v>
      </c>
      <c r="AG13" t="n">
        <v>1</v>
      </c>
      <c r="AH13" t="n">
        <v>0</v>
      </c>
      <c r="AI13" t="n">
        <v>0</v>
      </c>
      <c r="AJ13" t="n">
        <v>0</v>
      </c>
      <c r="AK13" t="n">
        <v>1</v>
      </c>
      <c r="AL13" t="n">
        <v>1</v>
      </c>
      <c r="AM13" t="n">
        <v>1</v>
      </c>
      <c r="AN13" t="n">
        <v>0</v>
      </c>
      <c r="AO13" t="n">
        <v>0</v>
      </c>
      <c r="AP13" t="inlineStr">
        <is>
          <t>No</t>
        </is>
      </c>
      <c r="AQ13" t="inlineStr">
        <is>
          <t>Yes</t>
        </is>
      </c>
      <c r="AR13">
        <f>HYPERLINK("http://catalog.hathitrust.org/Record/010071673","HathiTrust Record")</f>
        <v/>
      </c>
      <c r="AS13">
        <f>HYPERLINK("https://creighton-primo.hosted.exlibrisgroup.com/primo-explore/search?tab=default_tab&amp;search_scope=EVERYTHING&amp;vid=01CRU&amp;lang=en_US&amp;offset=0&amp;query=any,contains,991004858369702656","Catalog Record")</f>
        <v/>
      </c>
      <c r="AT13">
        <f>HYPERLINK("http://www.worldcat.org/oclc/5677171","WorldCat Record")</f>
        <v/>
      </c>
      <c r="AU13" t="inlineStr">
        <is>
          <t>426221614:eng</t>
        </is>
      </c>
      <c r="AV13" t="inlineStr">
        <is>
          <t>5677171</t>
        </is>
      </c>
      <c r="AW13" t="inlineStr">
        <is>
          <t>991004858369702656</t>
        </is>
      </c>
      <c r="AX13" t="inlineStr">
        <is>
          <t>991004858369702656</t>
        </is>
      </c>
      <c r="AY13" t="inlineStr">
        <is>
          <t>2261502860002656</t>
        </is>
      </c>
      <c r="AZ13" t="inlineStr">
        <is>
          <t>BOOK</t>
        </is>
      </c>
      <c r="BB13" t="inlineStr">
        <is>
          <t>9789024722815</t>
        </is>
      </c>
      <c r="BC13" t="inlineStr">
        <is>
          <t>32285001588994</t>
        </is>
      </c>
      <c r="BD13" t="inlineStr">
        <is>
          <t>893532878</t>
        </is>
      </c>
    </row>
    <row r="14">
      <c r="A14" t="inlineStr">
        <is>
          <t>No</t>
        </is>
      </c>
      <c r="B14" t="inlineStr">
        <is>
          <t>RC115 .B3 1979, v...</t>
        </is>
      </c>
      <c r="C14" t="inlineStr">
        <is>
          <t>0                      RC 0115000B  3           1979                                        v...</t>
        </is>
      </c>
      <c r="D14" t="inlineStr">
        <is>
          <t>Bacterial, rickettsial, and mycotic diseases / section editors, Herbert Stoenner, William Kaplan, Michael Torten.</t>
        </is>
      </c>
      <c r="E14" t="inlineStr">
        <is>
          <t>V.1</t>
        </is>
      </c>
      <c r="F14" t="inlineStr">
        <is>
          <t>No</t>
        </is>
      </c>
      <c r="G14" t="inlineStr">
        <is>
          <t>1</t>
        </is>
      </c>
      <c r="H14" t="inlineStr">
        <is>
          <t>No</t>
        </is>
      </c>
      <c r="I14" t="inlineStr">
        <is>
          <t>No</t>
        </is>
      </c>
      <c r="J14" t="inlineStr">
        <is>
          <t>0</t>
        </is>
      </c>
      <c r="L14" t="inlineStr">
        <is>
          <t>Boca Raton, Fla. : CRC press, c1979-</t>
        </is>
      </c>
      <c r="M14" t="inlineStr">
        <is>
          <t>1979</t>
        </is>
      </c>
      <c r="O14" t="inlineStr">
        <is>
          <t>eng</t>
        </is>
      </c>
      <c r="P14" t="inlineStr">
        <is>
          <t>flu</t>
        </is>
      </c>
      <c r="Q14" t="inlineStr">
        <is>
          <t>CRC handbook series in zoonoses ; section A, v. 1</t>
        </is>
      </c>
      <c r="R14" t="inlineStr">
        <is>
          <t xml:space="preserve">RC </t>
        </is>
      </c>
      <c r="S14" t="n">
        <v>3</v>
      </c>
      <c r="T14" t="n">
        <v>3</v>
      </c>
      <c r="U14" t="inlineStr">
        <is>
          <t>2010-06-15</t>
        </is>
      </c>
      <c r="V14" t="inlineStr">
        <is>
          <t>2010-06-15</t>
        </is>
      </c>
      <c r="W14" t="inlineStr">
        <is>
          <t>1993-03-17</t>
        </is>
      </c>
      <c r="X14" t="inlineStr">
        <is>
          <t>1993-03-17</t>
        </is>
      </c>
      <c r="Y14" t="n">
        <v>145</v>
      </c>
      <c r="Z14" t="n">
        <v>112</v>
      </c>
      <c r="AA14" t="n">
        <v>113</v>
      </c>
      <c r="AB14" t="n">
        <v>1</v>
      </c>
      <c r="AC14" t="n">
        <v>1</v>
      </c>
      <c r="AD14" t="n">
        <v>0</v>
      </c>
      <c r="AE14" t="n">
        <v>0</v>
      </c>
      <c r="AF14" t="n">
        <v>0</v>
      </c>
      <c r="AG14" t="n">
        <v>0</v>
      </c>
      <c r="AH14" t="n">
        <v>0</v>
      </c>
      <c r="AI14" t="n">
        <v>0</v>
      </c>
      <c r="AJ14" t="n">
        <v>0</v>
      </c>
      <c r="AK14" t="n">
        <v>0</v>
      </c>
      <c r="AL14" t="n">
        <v>0</v>
      </c>
      <c r="AM14" t="n">
        <v>0</v>
      </c>
      <c r="AN14" t="n">
        <v>0</v>
      </c>
      <c r="AO14" t="n">
        <v>0</v>
      </c>
      <c r="AP14" t="inlineStr">
        <is>
          <t>No</t>
        </is>
      </c>
      <c r="AQ14" t="inlineStr">
        <is>
          <t>Yes</t>
        </is>
      </c>
      <c r="AR14">
        <f>HYPERLINK("http://catalog.hathitrust.org/Record/010376719","HathiTrust Record")</f>
        <v/>
      </c>
      <c r="AS14">
        <f>HYPERLINK("https://creighton-primo.hosted.exlibrisgroup.com/primo-explore/search?tab=default_tab&amp;search_scope=EVERYTHING&amp;vid=01CRU&amp;lang=en_US&amp;offset=0&amp;query=any,contains,991004967339702656","Catalog Record")</f>
        <v/>
      </c>
      <c r="AT14">
        <f>HYPERLINK("http://www.worldcat.org/oclc/6344693","WorldCat Record")</f>
        <v/>
      </c>
      <c r="AU14" t="inlineStr">
        <is>
          <t>3859942837:eng</t>
        </is>
      </c>
      <c r="AV14" t="inlineStr">
        <is>
          <t>6344693</t>
        </is>
      </c>
      <c r="AW14" t="inlineStr">
        <is>
          <t>991004967339702656</t>
        </is>
      </c>
      <c r="AX14" t="inlineStr">
        <is>
          <t>991004967339702656</t>
        </is>
      </c>
      <c r="AY14" t="inlineStr">
        <is>
          <t>2271969510002656</t>
        </is>
      </c>
      <c r="AZ14" t="inlineStr">
        <is>
          <t>BOOK</t>
        </is>
      </c>
      <c r="BB14" t="inlineStr">
        <is>
          <t>9780849329067</t>
        </is>
      </c>
      <c r="BC14" t="inlineStr">
        <is>
          <t>32285001589000</t>
        </is>
      </c>
      <c r="BD14" t="inlineStr">
        <is>
          <t>893412147</t>
        </is>
      </c>
    </row>
    <row r="15">
      <c r="A15" t="inlineStr">
        <is>
          <t>No</t>
        </is>
      </c>
      <c r="B15" t="inlineStr">
        <is>
          <t>RC118.5 .B36</t>
        </is>
      </c>
      <c r="C15" t="inlineStr">
        <is>
          <t>0                      RC 0118500B  36</t>
        </is>
      </c>
      <c r="D15" t="inlineStr">
        <is>
          <t>Parasitic Protozoa [by] J. R. Baker.</t>
        </is>
      </c>
      <c r="F15" t="inlineStr">
        <is>
          <t>No</t>
        </is>
      </c>
      <c r="G15" t="inlineStr">
        <is>
          <t>1</t>
        </is>
      </c>
      <c r="H15" t="inlineStr">
        <is>
          <t>No</t>
        </is>
      </c>
      <c r="I15" t="inlineStr">
        <is>
          <t>No</t>
        </is>
      </c>
      <c r="J15" t="inlineStr">
        <is>
          <t>0</t>
        </is>
      </c>
      <c r="K15" t="inlineStr">
        <is>
          <t>Baker, John R. (John Robin)</t>
        </is>
      </c>
      <c r="L15" t="inlineStr">
        <is>
          <t>London, Hutchinson, 1969.</t>
        </is>
      </c>
      <c r="M15" t="inlineStr">
        <is>
          <t>1969</t>
        </is>
      </c>
      <c r="O15" t="inlineStr">
        <is>
          <t>eng</t>
        </is>
      </c>
      <c r="P15" t="inlineStr">
        <is>
          <t>enk</t>
        </is>
      </c>
      <c r="Q15" t="inlineStr">
        <is>
          <t>Hutchinson university library. Biological sciences</t>
        </is>
      </c>
      <c r="R15" t="inlineStr">
        <is>
          <t xml:space="preserve">RC </t>
        </is>
      </c>
      <c r="S15" t="n">
        <v>2</v>
      </c>
      <c r="T15" t="n">
        <v>2</v>
      </c>
      <c r="U15" t="inlineStr">
        <is>
          <t>1998-02-11</t>
        </is>
      </c>
      <c r="V15" t="inlineStr">
        <is>
          <t>1998-02-11</t>
        </is>
      </c>
      <c r="W15" t="inlineStr">
        <is>
          <t>1997-08-08</t>
        </is>
      </c>
      <c r="X15" t="inlineStr">
        <is>
          <t>1997-08-08</t>
        </is>
      </c>
      <c r="Y15" t="n">
        <v>286</v>
      </c>
      <c r="Z15" t="n">
        <v>169</v>
      </c>
      <c r="AA15" t="n">
        <v>178</v>
      </c>
      <c r="AB15" t="n">
        <v>2</v>
      </c>
      <c r="AC15" t="n">
        <v>2</v>
      </c>
      <c r="AD15" t="n">
        <v>1</v>
      </c>
      <c r="AE15" t="n">
        <v>1</v>
      </c>
      <c r="AF15" t="n">
        <v>0</v>
      </c>
      <c r="AG15" t="n">
        <v>0</v>
      </c>
      <c r="AH15" t="n">
        <v>0</v>
      </c>
      <c r="AI15" t="n">
        <v>0</v>
      </c>
      <c r="AJ15" t="n">
        <v>0</v>
      </c>
      <c r="AK15" t="n">
        <v>0</v>
      </c>
      <c r="AL15" t="n">
        <v>1</v>
      </c>
      <c r="AM15" t="n">
        <v>1</v>
      </c>
      <c r="AN15" t="n">
        <v>0</v>
      </c>
      <c r="AO15" t="n">
        <v>0</v>
      </c>
      <c r="AP15" t="inlineStr">
        <is>
          <t>No</t>
        </is>
      </c>
      <c r="AQ15" t="inlineStr">
        <is>
          <t>Yes</t>
        </is>
      </c>
      <c r="AR15">
        <f>HYPERLINK("http://catalog.hathitrust.org/Record/006182720","HathiTrust Record")</f>
        <v/>
      </c>
      <c r="AS15">
        <f>HYPERLINK("https://creighton-primo.hosted.exlibrisgroup.com/primo-explore/search?tab=default_tab&amp;search_scope=EVERYTHING&amp;vid=01CRU&amp;lang=en_US&amp;offset=0&amp;query=any,contains,991000188309702656","Catalog Record")</f>
        <v/>
      </c>
      <c r="AT15">
        <f>HYPERLINK("http://www.worldcat.org/oclc/63116","WorldCat Record")</f>
        <v/>
      </c>
      <c r="AU15" t="inlineStr">
        <is>
          <t>4921480118:eng</t>
        </is>
      </c>
      <c r="AV15" t="inlineStr">
        <is>
          <t>63116</t>
        </is>
      </c>
      <c r="AW15" t="inlineStr">
        <is>
          <t>991000188309702656</t>
        </is>
      </c>
      <c r="AX15" t="inlineStr">
        <is>
          <t>991000188309702656</t>
        </is>
      </c>
      <c r="AY15" t="inlineStr">
        <is>
          <t>2256213290002656</t>
        </is>
      </c>
      <c r="AZ15" t="inlineStr">
        <is>
          <t>BOOK</t>
        </is>
      </c>
      <c r="BB15" t="inlineStr">
        <is>
          <t>9780090991600</t>
        </is>
      </c>
      <c r="BC15" t="inlineStr">
        <is>
          <t>32285003084356</t>
        </is>
      </c>
      <c r="BD15" t="inlineStr">
        <is>
          <t>893689508</t>
        </is>
      </c>
    </row>
    <row r="16">
      <c r="A16" t="inlineStr">
        <is>
          <t>No</t>
        </is>
      </c>
      <c r="B16" t="inlineStr">
        <is>
          <t>RC119 .B38</t>
        </is>
      </c>
      <c r="C16" t="inlineStr">
        <is>
          <t>0                      RC 0119000B  38</t>
        </is>
      </c>
      <c r="D16" t="inlineStr">
        <is>
          <t>Basic clinical parasitology.</t>
        </is>
      </c>
      <c r="F16" t="inlineStr">
        <is>
          <t>No</t>
        </is>
      </c>
      <c r="G16" t="inlineStr">
        <is>
          <t>1</t>
        </is>
      </c>
      <c r="H16" t="inlineStr">
        <is>
          <t>No</t>
        </is>
      </c>
      <c r="I16" t="inlineStr">
        <is>
          <t>Yes</t>
        </is>
      </c>
      <c r="J16" t="inlineStr">
        <is>
          <t>0</t>
        </is>
      </c>
      <c r="K16" t="inlineStr">
        <is>
          <t>Belding, David Lawrence, 1884-</t>
        </is>
      </c>
      <c r="L16" t="inlineStr">
        <is>
          <t>New York : Appleton-Century-Crofts, [1958]</t>
        </is>
      </c>
      <c r="M16" t="inlineStr">
        <is>
          <t>1958</t>
        </is>
      </c>
      <c r="O16" t="inlineStr">
        <is>
          <t>eng</t>
        </is>
      </c>
      <c r="P16" t="inlineStr">
        <is>
          <t>nyu</t>
        </is>
      </c>
      <c r="R16" t="inlineStr">
        <is>
          <t xml:space="preserve">RC </t>
        </is>
      </c>
      <c r="S16" t="n">
        <v>2</v>
      </c>
      <c r="T16" t="n">
        <v>2</v>
      </c>
      <c r="U16" t="inlineStr">
        <is>
          <t>1994-02-18</t>
        </is>
      </c>
      <c r="V16" t="inlineStr">
        <is>
          <t>1994-02-18</t>
        </is>
      </c>
      <c r="W16" t="inlineStr">
        <is>
          <t>1994-02-16</t>
        </is>
      </c>
      <c r="X16" t="inlineStr">
        <is>
          <t>1994-02-16</t>
        </is>
      </c>
      <c r="Y16" t="n">
        <v>106</v>
      </c>
      <c r="Z16" t="n">
        <v>88</v>
      </c>
      <c r="AA16" t="n">
        <v>529</v>
      </c>
      <c r="AB16" t="n">
        <v>2</v>
      </c>
      <c r="AC16" t="n">
        <v>5</v>
      </c>
      <c r="AD16" t="n">
        <v>4</v>
      </c>
      <c r="AE16" t="n">
        <v>15</v>
      </c>
      <c r="AF16" t="n">
        <v>2</v>
      </c>
      <c r="AG16" t="n">
        <v>5</v>
      </c>
      <c r="AH16" t="n">
        <v>0</v>
      </c>
      <c r="AI16" t="n">
        <v>3</v>
      </c>
      <c r="AJ16" t="n">
        <v>2</v>
      </c>
      <c r="AK16" t="n">
        <v>9</v>
      </c>
      <c r="AL16" t="n">
        <v>1</v>
      </c>
      <c r="AM16" t="n">
        <v>2</v>
      </c>
      <c r="AN16" t="n">
        <v>0</v>
      </c>
      <c r="AO16" t="n">
        <v>0</v>
      </c>
      <c r="AP16" t="inlineStr">
        <is>
          <t>No</t>
        </is>
      </c>
      <c r="AQ16" t="inlineStr">
        <is>
          <t>Yes</t>
        </is>
      </c>
      <c r="AR16">
        <f>HYPERLINK("http://catalog.hathitrust.org/Record/001562026","HathiTrust Record")</f>
        <v/>
      </c>
      <c r="AS16">
        <f>HYPERLINK("https://creighton-primo.hosted.exlibrisgroup.com/primo-explore/search?tab=default_tab&amp;search_scope=EVERYTHING&amp;vid=01CRU&amp;lang=en_US&amp;offset=0&amp;query=any,contains,991002390009702656","Catalog Record")</f>
        <v/>
      </c>
      <c r="AT16">
        <f>HYPERLINK("http://www.worldcat.org/oclc/331902","WorldCat Record")</f>
        <v/>
      </c>
      <c r="AU16" t="inlineStr">
        <is>
          <t>1136004:eng</t>
        </is>
      </c>
      <c r="AV16" t="inlineStr">
        <is>
          <t>331902</t>
        </is>
      </c>
      <c r="AW16" t="inlineStr">
        <is>
          <t>991002390009702656</t>
        </is>
      </c>
      <c r="AX16" t="inlineStr">
        <is>
          <t>991002390009702656</t>
        </is>
      </c>
      <c r="AY16" t="inlineStr">
        <is>
          <t>2258507400002656</t>
        </is>
      </c>
      <c r="AZ16" t="inlineStr">
        <is>
          <t>BOOK</t>
        </is>
      </c>
      <c r="BC16" t="inlineStr">
        <is>
          <t>32285001838365</t>
        </is>
      </c>
      <c r="BD16" t="inlineStr">
        <is>
          <t>893421288</t>
        </is>
      </c>
    </row>
    <row r="17">
      <c r="A17" t="inlineStr">
        <is>
          <t>No</t>
        </is>
      </c>
      <c r="B17" t="inlineStr">
        <is>
          <t>RC119 .C38 1961</t>
        </is>
      </c>
      <c r="C17" t="inlineStr">
        <is>
          <t>0                      RC 0119000C  38          1961</t>
        </is>
      </c>
      <c r="D17" t="inlineStr">
        <is>
          <t>Introduction to parasitology : with special reference to the parasites of man.</t>
        </is>
      </c>
      <c r="F17" t="inlineStr">
        <is>
          <t>No</t>
        </is>
      </c>
      <c r="G17" t="inlineStr">
        <is>
          <t>1</t>
        </is>
      </c>
      <c r="H17" t="inlineStr">
        <is>
          <t>No</t>
        </is>
      </c>
      <c r="I17" t="inlineStr">
        <is>
          <t>No</t>
        </is>
      </c>
      <c r="J17" t="inlineStr">
        <is>
          <t>0</t>
        </is>
      </c>
      <c r="K17" t="inlineStr">
        <is>
          <t>Chandler, Asa C. (Asa Crawford), 1891-1958.</t>
        </is>
      </c>
      <c r="L17" t="inlineStr">
        <is>
          <t>New York : Wiley, [1961]</t>
        </is>
      </c>
      <c r="M17" t="inlineStr">
        <is>
          <t>1961</t>
        </is>
      </c>
      <c r="N17" t="inlineStr">
        <is>
          <t>10th ed. / [by] Asa C. Chandler [and] Clark P. Read.</t>
        </is>
      </c>
      <c r="O17" t="inlineStr">
        <is>
          <t>eng</t>
        </is>
      </c>
      <c r="P17" t="inlineStr">
        <is>
          <t>nyu</t>
        </is>
      </c>
      <c r="R17" t="inlineStr">
        <is>
          <t xml:space="preserve">RC </t>
        </is>
      </c>
      <c r="S17" t="n">
        <v>2</v>
      </c>
      <c r="T17" t="n">
        <v>2</v>
      </c>
      <c r="U17" t="inlineStr">
        <is>
          <t>1994-03-02</t>
        </is>
      </c>
      <c r="V17" t="inlineStr">
        <is>
          <t>1994-03-02</t>
        </is>
      </c>
      <c r="W17" t="inlineStr">
        <is>
          <t>1994-02-24</t>
        </is>
      </c>
      <c r="X17" t="inlineStr">
        <is>
          <t>1994-02-24</t>
        </is>
      </c>
      <c r="Y17" t="n">
        <v>585</v>
      </c>
      <c r="Z17" t="n">
        <v>417</v>
      </c>
      <c r="AA17" t="n">
        <v>565</v>
      </c>
      <c r="AB17" t="n">
        <v>2</v>
      </c>
      <c r="AC17" t="n">
        <v>3</v>
      </c>
      <c r="AD17" t="n">
        <v>14</v>
      </c>
      <c r="AE17" t="n">
        <v>19</v>
      </c>
      <c r="AF17" t="n">
        <v>5</v>
      </c>
      <c r="AG17" t="n">
        <v>6</v>
      </c>
      <c r="AH17" t="n">
        <v>3</v>
      </c>
      <c r="AI17" t="n">
        <v>4</v>
      </c>
      <c r="AJ17" t="n">
        <v>8</v>
      </c>
      <c r="AK17" t="n">
        <v>11</v>
      </c>
      <c r="AL17" t="n">
        <v>1</v>
      </c>
      <c r="AM17" t="n">
        <v>2</v>
      </c>
      <c r="AN17" t="n">
        <v>0</v>
      </c>
      <c r="AO17" t="n">
        <v>0</v>
      </c>
      <c r="AP17" t="inlineStr">
        <is>
          <t>No</t>
        </is>
      </c>
      <c r="AQ17" t="inlineStr">
        <is>
          <t>Yes</t>
        </is>
      </c>
      <c r="AR17">
        <f>HYPERLINK("http://catalog.hathitrust.org/Record/001577863","HathiTrust Record")</f>
        <v/>
      </c>
      <c r="AS17">
        <f>HYPERLINK("https://creighton-primo.hosted.exlibrisgroup.com/primo-explore/search?tab=default_tab&amp;search_scope=EVERYTHING&amp;vid=01CRU&amp;lang=en_US&amp;offset=0&amp;query=any,contains,991005264319702656","Catalog Record")</f>
        <v/>
      </c>
      <c r="AT17">
        <f>HYPERLINK("http://www.worldcat.org/oclc/907772","WorldCat Record")</f>
        <v/>
      </c>
      <c r="AU17" t="inlineStr">
        <is>
          <t>2054880:eng</t>
        </is>
      </c>
      <c r="AV17" t="inlineStr">
        <is>
          <t>907772</t>
        </is>
      </c>
      <c r="AW17" t="inlineStr">
        <is>
          <t>991005264319702656</t>
        </is>
      </c>
      <c r="AX17" t="inlineStr">
        <is>
          <t>991005264319702656</t>
        </is>
      </c>
      <c r="AY17" t="inlineStr">
        <is>
          <t>2258208630002656</t>
        </is>
      </c>
      <c r="AZ17" t="inlineStr">
        <is>
          <t>BOOK</t>
        </is>
      </c>
      <c r="BC17" t="inlineStr">
        <is>
          <t>32285001850048</t>
        </is>
      </c>
      <c r="BD17" t="inlineStr">
        <is>
          <t>893808098</t>
        </is>
      </c>
    </row>
    <row r="18">
      <c r="A18" t="inlineStr">
        <is>
          <t>No</t>
        </is>
      </c>
      <c r="B18" t="inlineStr">
        <is>
          <t>RC119 .F3 1968</t>
        </is>
      </c>
      <c r="C18" t="inlineStr">
        <is>
          <t>0                      RC 0119000F  3           1968</t>
        </is>
      </c>
      <c r="D18" t="inlineStr">
        <is>
          <t>Animal agents and vectors of human disease [by] Ernest Carroll Faust, Paul Chester Beaver [and] Rodney Clifton Jung.</t>
        </is>
      </c>
      <c r="F18" t="inlineStr">
        <is>
          <t>No</t>
        </is>
      </c>
      <c r="G18" t="inlineStr">
        <is>
          <t>1</t>
        </is>
      </c>
      <c r="H18" t="inlineStr">
        <is>
          <t>No</t>
        </is>
      </c>
      <c r="I18" t="inlineStr">
        <is>
          <t>No</t>
        </is>
      </c>
      <c r="J18" t="inlineStr">
        <is>
          <t>0</t>
        </is>
      </c>
      <c r="K18" t="inlineStr">
        <is>
          <t>Faust, Ernest Carroll, 1890-1978.</t>
        </is>
      </c>
      <c r="L18" t="inlineStr">
        <is>
          <t>Philadelphia, Lea &amp; Febiger, 1968.</t>
        </is>
      </c>
      <c r="M18" t="inlineStr">
        <is>
          <t>1968</t>
        </is>
      </c>
      <c r="N18" t="inlineStr">
        <is>
          <t>3d ed.</t>
        </is>
      </c>
      <c r="O18" t="inlineStr">
        <is>
          <t>eng</t>
        </is>
      </c>
      <c r="P18" t="inlineStr">
        <is>
          <t>pau</t>
        </is>
      </c>
      <c r="R18" t="inlineStr">
        <is>
          <t xml:space="preserve">RC </t>
        </is>
      </c>
      <c r="S18" t="n">
        <v>2</v>
      </c>
      <c r="T18" t="n">
        <v>2</v>
      </c>
      <c r="U18" t="inlineStr">
        <is>
          <t>2010-07-06</t>
        </is>
      </c>
      <c r="V18" t="inlineStr">
        <is>
          <t>2010-07-06</t>
        </is>
      </c>
      <c r="W18" t="inlineStr">
        <is>
          <t>1997-08-08</t>
        </is>
      </c>
      <c r="X18" t="inlineStr">
        <is>
          <t>1997-08-08</t>
        </is>
      </c>
      <c r="Y18" t="n">
        <v>288</v>
      </c>
      <c r="Z18" t="n">
        <v>243</v>
      </c>
      <c r="AA18" t="n">
        <v>661</v>
      </c>
      <c r="AB18" t="n">
        <v>4</v>
      </c>
      <c r="AC18" t="n">
        <v>5</v>
      </c>
      <c r="AD18" t="n">
        <v>7</v>
      </c>
      <c r="AE18" t="n">
        <v>24</v>
      </c>
      <c r="AF18" t="n">
        <v>1</v>
      </c>
      <c r="AG18" t="n">
        <v>8</v>
      </c>
      <c r="AH18" t="n">
        <v>1</v>
      </c>
      <c r="AI18" t="n">
        <v>5</v>
      </c>
      <c r="AJ18" t="n">
        <v>4</v>
      </c>
      <c r="AK18" t="n">
        <v>15</v>
      </c>
      <c r="AL18" t="n">
        <v>3</v>
      </c>
      <c r="AM18" t="n">
        <v>4</v>
      </c>
      <c r="AN18" t="n">
        <v>0</v>
      </c>
      <c r="AO18" t="n">
        <v>0</v>
      </c>
      <c r="AP18" t="inlineStr">
        <is>
          <t>No</t>
        </is>
      </c>
      <c r="AQ18" t="inlineStr">
        <is>
          <t>Yes</t>
        </is>
      </c>
      <c r="AR18">
        <f>HYPERLINK("http://catalog.hathitrust.org/Record/001562041","HathiTrust Record")</f>
        <v/>
      </c>
      <c r="AS18">
        <f>HYPERLINK("https://creighton-primo.hosted.exlibrisgroup.com/primo-explore/search?tab=default_tab&amp;search_scope=EVERYTHING&amp;vid=01CRU&amp;lang=en_US&amp;offset=0&amp;query=any,contains,991002339069702656","Catalog Record")</f>
        <v/>
      </c>
      <c r="AT18">
        <f>HYPERLINK("http://www.worldcat.org/oclc/323412","WorldCat Record")</f>
        <v/>
      </c>
      <c r="AU18" t="inlineStr">
        <is>
          <t>1406848:eng</t>
        </is>
      </c>
      <c r="AV18" t="inlineStr">
        <is>
          <t>323412</t>
        </is>
      </c>
      <c r="AW18" t="inlineStr">
        <is>
          <t>991002339069702656</t>
        </is>
      </c>
      <c r="AX18" t="inlineStr">
        <is>
          <t>991002339069702656</t>
        </is>
      </c>
      <c r="AY18" t="inlineStr">
        <is>
          <t>2256670810002656</t>
        </is>
      </c>
      <c r="AZ18" t="inlineStr">
        <is>
          <t>BOOK</t>
        </is>
      </c>
      <c r="BC18" t="inlineStr">
        <is>
          <t>32285003084372</t>
        </is>
      </c>
      <c r="BD18" t="inlineStr">
        <is>
          <t>893322814</t>
        </is>
      </c>
    </row>
    <row r="19">
      <c r="A19" t="inlineStr">
        <is>
          <t>No</t>
        </is>
      </c>
      <c r="B19" t="inlineStr">
        <is>
          <t>RC119 .J313</t>
        </is>
      </c>
      <c r="C19" t="inlineStr">
        <is>
          <t>0                      RC 0119000J  313</t>
        </is>
      </c>
      <c r="D19" t="inlineStr">
        <is>
          <t>Human parasitology, by Daniel M. Jarry. Pref. by H. Harant. Water-colour drawings by Y. Bouisset and F. Angel. Translated by R. Crawford.</t>
        </is>
      </c>
      <c r="F19" t="inlineStr">
        <is>
          <t>No</t>
        </is>
      </c>
      <c r="G19" t="inlineStr">
        <is>
          <t>1</t>
        </is>
      </c>
      <c r="H19" t="inlineStr">
        <is>
          <t>No</t>
        </is>
      </c>
      <c r="I19" t="inlineStr">
        <is>
          <t>No</t>
        </is>
      </c>
      <c r="J19" t="inlineStr">
        <is>
          <t>0</t>
        </is>
      </c>
      <c r="K19" t="inlineStr">
        <is>
          <t>Jarry, Daniel M.</t>
        </is>
      </c>
      <c r="L19" t="inlineStr">
        <is>
          <t>Oxford, New York, Pergamon Press [1967]</t>
        </is>
      </c>
      <c r="M19" t="inlineStr">
        <is>
          <t>1967</t>
        </is>
      </c>
      <c r="N19" t="inlineStr">
        <is>
          <t>[1st English ed.]</t>
        </is>
      </c>
      <c r="O19" t="inlineStr">
        <is>
          <t>eng</t>
        </is>
      </c>
      <c r="P19" t="inlineStr">
        <is>
          <t>enk</t>
        </is>
      </c>
      <c r="R19" t="inlineStr">
        <is>
          <t xml:space="preserve">RC </t>
        </is>
      </c>
      <c r="S19" t="n">
        <v>1</v>
      </c>
      <c r="T19" t="n">
        <v>1</v>
      </c>
      <c r="U19" t="inlineStr">
        <is>
          <t>2005-02-26</t>
        </is>
      </c>
      <c r="V19" t="inlineStr">
        <is>
          <t>2005-02-26</t>
        </is>
      </c>
      <c r="W19" t="inlineStr">
        <is>
          <t>1997-08-08</t>
        </is>
      </c>
      <c r="X19" t="inlineStr">
        <is>
          <t>1997-08-08</t>
        </is>
      </c>
      <c r="Y19" t="n">
        <v>149</v>
      </c>
      <c r="Z19" t="n">
        <v>132</v>
      </c>
      <c r="AA19" t="n">
        <v>142</v>
      </c>
      <c r="AB19" t="n">
        <v>2</v>
      </c>
      <c r="AC19" t="n">
        <v>2</v>
      </c>
      <c r="AD19" t="n">
        <v>6</v>
      </c>
      <c r="AE19" t="n">
        <v>6</v>
      </c>
      <c r="AF19" t="n">
        <v>3</v>
      </c>
      <c r="AG19" t="n">
        <v>3</v>
      </c>
      <c r="AH19" t="n">
        <v>2</v>
      </c>
      <c r="AI19" t="n">
        <v>2</v>
      </c>
      <c r="AJ19" t="n">
        <v>2</v>
      </c>
      <c r="AK19" t="n">
        <v>2</v>
      </c>
      <c r="AL19" t="n">
        <v>1</v>
      </c>
      <c r="AM19" t="n">
        <v>1</v>
      </c>
      <c r="AN19" t="n">
        <v>0</v>
      </c>
      <c r="AO19" t="n">
        <v>0</v>
      </c>
      <c r="AP19" t="inlineStr">
        <is>
          <t>No</t>
        </is>
      </c>
      <c r="AQ19" t="inlineStr">
        <is>
          <t>Yes</t>
        </is>
      </c>
      <c r="AR19">
        <f>HYPERLINK("http://catalog.hathitrust.org/Record/001562102","HathiTrust Record")</f>
        <v/>
      </c>
      <c r="AS19">
        <f>HYPERLINK("https://creighton-primo.hosted.exlibrisgroup.com/primo-explore/search?tab=default_tab&amp;search_scope=EVERYTHING&amp;vid=01CRU&amp;lang=en_US&amp;offset=0&amp;query=any,contains,991003377099702656","Catalog Record")</f>
        <v/>
      </c>
      <c r="AT19">
        <f>HYPERLINK("http://www.worldcat.org/oclc/914137","WorldCat Record")</f>
        <v/>
      </c>
      <c r="AU19" t="inlineStr">
        <is>
          <t>9438298527:eng</t>
        </is>
      </c>
      <c r="AV19" t="inlineStr">
        <is>
          <t>914137</t>
        </is>
      </c>
      <c r="AW19" t="inlineStr">
        <is>
          <t>991003377099702656</t>
        </is>
      </c>
      <c r="AX19" t="inlineStr">
        <is>
          <t>991003377099702656</t>
        </is>
      </c>
      <c r="AY19" t="inlineStr">
        <is>
          <t>2262676650002656</t>
        </is>
      </c>
      <c r="AZ19" t="inlineStr">
        <is>
          <t>BOOK</t>
        </is>
      </c>
      <c r="BC19" t="inlineStr">
        <is>
          <t>32285003084380</t>
        </is>
      </c>
      <c r="BD19" t="inlineStr">
        <is>
          <t>893434949</t>
        </is>
      </c>
    </row>
    <row r="20">
      <c r="A20" t="inlineStr">
        <is>
          <t>No</t>
        </is>
      </c>
      <c r="B20" t="inlineStr">
        <is>
          <t>RC119 .M25 1980</t>
        </is>
      </c>
      <c r="C20" t="inlineStr">
        <is>
          <t>0                      RC 0119000M  25          1980</t>
        </is>
      </c>
      <c r="D20" t="inlineStr">
        <is>
          <t>Snail-transmitted parasitic diseases / author, Emile A. Malek.</t>
        </is>
      </c>
      <c r="E20" t="inlineStr">
        <is>
          <t>V.2</t>
        </is>
      </c>
      <c r="F20" t="inlineStr">
        <is>
          <t>Yes</t>
        </is>
      </c>
      <c r="G20" t="inlineStr">
        <is>
          <t>1</t>
        </is>
      </c>
      <c r="H20" t="inlineStr">
        <is>
          <t>No</t>
        </is>
      </c>
      <c r="I20" t="inlineStr">
        <is>
          <t>No</t>
        </is>
      </c>
      <c r="J20" t="inlineStr">
        <is>
          <t>0</t>
        </is>
      </c>
      <c r="K20" t="inlineStr">
        <is>
          <t>Malek, Emile A. (Emile Abdel), 1922-1996.</t>
        </is>
      </c>
      <c r="L20" t="inlineStr">
        <is>
          <t>Boca Raton, Fla. : CRC Press, c1980.</t>
        </is>
      </c>
      <c r="M20" t="inlineStr">
        <is>
          <t>1980</t>
        </is>
      </c>
      <c r="O20" t="inlineStr">
        <is>
          <t>eng</t>
        </is>
      </c>
      <c r="P20" t="inlineStr">
        <is>
          <t>flu</t>
        </is>
      </c>
      <c r="R20" t="inlineStr">
        <is>
          <t xml:space="preserve">RC </t>
        </is>
      </c>
      <c r="S20" t="n">
        <v>3</v>
      </c>
      <c r="T20" t="n">
        <v>6</v>
      </c>
      <c r="U20" t="inlineStr">
        <is>
          <t>1994-02-18</t>
        </is>
      </c>
      <c r="V20" t="inlineStr">
        <is>
          <t>1996-01-29</t>
        </is>
      </c>
      <c r="W20" t="inlineStr">
        <is>
          <t>1993-03-17</t>
        </is>
      </c>
      <c r="X20" t="inlineStr">
        <is>
          <t>1993-03-17</t>
        </is>
      </c>
      <c r="Y20" t="n">
        <v>219</v>
      </c>
      <c r="Z20" t="n">
        <v>158</v>
      </c>
      <c r="AA20" t="n">
        <v>158</v>
      </c>
      <c r="AB20" t="n">
        <v>2</v>
      </c>
      <c r="AC20" t="n">
        <v>2</v>
      </c>
      <c r="AD20" t="n">
        <v>3</v>
      </c>
      <c r="AE20" t="n">
        <v>3</v>
      </c>
      <c r="AF20" t="n">
        <v>1</v>
      </c>
      <c r="AG20" t="n">
        <v>1</v>
      </c>
      <c r="AH20" t="n">
        <v>2</v>
      </c>
      <c r="AI20" t="n">
        <v>2</v>
      </c>
      <c r="AJ20" t="n">
        <v>0</v>
      </c>
      <c r="AK20" t="n">
        <v>0</v>
      </c>
      <c r="AL20" t="n">
        <v>1</v>
      </c>
      <c r="AM20" t="n">
        <v>1</v>
      </c>
      <c r="AN20" t="n">
        <v>0</v>
      </c>
      <c r="AO20" t="n">
        <v>0</v>
      </c>
      <c r="AP20" t="inlineStr">
        <is>
          <t>No</t>
        </is>
      </c>
      <c r="AQ20" t="inlineStr">
        <is>
          <t>No</t>
        </is>
      </c>
      <c r="AS20">
        <f>HYPERLINK("https://creighton-primo.hosted.exlibrisgroup.com/primo-explore/search?tab=default_tab&amp;search_scope=EVERYTHING&amp;vid=01CRU&amp;lang=en_US&amp;offset=0&amp;query=any,contains,991004766159702656","Catalog Record")</f>
        <v/>
      </c>
      <c r="AT20">
        <f>HYPERLINK("http://www.worldcat.org/oclc/5029368","WorldCat Record")</f>
        <v/>
      </c>
      <c r="AU20" t="inlineStr">
        <is>
          <t>5135800757:eng</t>
        </is>
      </c>
      <c r="AV20" t="inlineStr">
        <is>
          <t>5029368</t>
        </is>
      </c>
      <c r="AW20" t="inlineStr">
        <is>
          <t>991004766159702656</t>
        </is>
      </c>
      <c r="AX20" t="inlineStr">
        <is>
          <t>991004766159702656</t>
        </is>
      </c>
      <c r="AY20" t="inlineStr">
        <is>
          <t>2271645550002656</t>
        </is>
      </c>
      <c r="AZ20" t="inlineStr">
        <is>
          <t>BOOK</t>
        </is>
      </c>
      <c r="BB20" t="inlineStr">
        <is>
          <t>9780849352690</t>
        </is>
      </c>
      <c r="BC20" t="inlineStr">
        <is>
          <t>32285001589026</t>
        </is>
      </c>
      <c r="BD20" t="inlineStr">
        <is>
          <t>893606447</t>
        </is>
      </c>
    </row>
    <row r="21">
      <c r="A21" t="inlineStr">
        <is>
          <t>No</t>
        </is>
      </c>
      <c r="B21" t="inlineStr">
        <is>
          <t>RC119 .M25 1980</t>
        </is>
      </c>
      <c r="C21" t="inlineStr">
        <is>
          <t>0                      RC 0119000M  25          1980</t>
        </is>
      </c>
      <c r="D21" t="inlineStr">
        <is>
          <t>Snail-transmitted parasitic diseases / author, Emile A. Malek.</t>
        </is>
      </c>
      <c r="E21" t="inlineStr">
        <is>
          <t>V.1</t>
        </is>
      </c>
      <c r="F21" t="inlineStr">
        <is>
          <t>Yes</t>
        </is>
      </c>
      <c r="G21" t="inlineStr">
        <is>
          <t>1</t>
        </is>
      </c>
      <c r="H21" t="inlineStr">
        <is>
          <t>No</t>
        </is>
      </c>
      <c r="I21" t="inlineStr">
        <is>
          <t>No</t>
        </is>
      </c>
      <c r="J21" t="inlineStr">
        <is>
          <t>0</t>
        </is>
      </c>
      <c r="K21" t="inlineStr">
        <is>
          <t>Malek, Emile A. (Emile Abdel), 1922-1996.</t>
        </is>
      </c>
      <c r="L21" t="inlineStr">
        <is>
          <t>Boca Raton, Fla. : CRC Press, c1980.</t>
        </is>
      </c>
      <c r="M21" t="inlineStr">
        <is>
          <t>1980</t>
        </is>
      </c>
      <c r="O21" t="inlineStr">
        <is>
          <t>eng</t>
        </is>
      </c>
      <c r="P21" t="inlineStr">
        <is>
          <t>flu</t>
        </is>
      </c>
      <c r="R21" t="inlineStr">
        <is>
          <t xml:space="preserve">RC </t>
        </is>
      </c>
      <c r="S21" t="n">
        <v>3</v>
      </c>
      <c r="T21" t="n">
        <v>6</v>
      </c>
      <c r="U21" t="inlineStr">
        <is>
          <t>1996-01-29</t>
        </is>
      </c>
      <c r="V21" t="inlineStr">
        <is>
          <t>1996-01-29</t>
        </is>
      </c>
      <c r="W21" t="inlineStr">
        <is>
          <t>1993-03-17</t>
        </is>
      </c>
      <c r="X21" t="inlineStr">
        <is>
          <t>1993-03-17</t>
        </is>
      </c>
      <c r="Y21" t="n">
        <v>219</v>
      </c>
      <c r="Z21" t="n">
        <v>158</v>
      </c>
      <c r="AA21" t="n">
        <v>158</v>
      </c>
      <c r="AB21" t="n">
        <v>2</v>
      </c>
      <c r="AC21" t="n">
        <v>2</v>
      </c>
      <c r="AD21" t="n">
        <v>3</v>
      </c>
      <c r="AE21" t="n">
        <v>3</v>
      </c>
      <c r="AF21" t="n">
        <v>1</v>
      </c>
      <c r="AG21" t="n">
        <v>1</v>
      </c>
      <c r="AH21" t="n">
        <v>2</v>
      </c>
      <c r="AI21" t="n">
        <v>2</v>
      </c>
      <c r="AJ21" t="n">
        <v>0</v>
      </c>
      <c r="AK21" t="n">
        <v>0</v>
      </c>
      <c r="AL21" t="n">
        <v>1</v>
      </c>
      <c r="AM21" t="n">
        <v>1</v>
      </c>
      <c r="AN21" t="n">
        <v>0</v>
      </c>
      <c r="AO21" t="n">
        <v>0</v>
      </c>
      <c r="AP21" t="inlineStr">
        <is>
          <t>No</t>
        </is>
      </c>
      <c r="AQ21" t="inlineStr">
        <is>
          <t>No</t>
        </is>
      </c>
      <c r="AS21">
        <f>HYPERLINK("https://creighton-primo.hosted.exlibrisgroup.com/primo-explore/search?tab=default_tab&amp;search_scope=EVERYTHING&amp;vid=01CRU&amp;lang=en_US&amp;offset=0&amp;query=any,contains,991004766159702656","Catalog Record")</f>
        <v/>
      </c>
      <c r="AT21">
        <f>HYPERLINK("http://www.worldcat.org/oclc/5029368","WorldCat Record")</f>
        <v/>
      </c>
      <c r="AU21" t="inlineStr">
        <is>
          <t>5135800757:eng</t>
        </is>
      </c>
      <c r="AV21" t="inlineStr">
        <is>
          <t>5029368</t>
        </is>
      </c>
      <c r="AW21" t="inlineStr">
        <is>
          <t>991004766159702656</t>
        </is>
      </c>
      <c r="AX21" t="inlineStr">
        <is>
          <t>991004766159702656</t>
        </is>
      </c>
      <c r="AY21" t="inlineStr">
        <is>
          <t>2271645550002656</t>
        </is>
      </c>
      <c r="AZ21" t="inlineStr">
        <is>
          <t>BOOK</t>
        </is>
      </c>
      <c r="BB21" t="inlineStr">
        <is>
          <t>9780849352690</t>
        </is>
      </c>
      <c r="BC21" t="inlineStr">
        <is>
          <t>32285001589018</t>
        </is>
      </c>
      <c r="BD21" t="inlineStr">
        <is>
          <t>893606448</t>
        </is>
      </c>
    </row>
    <row r="22">
      <c r="A22" t="inlineStr">
        <is>
          <t>No</t>
        </is>
      </c>
      <c r="B22" t="inlineStr">
        <is>
          <t>RC119 .P34 1979</t>
        </is>
      </c>
      <c r="C22" t="inlineStr">
        <is>
          <t>0                      RC 0119000P  34          1979</t>
        </is>
      </c>
      <c r="D22" t="inlineStr">
        <is>
          <t>Parasites and western man / edited by R. J. Donaldson.</t>
        </is>
      </c>
      <c r="F22" t="inlineStr">
        <is>
          <t>No</t>
        </is>
      </c>
      <c r="G22" t="inlineStr">
        <is>
          <t>1</t>
        </is>
      </c>
      <c r="H22" t="inlineStr">
        <is>
          <t>No</t>
        </is>
      </c>
      <c r="I22" t="inlineStr">
        <is>
          <t>No</t>
        </is>
      </c>
      <c r="J22" t="inlineStr">
        <is>
          <t>0</t>
        </is>
      </c>
      <c r="L22" t="inlineStr">
        <is>
          <t>Baltimore : University Park Press, c1979.</t>
        </is>
      </c>
      <c r="M22" t="inlineStr">
        <is>
          <t>1979</t>
        </is>
      </c>
      <c r="O22" t="inlineStr">
        <is>
          <t>eng</t>
        </is>
      </c>
      <c r="P22" t="inlineStr">
        <is>
          <t>mdu</t>
        </is>
      </c>
      <c r="R22" t="inlineStr">
        <is>
          <t xml:space="preserve">RC </t>
        </is>
      </c>
      <c r="S22" t="n">
        <v>6</v>
      </c>
      <c r="T22" t="n">
        <v>6</v>
      </c>
      <c r="U22" t="inlineStr">
        <is>
          <t>2005-02-26</t>
        </is>
      </c>
      <c r="V22" t="inlineStr">
        <is>
          <t>2005-02-26</t>
        </is>
      </c>
      <c r="W22" t="inlineStr">
        <is>
          <t>1993-03-17</t>
        </is>
      </c>
      <c r="X22" t="inlineStr">
        <is>
          <t>1993-03-17</t>
        </is>
      </c>
      <c r="Y22" t="n">
        <v>261</v>
      </c>
      <c r="Z22" t="n">
        <v>239</v>
      </c>
      <c r="AA22" t="n">
        <v>271</v>
      </c>
      <c r="AB22" t="n">
        <v>3</v>
      </c>
      <c r="AC22" t="n">
        <v>3</v>
      </c>
      <c r="AD22" t="n">
        <v>10</v>
      </c>
      <c r="AE22" t="n">
        <v>10</v>
      </c>
      <c r="AF22" t="n">
        <v>4</v>
      </c>
      <c r="AG22" t="n">
        <v>4</v>
      </c>
      <c r="AH22" t="n">
        <v>3</v>
      </c>
      <c r="AI22" t="n">
        <v>3</v>
      </c>
      <c r="AJ22" t="n">
        <v>5</v>
      </c>
      <c r="AK22" t="n">
        <v>5</v>
      </c>
      <c r="AL22" t="n">
        <v>2</v>
      </c>
      <c r="AM22" t="n">
        <v>2</v>
      </c>
      <c r="AN22" t="n">
        <v>0</v>
      </c>
      <c r="AO22" t="n">
        <v>0</v>
      </c>
      <c r="AP22" t="inlineStr">
        <is>
          <t>No</t>
        </is>
      </c>
      <c r="AQ22" t="inlineStr">
        <is>
          <t>Yes</t>
        </is>
      </c>
      <c r="AR22">
        <f>HYPERLINK("http://catalog.hathitrust.org/Record/000697717","HathiTrust Record")</f>
        <v/>
      </c>
      <c r="AS22">
        <f>HYPERLINK("https://creighton-primo.hosted.exlibrisgroup.com/primo-explore/search?tab=default_tab&amp;search_scope=EVERYTHING&amp;vid=01CRU&amp;lang=en_US&amp;offset=0&amp;query=any,contains,991004814949702656","Catalog Record")</f>
        <v/>
      </c>
      <c r="AT22">
        <f>HYPERLINK("http://www.worldcat.org/oclc/5303983","WorldCat Record")</f>
        <v/>
      </c>
      <c r="AU22" t="inlineStr">
        <is>
          <t>54313438:eng</t>
        </is>
      </c>
      <c r="AV22" t="inlineStr">
        <is>
          <t>5303983</t>
        </is>
      </c>
      <c r="AW22" t="inlineStr">
        <is>
          <t>991004814949702656</t>
        </is>
      </c>
      <c r="AX22" t="inlineStr">
        <is>
          <t>991004814949702656</t>
        </is>
      </c>
      <c r="AY22" t="inlineStr">
        <is>
          <t>2261754060002656</t>
        </is>
      </c>
      <c r="AZ22" t="inlineStr">
        <is>
          <t>BOOK</t>
        </is>
      </c>
      <c r="BC22" t="inlineStr">
        <is>
          <t>32285001589034</t>
        </is>
      </c>
      <c r="BD22" t="inlineStr">
        <is>
          <t>893719409</t>
        </is>
      </c>
    </row>
    <row r="23">
      <c r="A23" t="inlineStr">
        <is>
          <t>No</t>
        </is>
      </c>
      <c r="B23" t="inlineStr">
        <is>
          <t>RC1200 .C34 1986 v.5, no.4</t>
        </is>
      </c>
      <c r="C23" t="inlineStr">
        <is>
          <t>0                      RC 1200000C  34          1986                                        v.5, no.4</t>
        </is>
      </c>
      <c r="D23" t="inlineStr">
        <is>
          <t>Injuries to the elbow, forearm, and hand / Frank C. McCue, guest editor.</t>
        </is>
      </c>
      <c r="E23" t="inlineStr">
        <is>
          <t>V. 5 NO. 4</t>
        </is>
      </c>
      <c r="F23" t="inlineStr">
        <is>
          <t>No</t>
        </is>
      </c>
      <c r="G23" t="inlineStr">
        <is>
          <t>1</t>
        </is>
      </c>
      <c r="H23" t="inlineStr">
        <is>
          <t>No</t>
        </is>
      </c>
      <c r="I23" t="inlineStr">
        <is>
          <t>No</t>
        </is>
      </c>
      <c r="J23" t="inlineStr">
        <is>
          <t>0</t>
        </is>
      </c>
      <c r="L23" t="inlineStr">
        <is>
          <t>Philadelphia, Pa. : W.B. Saunders, c1986.</t>
        </is>
      </c>
      <c r="M23" t="inlineStr">
        <is>
          <t>1986</t>
        </is>
      </c>
      <c r="O23" t="inlineStr">
        <is>
          <t>eng</t>
        </is>
      </c>
      <c r="P23" t="inlineStr">
        <is>
          <t>pau</t>
        </is>
      </c>
      <c r="Q23" t="inlineStr">
        <is>
          <t>Clinics in sports medicine ; v. 5, no. 4, 1986</t>
        </is>
      </c>
      <c r="R23" t="inlineStr">
        <is>
          <t xml:space="preserve">RC </t>
        </is>
      </c>
      <c r="S23" t="n">
        <v>6</v>
      </c>
      <c r="T23" t="n">
        <v>6</v>
      </c>
      <c r="U23" t="inlineStr">
        <is>
          <t>1994-04-26</t>
        </is>
      </c>
      <c r="V23" t="inlineStr">
        <is>
          <t>1994-04-26</t>
        </is>
      </c>
      <c r="W23" t="inlineStr">
        <is>
          <t>1992-04-22</t>
        </is>
      </c>
      <c r="X23" t="inlineStr">
        <is>
          <t>1992-04-22</t>
        </is>
      </c>
      <c r="Y23" t="n">
        <v>54</v>
      </c>
      <c r="Z23" t="n">
        <v>46</v>
      </c>
      <c r="AA23" t="n">
        <v>46</v>
      </c>
      <c r="AB23" t="n">
        <v>3</v>
      </c>
      <c r="AC23" t="n">
        <v>3</v>
      </c>
      <c r="AD23" t="n">
        <v>3</v>
      </c>
      <c r="AE23" t="n">
        <v>3</v>
      </c>
      <c r="AF23" t="n">
        <v>1</v>
      </c>
      <c r="AG23" t="n">
        <v>1</v>
      </c>
      <c r="AH23" t="n">
        <v>1</v>
      </c>
      <c r="AI23" t="n">
        <v>1</v>
      </c>
      <c r="AJ23" t="n">
        <v>0</v>
      </c>
      <c r="AK23" t="n">
        <v>0</v>
      </c>
      <c r="AL23" t="n">
        <v>1</v>
      </c>
      <c r="AM23" t="n">
        <v>1</v>
      </c>
      <c r="AN23" t="n">
        <v>0</v>
      </c>
      <c r="AO23" t="n">
        <v>0</v>
      </c>
      <c r="AP23" t="inlineStr">
        <is>
          <t>No</t>
        </is>
      </c>
      <c r="AQ23" t="inlineStr">
        <is>
          <t>No</t>
        </is>
      </c>
      <c r="AS23">
        <f>HYPERLINK("https://creighton-primo.hosted.exlibrisgroup.com/primo-explore/search?tab=default_tab&amp;search_scope=EVERYTHING&amp;vid=01CRU&amp;lang=en_US&amp;offset=0&amp;query=any,contains,991000937179702656","Catalog Record")</f>
        <v/>
      </c>
      <c r="AT23">
        <f>HYPERLINK("http://www.worldcat.org/oclc/15628430","WorldCat Record")</f>
        <v/>
      </c>
      <c r="AU23" t="inlineStr">
        <is>
          <t>10348337:eng</t>
        </is>
      </c>
      <c r="AV23" t="inlineStr">
        <is>
          <t>15628430</t>
        </is>
      </c>
      <c r="AW23" t="inlineStr">
        <is>
          <t>991000937179702656</t>
        </is>
      </c>
      <c r="AX23" t="inlineStr">
        <is>
          <t>991000937179702656</t>
        </is>
      </c>
      <c r="AY23" t="inlineStr">
        <is>
          <t>2263073720002656</t>
        </is>
      </c>
      <c r="AZ23" t="inlineStr">
        <is>
          <t>BOOK</t>
        </is>
      </c>
      <c r="BC23" t="inlineStr">
        <is>
          <t>32285001028686</t>
        </is>
      </c>
      <c r="BD23" t="inlineStr">
        <is>
          <t>893690168</t>
        </is>
      </c>
    </row>
    <row r="24">
      <c r="A24" t="inlineStr">
        <is>
          <t>No</t>
        </is>
      </c>
      <c r="B24" t="inlineStr">
        <is>
          <t>RC1200 .C34 1986, v.5, no.1</t>
        </is>
      </c>
      <c r="C24" t="inlineStr">
        <is>
          <t>0                      RC 1200000C  34          1986                                        v.5, no.1</t>
        </is>
      </c>
      <c r="D24" t="inlineStr">
        <is>
          <t>Swimming / Jerome V. Ciullo, guest editor.</t>
        </is>
      </c>
      <c r="E24" t="inlineStr">
        <is>
          <t>V. 5 NO. 1</t>
        </is>
      </c>
      <c r="F24" t="inlineStr">
        <is>
          <t>No</t>
        </is>
      </c>
      <c r="G24" t="inlineStr">
        <is>
          <t>1</t>
        </is>
      </c>
      <c r="H24" t="inlineStr">
        <is>
          <t>No</t>
        </is>
      </c>
      <c r="I24" t="inlineStr">
        <is>
          <t>No</t>
        </is>
      </c>
      <c r="J24" t="inlineStr">
        <is>
          <t>0</t>
        </is>
      </c>
      <c r="L24" t="inlineStr">
        <is>
          <t>Philadelphia : Saunders, 1986.</t>
        </is>
      </c>
      <c r="M24" t="inlineStr">
        <is>
          <t>1986</t>
        </is>
      </c>
      <c r="O24" t="inlineStr">
        <is>
          <t>eng</t>
        </is>
      </c>
      <c r="P24" t="inlineStr">
        <is>
          <t>pau</t>
        </is>
      </c>
      <c r="Q24" t="inlineStr">
        <is>
          <t>Clinics in sports medicine, 0278-5919 ; v. 5, no. 1</t>
        </is>
      </c>
      <c r="R24" t="inlineStr">
        <is>
          <t xml:space="preserve">RC </t>
        </is>
      </c>
      <c r="S24" t="n">
        <v>2</v>
      </c>
      <c r="T24" t="n">
        <v>2</v>
      </c>
      <c r="U24" t="inlineStr">
        <is>
          <t>2008-02-12</t>
        </is>
      </c>
      <c r="V24" t="inlineStr">
        <is>
          <t>2008-02-12</t>
        </is>
      </c>
      <c r="W24" t="inlineStr">
        <is>
          <t>1993-03-24</t>
        </is>
      </c>
      <c r="X24" t="inlineStr">
        <is>
          <t>1993-03-24</t>
        </is>
      </c>
      <c r="Y24" t="n">
        <v>55</v>
      </c>
      <c r="Z24" t="n">
        <v>47</v>
      </c>
      <c r="AA24" t="n">
        <v>47</v>
      </c>
      <c r="AB24" t="n">
        <v>3</v>
      </c>
      <c r="AC24" t="n">
        <v>3</v>
      </c>
      <c r="AD24" t="n">
        <v>2</v>
      </c>
      <c r="AE24" t="n">
        <v>2</v>
      </c>
      <c r="AF24" t="n">
        <v>0</v>
      </c>
      <c r="AG24" t="n">
        <v>0</v>
      </c>
      <c r="AH24" t="n">
        <v>1</v>
      </c>
      <c r="AI24" t="n">
        <v>1</v>
      </c>
      <c r="AJ24" t="n">
        <v>0</v>
      </c>
      <c r="AK24" t="n">
        <v>0</v>
      </c>
      <c r="AL24" t="n">
        <v>1</v>
      </c>
      <c r="AM24" t="n">
        <v>1</v>
      </c>
      <c r="AN24" t="n">
        <v>0</v>
      </c>
      <c r="AO24" t="n">
        <v>0</v>
      </c>
      <c r="AP24" t="inlineStr">
        <is>
          <t>No</t>
        </is>
      </c>
      <c r="AQ24" t="inlineStr">
        <is>
          <t>No</t>
        </is>
      </c>
      <c r="AS24">
        <f>HYPERLINK("https://creighton-primo.hosted.exlibrisgroup.com/primo-explore/search?tab=default_tab&amp;search_scope=EVERYTHING&amp;vid=01CRU&amp;lang=en_US&amp;offset=0&amp;query=any,contains,991000773079702656","Catalog Record")</f>
        <v/>
      </c>
      <c r="AT24">
        <f>HYPERLINK("http://www.worldcat.org/oclc/14905766","WorldCat Record")</f>
        <v/>
      </c>
      <c r="AU24" t="inlineStr">
        <is>
          <t>54894136:eng</t>
        </is>
      </c>
      <c r="AV24" t="inlineStr">
        <is>
          <t>14905766</t>
        </is>
      </c>
      <c r="AW24" t="inlineStr">
        <is>
          <t>991000773079702656</t>
        </is>
      </c>
      <c r="AX24" t="inlineStr">
        <is>
          <t>991000773079702656</t>
        </is>
      </c>
      <c r="AY24" t="inlineStr">
        <is>
          <t>2267594930002656</t>
        </is>
      </c>
      <c r="AZ24" t="inlineStr">
        <is>
          <t>BOOK</t>
        </is>
      </c>
      <c r="BC24" t="inlineStr">
        <is>
          <t>32285001608446</t>
        </is>
      </c>
      <c r="BD24" t="inlineStr">
        <is>
          <t>893865662</t>
        </is>
      </c>
    </row>
    <row r="25">
      <c r="A25" t="inlineStr">
        <is>
          <t>No</t>
        </is>
      </c>
      <c r="B25" t="inlineStr">
        <is>
          <t>RC1200 .C34 1987 v.6 no.3</t>
        </is>
      </c>
      <c r="C25" t="inlineStr">
        <is>
          <t>0                      RC 1200000C  34          1987                                        v.6 no.3</t>
        </is>
      </c>
      <c r="D25" t="inlineStr">
        <is>
          <t>Arthroscopy / Jeffrey Minkoff and Orrin H. Sherman, guest editors.</t>
        </is>
      </c>
      <c r="E25" t="inlineStr">
        <is>
          <t>V.6 NO.3</t>
        </is>
      </c>
      <c r="F25" t="inlineStr">
        <is>
          <t>No</t>
        </is>
      </c>
      <c r="G25" t="inlineStr">
        <is>
          <t>1</t>
        </is>
      </c>
      <c r="H25" t="inlineStr">
        <is>
          <t>Yes</t>
        </is>
      </c>
      <c r="I25" t="inlineStr">
        <is>
          <t>No</t>
        </is>
      </c>
      <c r="J25" t="inlineStr">
        <is>
          <t>0</t>
        </is>
      </c>
      <c r="L25" t="inlineStr">
        <is>
          <t>Philadelphia : Saunders, 1987.</t>
        </is>
      </c>
      <c r="M25" t="inlineStr">
        <is>
          <t>1987</t>
        </is>
      </c>
      <c r="O25" t="inlineStr">
        <is>
          <t>eng</t>
        </is>
      </c>
      <c r="P25" t="inlineStr">
        <is>
          <t>pau</t>
        </is>
      </c>
      <c r="Q25" t="inlineStr">
        <is>
          <t>Clinics in sport medicine, 0278-5919 ; v. 6, no. 3</t>
        </is>
      </c>
      <c r="R25" t="inlineStr">
        <is>
          <t xml:space="preserve">RC </t>
        </is>
      </c>
      <c r="S25" t="n">
        <v>7</v>
      </c>
      <c r="T25" t="n">
        <v>7</v>
      </c>
      <c r="U25" t="inlineStr">
        <is>
          <t>2004-03-03</t>
        </is>
      </c>
      <c r="V25" t="inlineStr">
        <is>
          <t>2004-03-03</t>
        </is>
      </c>
      <c r="W25" t="inlineStr">
        <is>
          <t>1992-05-07</t>
        </is>
      </c>
      <c r="X25" t="inlineStr">
        <is>
          <t>2004-09-15</t>
        </is>
      </c>
      <c r="Y25" t="n">
        <v>55</v>
      </c>
      <c r="Z25" t="n">
        <v>46</v>
      </c>
      <c r="AA25" t="n">
        <v>47</v>
      </c>
      <c r="AB25" t="n">
        <v>3</v>
      </c>
      <c r="AC25" t="n">
        <v>3</v>
      </c>
      <c r="AD25" t="n">
        <v>2</v>
      </c>
      <c r="AE25" t="n">
        <v>2</v>
      </c>
      <c r="AF25" t="n">
        <v>0</v>
      </c>
      <c r="AG25" t="n">
        <v>0</v>
      </c>
      <c r="AH25" t="n">
        <v>1</v>
      </c>
      <c r="AI25" t="n">
        <v>1</v>
      </c>
      <c r="AJ25" t="n">
        <v>0</v>
      </c>
      <c r="AK25" t="n">
        <v>0</v>
      </c>
      <c r="AL25" t="n">
        <v>1</v>
      </c>
      <c r="AM25" t="n">
        <v>1</v>
      </c>
      <c r="AN25" t="n">
        <v>0</v>
      </c>
      <c r="AO25" t="n">
        <v>0</v>
      </c>
      <c r="AP25" t="inlineStr">
        <is>
          <t>No</t>
        </is>
      </c>
      <c r="AQ25" t="inlineStr">
        <is>
          <t>No</t>
        </is>
      </c>
      <c r="AS25">
        <f>HYPERLINK("https://creighton-primo.hosted.exlibrisgroup.com/primo-explore/search?tab=default_tab&amp;search_scope=EVERYTHING&amp;vid=01CRU&amp;lang=en_US&amp;offset=0&amp;query=any,contains,991001685339702656","Catalog Record")</f>
        <v/>
      </c>
      <c r="AT25">
        <f>HYPERLINK("http://www.worldcat.org/oclc/16160438","WorldCat Record")</f>
        <v/>
      </c>
      <c r="AU25" t="inlineStr">
        <is>
          <t>54982523:eng</t>
        </is>
      </c>
      <c r="AV25" t="inlineStr">
        <is>
          <t>16160438</t>
        </is>
      </c>
      <c r="AW25" t="inlineStr">
        <is>
          <t>991001685339702656</t>
        </is>
      </c>
      <c r="AX25" t="inlineStr">
        <is>
          <t>991001685339702656</t>
        </is>
      </c>
      <c r="AY25" t="inlineStr">
        <is>
          <t>2272365420002656</t>
        </is>
      </c>
      <c r="AZ25" t="inlineStr">
        <is>
          <t>BOOK</t>
        </is>
      </c>
      <c r="BC25" t="inlineStr">
        <is>
          <t>32285001094837</t>
        </is>
      </c>
      <c r="BD25" t="inlineStr">
        <is>
          <t>893340607</t>
        </is>
      </c>
    </row>
    <row r="26">
      <c r="A26" t="inlineStr">
        <is>
          <t>No</t>
        </is>
      </c>
      <c r="B26" t="inlineStr">
        <is>
          <t>RC1200 .C34 1987, v.6, no.1</t>
        </is>
      </c>
      <c r="C26" t="inlineStr">
        <is>
          <t>0                      RC 1200000C  34          1987                                        v.6, no.1</t>
        </is>
      </c>
      <c r="D26" t="inlineStr">
        <is>
          <t>Head and neck injuries / Joseph S. Torg, guest editor.</t>
        </is>
      </c>
      <c r="E26" t="inlineStr">
        <is>
          <t>V.6 NO.1</t>
        </is>
      </c>
      <c r="F26" t="inlineStr">
        <is>
          <t>No</t>
        </is>
      </c>
      <c r="G26" t="inlineStr">
        <is>
          <t>1</t>
        </is>
      </c>
      <c r="H26" t="inlineStr">
        <is>
          <t>Yes</t>
        </is>
      </c>
      <c r="I26" t="inlineStr">
        <is>
          <t>No</t>
        </is>
      </c>
      <c r="J26" t="inlineStr">
        <is>
          <t>0</t>
        </is>
      </c>
      <c r="L26" t="inlineStr">
        <is>
          <t>Philadelphia : Saunders, 1987.</t>
        </is>
      </c>
      <c r="M26" t="inlineStr">
        <is>
          <t>1987</t>
        </is>
      </c>
      <c r="O26" t="inlineStr">
        <is>
          <t>eng</t>
        </is>
      </c>
      <c r="P26" t="inlineStr">
        <is>
          <t>pau</t>
        </is>
      </c>
      <c r="Q26" t="inlineStr">
        <is>
          <t>Clinics in sports medicine ; v. 6, no. 1</t>
        </is>
      </c>
      <c r="R26" t="inlineStr">
        <is>
          <t xml:space="preserve">RC </t>
        </is>
      </c>
      <c r="S26" t="n">
        <v>1</v>
      </c>
      <c r="T26" t="n">
        <v>1</v>
      </c>
      <c r="U26" t="inlineStr">
        <is>
          <t>2003-07-08</t>
        </is>
      </c>
      <c r="V26" t="inlineStr">
        <is>
          <t>2003-07-08</t>
        </is>
      </c>
      <c r="W26" t="inlineStr">
        <is>
          <t>1992-11-03</t>
        </is>
      </c>
      <c r="X26" t="inlineStr">
        <is>
          <t>2004-09-15</t>
        </is>
      </c>
      <c r="Y26" t="n">
        <v>52</v>
      </c>
      <c r="Z26" t="n">
        <v>42</v>
      </c>
      <c r="AA26" t="n">
        <v>42</v>
      </c>
      <c r="AB26" t="n">
        <v>3</v>
      </c>
      <c r="AC26" t="n">
        <v>3</v>
      </c>
      <c r="AD26" t="n">
        <v>2</v>
      </c>
      <c r="AE26" t="n">
        <v>2</v>
      </c>
      <c r="AF26" t="n">
        <v>0</v>
      </c>
      <c r="AG26" t="n">
        <v>0</v>
      </c>
      <c r="AH26" t="n">
        <v>1</v>
      </c>
      <c r="AI26" t="n">
        <v>1</v>
      </c>
      <c r="AJ26" t="n">
        <v>0</v>
      </c>
      <c r="AK26" t="n">
        <v>0</v>
      </c>
      <c r="AL26" t="n">
        <v>1</v>
      </c>
      <c r="AM26" t="n">
        <v>1</v>
      </c>
      <c r="AN26" t="n">
        <v>0</v>
      </c>
      <c r="AO26" t="n">
        <v>0</v>
      </c>
      <c r="AP26" t="inlineStr">
        <is>
          <t>No</t>
        </is>
      </c>
      <c r="AQ26" t="inlineStr">
        <is>
          <t>No</t>
        </is>
      </c>
      <c r="AS26">
        <f>HYPERLINK("https://creighton-primo.hosted.exlibrisgroup.com/primo-explore/search?tab=default_tab&amp;search_scope=EVERYTHING&amp;vid=01CRU&amp;lang=en_US&amp;offset=0&amp;query=any,contains,991001684879702656","Catalog Record")</f>
        <v/>
      </c>
      <c r="AT26">
        <f>HYPERLINK("http://www.worldcat.org/oclc/15072807","WorldCat Record")</f>
        <v/>
      </c>
      <c r="AU26" t="inlineStr">
        <is>
          <t>54911052:eng</t>
        </is>
      </c>
      <c r="AV26" t="inlineStr">
        <is>
          <t>15072807</t>
        </is>
      </c>
      <c r="AW26" t="inlineStr">
        <is>
          <t>991001684879702656</t>
        </is>
      </c>
      <c r="AX26" t="inlineStr">
        <is>
          <t>991001684879702656</t>
        </is>
      </c>
      <c r="AY26" t="inlineStr">
        <is>
          <t>2271227860002656</t>
        </is>
      </c>
      <c r="AZ26" t="inlineStr">
        <is>
          <t>BOOK</t>
        </is>
      </c>
      <c r="BC26" t="inlineStr">
        <is>
          <t>32285001380871</t>
        </is>
      </c>
      <c r="BD26" t="inlineStr">
        <is>
          <t>893684530</t>
        </is>
      </c>
    </row>
    <row r="27">
      <c r="A27" t="inlineStr">
        <is>
          <t>No</t>
        </is>
      </c>
      <c r="B27" t="inlineStr">
        <is>
          <t>RC1200 .C34 1987, v.6, no.2</t>
        </is>
      </c>
      <c r="C27" t="inlineStr">
        <is>
          <t>0                      RC 1200000C  34          1987                                        v.6, no.2</t>
        </is>
      </c>
      <c r="D27" t="inlineStr">
        <is>
          <t>Overuse injuries / Letha Y. Hunter-Griffin, guest editor.</t>
        </is>
      </c>
      <c r="E27" t="inlineStr">
        <is>
          <t>V.6 NO.2</t>
        </is>
      </c>
      <c r="F27" t="inlineStr">
        <is>
          <t>No</t>
        </is>
      </c>
      <c r="G27" t="inlineStr">
        <is>
          <t>1</t>
        </is>
      </c>
      <c r="H27" t="inlineStr">
        <is>
          <t>Yes</t>
        </is>
      </c>
      <c r="I27" t="inlineStr">
        <is>
          <t>No</t>
        </is>
      </c>
      <c r="J27" t="inlineStr">
        <is>
          <t>0</t>
        </is>
      </c>
      <c r="L27" t="inlineStr">
        <is>
          <t>Philadelphia, PA. : W.B. Saunders, c1987.</t>
        </is>
      </c>
      <c r="M27" t="inlineStr">
        <is>
          <t>1987</t>
        </is>
      </c>
      <c r="O27" t="inlineStr">
        <is>
          <t>eng</t>
        </is>
      </c>
      <c r="P27" t="inlineStr">
        <is>
          <t>pau</t>
        </is>
      </c>
      <c r="Q27" t="inlineStr">
        <is>
          <t>Clinics in sports medicine ; v. 6, no. 2</t>
        </is>
      </c>
      <c r="R27" t="inlineStr">
        <is>
          <t xml:space="preserve">RC </t>
        </is>
      </c>
      <c r="S27" t="n">
        <v>4</v>
      </c>
      <c r="T27" t="n">
        <v>4</v>
      </c>
      <c r="U27" t="inlineStr">
        <is>
          <t>2005-03-22</t>
        </is>
      </c>
      <c r="V27" t="inlineStr">
        <is>
          <t>2005-03-22</t>
        </is>
      </c>
      <c r="W27" t="inlineStr">
        <is>
          <t>1991-12-20</t>
        </is>
      </c>
      <c r="X27" t="inlineStr">
        <is>
          <t>2004-09-15</t>
        </is>
      </c>
      <c r="Y27" t="n">
        <v>57</v>
      </c>
      <c r="Z27" t="n">
        <v>50</v>
      </c>
      <c r="AA27" t="n">
        <v>50</v>
      </c>
      <c r="AB27" t="n">
        <v>3</v>
      </c>
      <c r="AC27" t="n">
        <v>3</v>
      </c>
      <c r="AD27" t="n">
        <v>3</v>
      </c>
      <c r="AE27" t="n">
        <v>3</v>
      </c>
      <c r="AF27" t="n">
        <v>1</v>
      </c>
      <c r="AG27" t="n">
        <v>1</v>
      </c>
      <c r="AH27" t="n">
        <v>1</v>
      </c>
      <c r="AI27" t="n">
        <v>1</v>
      </c>
      <c r="AJ27" t="n">
        <v>0</v>
      </c>
      <c r="AK27" t="n">
        <v>0</v>
      </c>
      <c r="AL27" t="n">
        <v>1</v>
      </c>
      <c r="AM27" t="n">
        <v>1</v>
      </c>
      <c r="AN27" t="n">
        <v>0</v>
      </c>
      <c r="AO27" t="n">
        <v>0</v>
      </c>
      <c r="AP27" t="inlineStr">
        <is>
          <t>No</t>
        </is>
      </c>
      <c r="AQ27" t="inlineStr">
        <is>
          <t>No</t>
        </is>
      </c>
      <c r="AS27">
        <f>HYPERLINK("https://creighton-primo.hosted.exlibrisgroup.com/primo-explore/search?tab=default_tab&amp;search_scope=EVERYTHING&amp;vid=01CRU&amp;lang=en_US&amp;offset=0&amp;query=any,contains,991001685189702656","Catalog Record")</f>
        <v/>
      </c>
      <c r="AT27">
        <f>HYPERLINK("http://www.worldcat.org/oclc/15582291","WorldCat Record")</f>
        <v/>
      </c>
      <c r="AU27" t="inlineStr">
        <is>
          <t>10415125:eng</t>
        </is>
      </c>
      <c r="AV27" t="inlineStr">
        <is>
          <t>15582291</t>
        </is>
      </c>
      <c r="AW27" t="inlineStr">
        <is>
          <t>991001685189702656</t>
        </is>
      </c>
      <c r="AX27" t="inlineStr">
        <is>
          <t>991001685189702656</t>
        </is>
      </c>
      <c r="AY27" t="inlineStr">
        <is>
          <t>2255089720002656</t>
        </is>
      </c>
      <c r="AZ27" t="inlineStr">
        <is>
          <t>BOOK</t>
        </is>
      </c>
      <c r="BC27" t="inlineStr">
        <is>
          <t>32285000908680</t>
        </is>
      </c>
      <c r="BD27" t="inlineStr">
        <is>
          <t>893334496</t>
        </is>
      </c>
    </row>
    <row r="28">
      <c r="A28" t="inlineStr">
        <is>
          <t>No</t>
        </is>
      </c>
      <c r="B28" t="inlineStr">
        <is>
          <t>RC1200 .C34 1988, v.7, no.2</t>
        </is>
      </c>
      <c r="C28" t="inlineStr">
        <is>
          <t>0                      RC 1200000C  34          1988                                        v.7, no.2</t>
        </is>
      </c>
      <c r="D28" t="inlineStr">
        <is>
          <t>Racquet sports : injury treatment and prevention / Richard C. Lehman.</t>
        </is>
      </c>
      <c r="E28" t="inlineStr">
        <is>
          <t>V. 7 NO. 2</t>
        </is>
      </c>
      <c r="F28" t="inlineStr">
        <is>
          <t>No</t>
        </is>
      </c>
      <c r="G28" t="inlineStr">
        <is>
          <t>1</t>
        </is>
      </c>
      <c r="H28" t="inlineStr">
        <is>
          <t>No</t>
        </is>
      </c>
      <c r="I28" t="inlineStr">
        <is>
          <t>No</t>
        </is>
      </c>
      <c r="J28" t="inlineStr">
        <is>
          <t>0</t>
        </is>
      </c>
      <c r="L28" t="inlineStr">
        <is>
          <t>Philadelphia : W.B. Saunders, c1988.</t>
        </is>
      </c>
      <c r="M28" t="inlineStr">
        <is>
          <t>1988</t>
        </is>
      </c>
      <c r="O28" t="inlineStr">
        <is>
          <t>eng</t>
        </is>
      </c>
      <c r="P28" t="inlineStr">
        <is>
          <t>pau</t>
        </is>
      </c>
      <c r="Q28" t="inlineStr">
        <is>
          <t>Clinics in sports medicine, 0278-5919 ; v. 7, no. 2 (April 1988)</t>
        </is>
      </c>
      <c r="R28" t="inlineStr">
        <is>
          <t xml:space="preserve">RC </t>
        </is>
      </c>
      <c r="S28" t="n">
        <v>4</v>
      </c>
      <c r="T28" t="n">
        <v>4</v>
      </c>
      <c r="U28" t="inlineStr">
        <is>
          <t>2001-04-04</t>
        </is>
      </c>
      <c r="V28" t="inlineStr">
        <is>
          <t>2001-04-04</t>
        </is>
      </c>
      <c r="W28" t="inlineStr">
        <is>
          <t>1993-03-24</t>
        </is>
      </c>
      <c r="X28" t="inlineStr">
        <is>
          <t>1993-03-24</t>
        </is>
      </c>
      <c r="Y28" t="n">
        <v>66</v>
      </c>
      <c r="Z28" t="n">
        <v>53</v>
      </c>
      <c r="AA28" t="n">
        <v>53</v>
      </c>
      <c r="AB28" t="n">
        <v>2</v>
      </c>
      <c r="AC28" t="n">
        <v>2</v>
      </c>
      <c r="AD28" t="n">
        <v>2</v>
      </c>
      <c r="AE28" t="n">
        <v>2</v>
      </c>
      <c r="AF28" t="n">
        <v>0</v>
      </c>
      <c r="AG28" t="n">
        <v>0</v>
      </c>
      <c r="AH28" t="n">
        <v>1</v>
      </c>
      <c r="AI28" t="n">
        <v>1</v>
      </c>
      <c r="AJ28" t="n">
        <v>0</v>
      </c>
      <c r="AK28" t="n">
        <v>0</v>
      </c>
      <c r="AL28" t="n">
        <v>1</v>
      </c>
      <c r="AM28" t="n">
        <v>1</v>
      </c>
      <c r="AN28" t="n">
        <v>0</v>
      </c>
      <c r="AO28" t="n">
        <v>0</v>
      </c>
      <c r="AP28" t="inlineStr">
        <is>
          <t>No</t>
        </is>
      </c>
      <c r="AQ28" t="inlineStr">
        <is>
          <t>No</t>
        </is>
      </c>
      <c r="AS28">
        <f>HYPERLINK("https://creighton-primo.hosted.exlibrisgroup.com/primo-explore/search?tab=default_tab&amp;search_scope=EVERYTHING&amp;vid=01CRU&amp;lang=en_US&amp;offset=0&amp;query=any,contains,991001258249702656","Catalog Record")</f>
        <v/>
      </c>
      <c r="AT28">
        <f>HYPERLINK("http://www.worldcat.org/oclc/17746899","WorldCat Record")</f>
        <v/>
      </c>
      <c r="AU28" t="inlineStr">
        <is>
          <t>865283051:eng</t>
        </is>
      </c>
      <c r="AV28" t="inlineStr">
        <is>
          <t>17746899</t>
        </is>
      </c>
      <c r="AW28" t="inlineStr">
        <is>
          <t>991001258249702656</t>
        </is>
      </c>
      <c r="AX28" t="inlineStr">
        <is>
          <t>991001258249702656</t>
        </is>
      </c>
      <c r="AY28" t="inlineStr">
        <is>
          <t>2262261690002656</t>
        </is>
      </c>
      <c r="AZ28" t="inlineStr">
        <is>
          <t>BOOK</t>
        </is>
      </c>
      <c r="BC28" t="inlineStr">
        <is>
          <t>32285001608495</t>
        </is>
      </c>
      <c r="BD28" t="inlineStr">
        <is>
          <t>893426469</t>
        </is>
      </c>
    </row>
    <row r="29">
      <c r="A29" t="inlineStr">
        <is>
          <t>No</t>
        </is>
      </c>
      <c r="B29" t="inlineStr">
        <is>
          <t>RC1200 .C34 1988, v.7, no.3</t>
        </is>
      </c>
      <c r="C29" t="inlineStr">
        <is>
          <t>0                      RC 1200000C  34          1988                                        v.7, no.3</t>
        </is>
      </c>
      <c r="D29" t="inlineStr">
        <is>
          <t>Injuries in the young athlete / Lyle J. Micheli, guest editor.</t>
        </is>
      </c>
      <c r="E29" t="inlineStr">
        <is>
          <t>V. 7 NO. 3</t>
        </is>
      </c>
      <c r="F29" t="inlineStr">
        <is>
          <t>No</t>
        </is>
      </c>
      <c r="G29" t="inlineStr">
        <is>
          <t>1</t>
        </is>
      </c>
      <c r="H29" t="inlineStr">
        <is>
          <t>No</t>
        </is>
      </c>
      <c r="I29" t="inlineStr">
        <is>
          <t>No</t>
        </is>
      </c>
      <c r="J29" t="inlineStr">
        <is>
          <t>0</t>
        </is>
      </c>
      <c r="L29" t="inlineStr">
        <is>
          <t>Philadelphia, PA : W.B. Saunders, c1988.</t>
        </is>
      </c>
      <c r="M29" t="inlineStr">
        <is>
          <t>1988</t>
        </is>
      </c>
      <c r="O29" t="inlineStr">
        <is>
          <t>eng</t>
        </is>
      </c>
      <c r="P29" t="inlineStr">
        <is>
          <t>pau</t>
        </is>
      </c>
      <c r="Q29" t="inlineStr">
        <is>
          <t>Clinics in sports medicine, 0278-5919 ; v. 7, no. 3</t>
        </is>
      </c>
      <c r="R29" t="inlineStr">
        <is>
          <t xml:space="preserve">RC </t>
        </is>
      </c>
      <c r="S29" t="n">
        <v>4</v>
      </c>
      <c r="T29" t="n">
        <v>4</v>
      </c>
      <c r="U29" t="inlineStr">
        <is>
          <t>1995-11-04</t>
        </is>
      </c>
      <c r="V29" t="inlineStr">
        <is>
          <t>1995-11-04</t>
        </is>
      </c>
      <c r="W29" t="inlineStr">
        <is>
          <t>1993-03-24</t>
        </is>
      </c>
      <c r="X29" t="inlineStr">
        <is>
          <t>1993-03-24</t>
        </is>
      </c>
      <c r="Y29" t="n">
        <v>61</v>
      </c>
      <c r="Z29" t="n">
        <v>52</v>
      </c>
      <c r="AA29" t="n">
        <v>52</v>
      </c>
      <c r="AB29" t="n">
        <v>2</v>
      </c>
      <c r="AC29" t="n">
        <v>2</v>
      </c>
      <c r="AD29" t="n">
        <v>2</v>
      </c>
      <c r="AE29" t="n">
        <v>2</v>
      </c>
      <c r="AF29" t="n">
        <v>0</v>
      </c>
      <c r="AG29" t="n">
        <v>0</v>
      </c>
      <c r="AH29" t="n">
        <v>1</v>
      </c>
      <c r="AI29" t="n">
        <v>1</v>
      </c>
      <c r="AJ29" t="n">
        <v>0</v>
      </c>
      <c r="AK29" t="n">
        <v>0</v>
      </c>
      <c r="AL29" t="n">
        <v>1</v>
      </c>
      <c r="AM29" t="n">
        <v>1</v>
      </c>
      <c r="AN29" t="n">
        <v>0</v>
      </c>
      <c r="AO29" t="n">
        <v>0</v>
      </c>
      <c r="AP29" t="inlineStr">
        <is>
          <t>No</t>
        </is>
      </c>
      <c r="AQ29" t="inlineStr">
        <is>
          <t>No</t>
        </is>
      </c>
      <c r="AS29">
        <f>HYPERLINK("https://creighton-primo.hosted.exlibrisgroup.com/primo-explore/search?tab=default_tab&amp;search_scope=EVERYTHING&amp;vid=01CRU&amp;lang=en_US&amp;offset=0&amp;query=any,contains,991001311769702656","Catalog Record")</f>
        <v/>
      </c>
      <c r="AT29">
        <f>HYPERLINK("http://www.worldcat.org/oclc/18157132","WorldCat Record")</f>
        <v/>
      </c>
      <c r="AU29" t="inlineStr">
        <is>
          <t>55104640:eng</t>
        </is>
      </c>
      <c r="AV29" t="inlineStr">
        <is>
          <t>18157132</t>
        </is>
      </c>
      <c r="AW29" t="inlineStr">
        <is>
          <t>991001311769702656</t>
        </is>
      </c>
      <c r="AX29" t="inlineStr">
        <is>
          <t>991001311769702656</t>
        </is>
      </c>
      <c r="AY29" t="inlineStr">
        <is>
          <t>2254769960002656</t>
        </is>
      </c>
      <c r="AZ29" t="inlineStr">
        <is>
          <t>BOOK</t>
        </is>
      </c>
      <c r="BC29" t="inlineStr">
        <is>
          <t>32285001608503</t>
        </is>
      </c>
      <c r="BD29" t="inlineStr">
        <is>
          <t>893334245</t>
        </is>
      </c>
    </row>
    <row r="30">
      <c r="A30" t="inlineStr">
        <is>
          <t>No</t>
        </is>
      </c>
      <c r="B30" t="inlineStr">
        <is>
          <t>RC1200 .C34 1988, v.7, no.4</t>
        </is>
      </c>
      <c r="C30" t="inlineStr">
        <is>
          <t>0                      RC 1200000C  34          1988                                        v.7, no.4</t>
        </is>
      </c>
      <c r="D30" t="inlineStr">
        <is>
          <t>Treatment of the anterior cruciate ligament-deficient knee / Peter A. Indelicato, guest editor.</t>
        </is>
      </c>
      <c r="E30" t="inlineStr">
        <is>
          <t>V. 7 NO. 4</t>
        </is>
      </c>
      <c r="F30" t="inlineStr">
        <is>
          <t>No</t>
        </is>
      </c>
      <c r="G30" t="inlineStr">
        <is>
          <t>1</t>
        </is>
      </c>
      <c r="H30" t="inlineStr">
        <is>
          <t>No</t>
        </is>
      </c>
      <c r="I30" t="inlineStr">
        <is>
          <t>No</t>
        </is>
      </c>
      <c r="J30" t="inlineStr">
        <is>
          <t>0</t>
        </is>
      </c>
      <c r="L30" t="inlineStr">
        <is>
          <t>Philadelphia, PA : W.B. Saunders, c1988.</t>
        </is>
      </c>
      <c r="M30" t="inlineStr">
        <is>
          <t>1988</t>
        </is>
      </c>
      <c r="O30" t="inlineStr">
        <is>
          <t>eng</t>
        </is>
      </c>
      <c r="P30" t="inlineStr">
        <is>
          <t>pau</t>
        </is>
      </c>
      <c r="Q30" t="inlineStr">
        <is>
          <t>Clinics in sports medicine ; v. 7, no. 4</t>
        </is>
      </c>
      <c r="R30" t="inlineStr">
        <is>
          <t xml:space="preserve">RC </t>
        </is>
      </c>
      <c r="S30" t="n">
        <v>9</v>
      </c>
      <c r="T30" t="n">
        <v>9</v>
      </c>
      <c r="U30" t="inlineStr">
        <is>
          <t>2008-03-24</t>
        </is>
      </c>
      <c r="V30" t="inlineStr">
        <is>
          <t>2008-03-24</t>
        </is>
      </c>
      <c r="W30" t="inlineStr">
        <is>
          <t>1992-11-06</t>
        </is>
      </c>
      <c r="X30" t="inlineStr">
        <is>
          <t>1992-11-06</t>
        </is>
      </c>
      <c r="Y30" t="n">
        <v>58</v>
      </c>
      <c r="Z30" t="n">
        <v>48</v>
      </c>
      <c r="AA30" t="n">
        <v>48</v>
      </c>
      <c r="AB30" t="n">
        <v>2</v>
      </c>
      <c r="AC30" t="n">
        <v>2</v>
      </c>
      <c r="AD30" t="n">
        <v>2</v>
      </c>
      <c r="AE30" t="n">
        <v>2</v>
      </c>
      <c r="AF30" t="n">
        <v>0</v>
      </c>
      <c r="AG30" t="n">
        <v>0</v>
      </c>
      <c r="AH30" t="n">
        <v>1</v>
      </c>
      <c r="AI30" t="n">
        <v>1</v>
      </c>
      <c r="AJ30" t="n">
        <v>0</v>
      </c>
      <c r="AK30" t="n">
        <v>0</v>
      </c>
      <c r="AL30" t="n">
        <v>1</v>
      </c>
      <c r="AM30" t="n">
        <v>1</v>
      </c>
      <c r="AN30" t="n">
        <v>0</v>
      </c>
      <c r="AO30" t="n">
        <v>0</v>
      </c>
      <c r="AP30" t="inlineStr">
        <is>
          <t>No</t>
        </is>
      </c>
      <c r="AQ30" t="inlineStr">
        <is>
          <t>No</t>
        </is>
      </c>
      <c r="AS30">
        <f>HYPERLINK("https://creighton-primo.hosted.exlibrisgroup.com/primo-explore/search?tab=default_tab&amp;search_scope=EVERYTHING&amp;vid=01CRU&amp;lang=en_US&amp;offset=0&amp;query=any,contains,991001374929702656","Catalog Record")</f>
        <v/>
      </c>
      <c r="AT30">
        <f>HYPERLINK("http://www.worldcat.org/oclc/18595780","WorldCat Record")</f>
        <v/>
      </c>
      <c r="AU30" t="inlineStr">
        <is>
          <t>18141273:eng</t>
        </is>
      </c>
      <c r="AV30" t="inlineStr">
        <is>
          <t>18595780</t>
        </is>
      </c>
      <c r="AW30" t="inlineStr">
        <is>
          <t>991001374929702656</t>
        </is>
      </c>
      <c r="AX30" t="inlineStr">
        <is>
          <t>991001374929702656</t>
        </is>
      </c>
      <c r="AY30" t="inlineStr">
        <is>
          <t>2260067360002656</t>
        </is>
      </c>
      <c r="AZ30" t="inlineStr">
        <is>
          <t>BOOK</t>
        </is>
      </c>
      <c r="BC30" t="inlineStr">
        <is>
          <t>32285001389872</t>
        </is>
      </c>
      <c r="BD30" t="inlineStr">
        <is>
          <t>893497034</t>
        </is>
      </c>
    </row>
    <row r="31">
      <c r="A31" t="inlineStr">
        <is>
          <t>No</t>
        </is>
      </c>
      <c r="B31" t="inlineStr">
        <is>
          <t>RC1200 .C34 1989, v.8, no.1</t>
        </is>
      </c>
      <c r="C31" t="inlineStr">
        <is>
          <t>0                      RC 1200000C  34          1989                                        v.8, no.1</t>
        </is>
      </c>
      <c r="D31" t="inlineStr">
        <is>
          <t>Emergency treatment of the injured athlete / Richard L. Ray, guest editor.</t>
        </is>
      </c>
      <c r="E31" t="inlineStr">
        <is>
          <t>V. 8 NO. 1</t>
        </is>
      </c>
      <c r="F31" t="inlineStr">
        <is>
          <t>No</t>
        </is>
      </c>
      <c r="G31" t="inlineStr">
        <is>
          <t>1</t>
        </is>
      </c>
      <c r="H31" t="inlineStr">
        <is>
          <t>No</t>
        </is>
      </c>
      <c r="I31" t="inlineStr">
        <is>
          <t>No</t>
        </is>
      </c>
      <c r="J31" t="inlineStr">
        <is>
          <t>0</t>
        </is>
      </c>
      <c r="L31" t="inlineStr">
        <is>
          <t>Philadelphia, PA : W.B. Saunders, c1989.</t>
        </is>
      </c>
      <c r="M31" t="inlineStr">
        <is>
          <t>1989</t>
        </is>
      </c>
      <c r="O31" t="inlineStr">
        <is>
          <t>eng</t>
        </is>
      </c>
      <c r="P31" t="inlineStr">
        <is>
          <t>pau</t>
        </is>
      </c>
      <c r="Q31" t="inlineStr">
        <is>
          <t>Clinics in sports medicine ; v. 8, no. 1</t>
        </is>
      </c>
      <c r="R31" t="inlineStr">
        <is>
          <t xml:space="preserve">RC </t>
        </is>
      </c>
      <c r="S31" t="n">
        <v>1</v>
      </c>
      <c r="T31" t="n">
        <v>1</v>
      </c>
      <c r="U31" t="inlineStr">
        <is>
          <t>2009-09-29</t>
        </is>
      </c>
      <c r="V31" t="inlineStr">
        <is>
          <t>2009-09-29</t>
        </is>
      </c>
      <c r="W31" t="inlineStr">
        <is>
          <t>1992-12-09</t>
        </is>
      </c>
      <c r="X31" t="inlineStr">
        <is>
          <t>1992-12-09</t>
        </is>
      </c>
      <c r="Y31" t="n">
        <v>61</v>
      </c>
      <c r="Z31" t="n">
        <v>49</v>
      </c>
      <c r="AA31" t="n">
        <v>49</v>
      </c>
      <c r="AB31" t="n">
        <v>2</v>
      </c>
      <c r="AC31" t="n">
        <v>2</v>
      </c>
      <c r="AD31" t="n">
        <v>2</v>
      </c>
      <c r="AE31" t="n">
        <v>2</v>
      </c>
      <c r="AF31" t="n">
        <v>0</v>
      </c>
      <c r="AG31" t="n">
        <v>0</v>
      </c>
      <c r="AH31" t="n">
        <v>1</v>
      </c>
      <c r="AI31" t="n">
        <v>1</v>
      </c>
      <c r="AJ31" t="n">
        <v>0</v>
      </c>
      <c r="AK31" t="n">
        <v>0</v>
      </c>
      <c r="AL31" t="n">
        <v>1</v>
      </c>
      <c r="AM31" t="n">
        <v>1</v>
      </c>
      <c r="AN31" t="n">
        <v>0</v>
      </c>
      <c r="AO31" t="n">
        <v>0</v>
      </c>
      <c r="AP31" t="inlineStr">
        <is>
          <t>No</t>
        </is>
      </c>
      <c r="AQ31" t="inlineStr">
        <is>
          <t>No</t>
        </is>
      </c>
      <c r="AS31">
        <f>HYPERLINK("https://creighton-primo.hosted.exlibrisgroup.com/primo-explore/search?tab=default_tab&amp;search_scope=EVERYTHING&amp;vid=01CRU&amp;lang=en_US&amp;offset=0&amp;query=any,contains,991001426069702656","Catalog Record")</f>
        <v/>
      </c>
      <c r="AT31">
        <f>HYPERLINK("http://www.worldcat.org/oclc/19019554","WorldCat Record")</f>
        <v/>
      </c>
      <c r="AU31" t="inlineStr">
        <is>
          <t>18673555:eng</t>
        </is>
      </c>
      <c r="AV31" t="inlineStr">
        <is>
          <t>19019554</t>
        </is>
      </c>
      <c r="AW31" t="inlineStr">
        <is>
          <t>991001426069702656</t>
        </is>
      </c>
      <c r="AX31" t="inlineStr">
        <is>
          <t>991001426069702656</t>
        </is>
      </c>
      <c r="AY31" t="inlineStr">
        <is>
          <t>2269769370002656</t>
        </is>
      </c>
      <c r="AZ31" t="inlineStr">
        <is>
          <t>BOOK</t>
        </is>
      </c>
      <c r="BC31" t="inlineStr">
        <is>
          <t>32285001414811</t>
        </is>
      </c>
      <c r="BD31" t="inlineStr">
        <is>
          <t>893684311</t>
        </is>
      </c>
    </row>
    <row r="32">
      <c r="A32" t="inlineStr">
        <is>
          <t>No</t>
        </is>
      </c>
      <c r="B32" t="inlineStr">
        <is>
          <t>RC1200 .C34 1989, v.8, no.2</t>
        </is>
      </c>
      <c r="C32" t="inlineStr">
        <is>
          <t>0                      RC 1200000C  34          1989                                        v.8, no.2</t>
        </is>
      </c>
      <c r="D32" t="inlineStr">
        <is>
          <t>Patellofemoral problems / Jack H. Henry, guest editor.</t>
        </is>
      </c>
      <c r="E32" t="inlineStr">
        <is>
          <t>V. 8 NO. 2</t>
        </is>
      </c>
      <c r="F32" t="inlineStr">
        <is>
          <t>No</t>
        </is>
      </c>
      <c r="G32" t="inlineStr">
        <is>
          <t>1</t>
        </is>
      </c>
      <c r="H32" t="inlineStr">
        <is>
          <t>No</t>
        </is>
      </c>
      <c r="I32" t="inlineStr">
        <is>
          <t>No</t>
        </is>
      </c>
      <c r="J32" t="inlineStr">
        <is>
          <t>0</t>
        </is>
      </c>
      <c r="L32" t="inlineStr">
        <is>
          <t>Philadelphia : Saunders, c1989.</t>
        </is>
      </c>
      <c r="M32" t="inlineStr">
        <is>
          <t>1989</t>
        </is>
      </c>
      <c r="O32" t="inlineStr">
        <is>
          <t>eng</t>
        </is>
      </c>
      <c r="P32" t="inlineStr">
        <is>
          <t>pau</t>
        </is>
      </c>
      <c r="Q32" t="inlineStr">
        <is>
          <t>Clinics in sports medicine ; v. 8, no. 2</t>
        </is>
      </c>
      <c r="R32" t="inlineStr">
        <is>
          <t xml:space="preserve">RC </t>
        </is>
      </c>
      <c r="S32" t="n">
        <v>2</v>
      </c>
      <c r="T32" t="n">
        <v>2</v>
      </c>
      <c r="U32" t="inlineStr">
        <is>
          <t>1993-04-25</t>
        </is>
      </c>
      <c r="V32" t="inlineStr">
        <is>
          <t>1993-04-25</t>
        </is>
      </c>
      <c r="W32" t="inlineStr">
        <is>
          <t>1992-03-25</t>
        </is>
      </c>
      <c r="X32" t="inlineStr">
        <is>
          <t>1992-03-25</t>
        </is>
      </c>
      <c r="Y32" t="n">
        <v>62</v>
      </c>
      <c r="Z32" t="n">
        <v>50</v>
      </c>
      <c r="AA32" t="n">
        <v>50</v>
      </c>
      <c r="AB32" t="n">
        <v>2</v>
      </c>
      <c r="AC32" t="n">
        <v>2</v>
      </c>
      <c r="AD32" t="n">
        <v>2</v>
      </c>
      <c r="AE32" t="n">
        <v>2</v>
      </c>
      <c r="AF32" t="n">
        <v>0</v>
      </c>
      <c r="AG32" t="n">
        <v>0</v>
      </c>
      <c r="AH32" t="n">
        <v>1</v>
      </c>
      <c r="AI32" t="n">
        <v>1</v>
      </c>
      <c r="AJ32" t="n">
        <v>0</v>
      </c>
      <c r="AK32" t="n">
        <v>0</v>
      </c>
      <c r="AL32" t="n">
        <v>1</v>
      </c>
      <c r="AM32" t="n">
        <v>1</v>
      </c>
      <c r="AN32" t="n">
        <v>0</v>
      </c>
      <c r="AO32" t="n">
        <v>0</v>
      </c>
      <c r="AP32" t="inlineStr">
        <is>
          <t>No</t>
        </is>
      </c>
      <c r="AQ32" t="inlineStr">
        <is>
          <t>No</t>
        </is>
      </c>
      <c r="AS32">
        <f>HYPERLINK("https://creighton-primo.hosted.exlibrisgroup.com/primo-explore/search?tab=default_tab&amp;search_scope=EVERYTHING&amp;vid=01CRU&amp;lang=en_US&amp;offset=0&amp;query=any,contains,991001465279702656","Catalog Record")</f>
        <v/>
      </c>
      <c r="AT32">
        <f>HYPERLINK("http://www.worldcat.org/oclc/19509011","WorldCat Record")</f>
        <v/>
      </c>
      <c r="AU32" t="inlineStr">
        <is>
          <t>356226601:eng</t>
        </is>
      </c>
      <c r="AV32" t="inlineStr">
        <is>
          <t>19509011</t>
        </is>
      </c>
      <c r="AW32" t="inlineStr">
        <is>
          <t>991001465279702656</t>
        </is>
      </c>
      <c r="AX32" t="inlineStr">
        <is>
          <t>991001465279702656</t>
        </is>
      </c>
      <c r="AY32" t="inlineStr">
        <is>
          <t>2271786540002656</t>
        </is>
      </c>
      <c r="AZ32" t="inlineStr">
        <is>
          <t>BOOK</t>
        </is>
      </c>
      <c r="BC32" t="inlineStr">
        <is>
          <t>32285001028819</t>
        </is>
      </c>
      <c r="BD32" t="inlineStr">
        <is>
          <t>893497106</t>
        </is>
      </c>
    </row>
    <row r="33">
      <c r="A33" t="inlineStr">
        <is>
          <t>No</t>
        </is>
      </c>
      <c r="B33" t="inlineStr">
        <is>
          <t>RC1200 .C34 1989, v.8, no.3</t>
        </is>
      </c>
      <c r="C33" t="inlineStr">
        <is>
          <t>0                      RC 1200000C  34          1989                                        v.8, no.3</t>
        </is>
      </c>
      <c r="D33" t="inlineStr">
        <is>
          <t>Office practice of sports medicine / H. Royer Collins, guest editor.</t>
        </is>
      </c>
      <c r="E33" t="inlineStr">
        <is>
          <t>V.8 NO.3</t>
        </is>
      </c>
      <c r="F33" t="inlineStr">
        <is>
          <t>No</t>
        </is>
      </c>
      <c r="G33" t="inlineStr">
        <is>
          <t>1</t>
        </is>
      </c>
      <c r="H33" t="inlineStr">
        <is>
          <t>Yes</t>
        </is>
      </c>
      <c r="I33" t="inlineStr">
        <is>
          <t>No</t>
        </is>
      </c>
      <c r="J33" t="inlineStr">
        <is>
          <t>0</t>
        </is>
      </c>
      <c r="L33" t="inlineStr">
        <is>
          <t>Philadelphia : Saunders, 1989.</t>
        </is>
      </c>
      <c r="M33" t="inlineStr">
        <is>
          <t>1989</t>
        </is>
      </c>
      <c r="O33" t="inlineStr">
        <is>
          <t>eng</t>
        </is>
      </c>
      <c r="P33" t="inlineStr">
        <is>
          <t>pau</t>
        </is>
      </c>
      <c r="Q33" t="inlineStr">
        <is>
          <t>Clinics in sports medicine ; v. 8, no. 3</t>
        </is>
      </c>
      <c r="R33" t="inlineStr">
        <is>
          <t xml:space="preserve">RC </t>
        </is>
      </c>
      <c r="S33" t="n">
        <v>1</v>
      </c>
      <c r="T33" t="n">
        <v>1</v>
      </c>
      <c r="U33" t="inlineStr">
        <is>
          <t>1994-04-26</t>
        </is>
      </c>
      <c r="V33" t="inlineStr">
        <is>
          <t>1994-04-26</t>
        </is>
      </c>
      <c r="W33" t="inlineStr">
        <is>
          <t>1994-03-14</t>
        </is>
      </c>
      <c r="X33" t="inlineStr">
        <is>
          <t>2004-09-15</t>
        </is>
      </c>
      <c r="Y33" t="n">
        <v>61</v>
      </c>
      <c r="Z33" t="n">
        <v>50</v>
      </c>
      <c r="AA33" t="n">
        <v>50</v>
      </c>
      <c r="AB33" t="n">
        <v>3</v>
      </c>
      <c r="AC33" t="n">
        <v>3</v>
      </c>
      <c r="AD33" t="n">
        <v>2</v>
      </c>
      <c r="AE33" t="n">
        <v>2</v>
      </c>
      <c r="AF33" t="n">
        <v>0</v>
      </c>
      <c r="AG33" t="n">
        <v>0</v>
      </c>
      <c r="AH33" t="n">
        <v>1</v>
      </c>
      <c r="AI33" t="n">
        <v>1</v>
      </c>
      <c r="AJ33" t="n">
        <v>0</v>
      </c>
      <c r="AK33" t="n">
        <v>0</v>
      </c>
      <c r="AL33" t="n">
        <v>1</v>
      </c>
      <c r="AM33" t="n">
        <v>1</v>
      </c>
      <c r="AN33" t="n">
        <v>0</v>
      </c>
      <c r="AO33" t="n">
        <v>0</v>
      </c>
      <c r="AP33" t="inlineStr">
        <is>
          <t>No</t>
        </is>
      </c>
      <c r="AQ33" t="inlineStr">
        <is>
          <t>No</t>
        </is>
      </c>
      <c r="AS33">
        <f>HYPERLINK("https://creighton-primo.hosted.exlibrisgroup.com/primo-explore/search?tab=default_tab&amp;search_scope=EVERYTHING&amp;vid=01CRU&amp;lang=en_US&amp;offset=0&amp;query=any,contains,991001686559702656","Catalog Record")</f>
        <v/>
      </c>
      <c r="AT33">
        <f>HYPERLINK("http://www.worldcat.org/oclc/19965440","WorldCat Record")</f>
        <v/>
      </c>
      <c r="AU33" t="inlineStr">
        <is>
          <t>21359950:eng</t>
        </is>
      </c>
      <c r="AV33" t="inlineStr">
        <is>
          <t>19965440</t>
        </is>
      </c>
      <c r="AW33" t="inlineStr">
        <is>
          <t>991001686559702656</t>
        </is>
      </c>
      <c r="AX33" t="inlineStr">
        <is>
          <t>991001686559702656</t>
        </is>
      </c>
      <c r="AY33" t="inlineStr">
        <is>
          <t>2255153980002656</t>
        </is>
      </c>
      <c r="AZ33" t="inlineStr">
        <is>
          <t>BOOK</t>
        </is>
      </c>
      <c r="BC33" t="inlineStr">
        <is>
          <t>32285001853224</t>
        </is>
      </c>
      <c r="BD33" t="inlineStr">
        <is>
          <t>893340608</t>
        </is>
      </c>
    </row>
    <row r="34">
      <c r="A34" t="inlineStr">
        <is>
          <t>No</t>
        </is>
      </c>
      <c r="B34" t="inlineStr">
        <is>
          <t>RC1200 .C34 1989, v.8, no.4</t>
        </is>
      </c>
      <c r="C34" t="inlineStr">
        <is>
          <t>0                      RC 1200000C  34          1989                                        v.8, no.4</t>
        </is>
      </c>
      <c r="D34" t="inlineStr">
        <is>
          <t>Rehabilitation / Richard C. Lehman and Anthony Delitto, guest editors.</t>
        </is>
      </c>
      <c r="E34" t="inlineStr">
        <is>
          <t>V. 8 NO. 4</t>
        </is>
      </c>
      <c r="F34" t="inlineStr">
        <is>
          <t>No</t>
        </is>
      </c>
      <c r="G34" t="inlineStr">
        <is>
          <t>1</t>
        </is>
      </c>
      <c r="H34" t="inlineStr">
        <is>
          <t>No</t>
        </is>
      </c>
      <c r="I34" t="inlineStr">
        <is>
          <t>No</t>
        </is>
      </c>
      <c r="J34" t="inlineStr">
        <is>
          <t>0</t>
        </is>
      </c>
      <c r="L34" t="inlineStr">
        <is>
          <t>Philadelphia ; W.B. Saunders Co., c1989.</t>
        </is>
      </c>
      <c r="M34" t="inlineStr">
        <is>
          <t>1989</t>
        </is>
      </c>
      <c r="O34" t="inlineStr">
        <is>
          <t>eng</t>
        </is>
      </c>
      <c r="P34" t="inlineStr">
        <is>
          <t>pau</t>
        </is>
      </c>
      <c r="Q34" t="inlineStr">
        <is>
          <t>Clinics in sports medicine ; v. 8, no. 4</t>
        </is>
      </c>
      <c r="R34" t="inlineStr">
        <is>
          <t xml:space="preserve">RC </t>
        </is>
      </c>
      <c r="S34" t="n">
        <v>7</v>
      </c>
      <c r="T34" t="n">
        <v>7</v>
      </c>
      <c r="U34" t="inlineStr">
        <is>
          <t>2009-09-29</t>
        </is>
      </c>
      <c r="V34" t="inlineStr">
        <is>
          <t>2009-09-29</t>
        </is>
      </c>
      <c r="W34" t="inlineStr">
        <is>
          <t>1992-05-07</t>
        </is>
      </c>
      <c r="X34" t="inlineStr">
        <is>
          <t>1992-05-07</t>
        </is>
      </c>
      <c r="Y34" t="n">
        <v>57</v>
      </c>
      <c r="Z34" t="n">
        <v>48</v>
      </c>
      <c r="AA34" t="n">
        <v>48</v>
      </c>
      <c r="AB34" t="n">
        <v>2</v>
      </c>
      <c r="AC34" t="n">
        <v>2</v>
      </c>
      <c r="AD34" t="n">
        <v>2</v>
      </c>
      <c r="AE34" t="n">
        <v>2</v>
      </c>
      <c r="AF34" t="n">
        <v>0</v>
      </c>
      <c r="AG34" t="n">
        <v>0</v>
      </c>
      <c r="AH34" t="n">
        <v>1</v>
      </c>
      <c r="AI34" t="n">
        <v>1</v>
      </c>
      <c r="AJ34" t="n">
        <v>0</v>
      </c>
      <c r="AK34" t="n">
        <v>0</v>
      </c>
      <c r="AL34" t="n">
        <v>1</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HYPERLINK("https://creighton-primo.hosted.exlibrisgroup.com/primo-explore/search?tab=default_tab&amp;search_scope=EVERYTHING&amp;vid=01CRU&amp;lang=en_US&amp;offset=0&amp;query=any,contains,991001599649702656","Catalog Record")</f>
        <v/>
      </c>
      <c r="AT34">
        <f>HYPERLINK("http://www.worldcat.org/oclc/20644358","WorldCat Record")</f>
        <v/>
      </c>
      <c r="AU34" t="inlineStr">
        <is>
          <t>356272518:eng</t>
        </is>
      </c>
      <c r="AV34" t="inlineStr">
        <is>
          <t>20644358</t>
        </is>
      </c>
      <c r="AW34" t="inlineStr">
        <is>
          <t>991001599649702656</t>
        </is>
      </c>
      <c r="AX34" t="inlineStr">
        <is>
          <t>991001599649702656</t>
        </is>
      </c>
      <c r="AY34" t="inlineStr">
        <is>
          <t>2261616690002656</t>
        </is>
      </c>
      <c r="AZ34" t="inlineStr">
        <is>
          <t>BOOK</t>
        </is>
      </c>
      <c r="BC34" t="inlineStr">
        <is>
          <t>32285001094845</t>
        </is>
      </c>
      <c r="BD34" t="inlineStr">
        <is>
          <t>893778880</t>
        </is>
      </c>
    </row>
    <row r="35">
      <c r="A35" t="inlineStr">
        <is>
          <t>No</t>
        </is>
      </c>
      <c r="B35" t="inlineStr">
        <is>
          <t>RC1200 .C34 1990, v.9, no.1</t>
        </is>
      </c>
      <c r="C35" t="inlineStr">
        <is>
          <t>0                      RC 1200000C  34          1990                                        v.9, no.1</t>
        </is>
      </c>
      <c r="D35" t="inlineStr">
        <is>
          <t>Fractures / J. Tracy Watson and John A. Bergfeld, guest editors.</t>
        </is>
      </c>
      <c r="E35" t="inlineStr">
        <is>
          <t>V. 9 NO. 1</t>
        </is>
      </c>
      <c r="F35" t="inlineStr">
        <is>
          <t>No</t>
        </is>
      </c>
      <c r="G35" t="inlineStr">
        <is>
          <t>1</t>
        </is>
      </c>
      <c r="H35" t="inlineStr">
        <is>
          <t>No</t>
        </is>
      </c>
      <c r="I35" t="inlineStr">
        <is>
          <t>No</t>
        </is>
      </c>
      <c r="J35" t="inlineStr">
        <is>
          <t>0</t>
        </is>
      </c>
      <c r="L35" t="inlineStr">
        <is>
          <t>Philadelphia : W.B. Saunders Co., c1990.</t>
        </is>
      </c>
      <c r="M35" t="inlineStr">
        <is>
          <t>1990</t>
        </is>
      </c>
      <c r="O35" t="inlineStr">
        <is>
          <t>eng</t>
        </is>
      </c>
      <c r="P35" t="inlineStr">
        <is>
          <t>pau</t>
        </is>
      </c>
      <c r="Q35" t="inlineStr">
        <is>
          <t>Clinics in sports medicine ; v. 9, no. 1</t>
        </is>
      </c>
      <c r="R35" t="inlineStr">
        <is>
          <t xml:space="preserve">RC </t>
        </is>
      </c>
      <c r="S35" t="n">
        <v>2</v>
      </c>
      <c r="T35" t="n">
        <v>2</v>
      </c>
      <c r="U35" t="inlineStr">
        <is>
          <t>1994-04-21</t>
        </is>
      </c>
      <c r="V35" t="inlineStr">
        <is>
          <t>1994-04-21</t>
        </is>
      </c>
      <c r="W35" t="inlineStr">
        <is>
          <t>1992-12-09</t>
        </is>
      </c>
      <c r="X35" t="inlineStr">
        <is>
          <t>1992-12-09</t>
        </is>
      </c>
      <c r="Y35" t="n">
        <v>60</v>
      </c>
      <c r="Z35" t="n">
        <v>50</v>
      </c>
      <c r="AA35" t="n">
        <v>51</v>
      </c>
      <c r="AB35" t="n">
        <v>2</v>
      </c>
      <c r="AC35" t="n">
        <v>2</v>
      </c>
      <c r="AD35" t="n">
        <v>3</v>
      </c>
      <c r="AE35" t="n">
        <v>3</v>
      </c>
      <c r="AF35" t="n">
        <v>0</v>
      </c>
      <c r="AG35" t="n">
        <v>0</v>
      </c>
      <c r="AH35" t="n">
        <v>1</v>
      </c>
      <c r="AI35" t="n">
        <v>1</v>
      </c>
      <c r="AJ35" t="n">
        <v>1</v>
      </c>
      <c r="AK35" t="n">
        <v>1</v>
      </c>
      <c r="AL35" t="n">
        <v>1</v>
      </c>
      <c r="AM35" t="n">
        <v>1</v>
      </c>
      <c r="AN35" t="n">
        <v>0</v>
      </c>
      <c r="AO35" t="n">
        <v>0</v>
      </c>
      <c r="AP35" t="inlineStr">
        <is>
          <t>No</t>
        </is>
      </c>
      <c r="AQ35" t="inlineStr">
        <is>
          <t>No</t>
        </is>
      </c>
      <c r="AS35">
        <f>HYPERLINK("https://creighton-primo.hosted.exlibrisgroup.com/primo-explore/search?tab=default_tab&amp;search_scope=EVERYTHING&amp;vid=01CRU&amp;lang=en_US&amp;offset=0&amp;query=any,contains,991001636099702656","Catalog Record")</f>
        <v/>
      </c>
      <c r="AT35">
        <f>HYPERLINK("http://www.worldcat.org/oclc/20968714","WorldCat Record")</f>
        <v/>
      </c>
      <c r="AU35" t="inlineStr">
        <is>
          <t>55603374:eng</t>
        </is>
      </c>
      <c r="AV35" t="inlineStr">
        <is>
          <t>20968714</t>
        </is>
      </c>
      <c r="AW35" t="inlineStr">
        <is>
          <t>991001636099702656</t>
        </is>
      </c>
      <c r="AX35" t="inlineStr">
        <is>
          <t>991001636099702656</t>
        </is>
      </c>
      <c r="AY35" t="inlineStr">
        <is>
          <t>2257470980002656</t>
        </is>
      </c>
      <c r="AZ35" t="inlineStr">
        <is>
          <t>BOOK</t>
        </is>
      </c>
      <c r="BC35" t="inlineStr">
        <is>
          <t>32285001414829</t>
        </is>
      </c>
      <c r="BD35" t="inlineStr">
        <is>
          <t>893703146</t>
        </is>
      </c>
    </row>
    <row r="36">
      <c r="A36" t="inlineStr">
        <is>
          <t>No</t>
        </is>
      </c>
      <c r="B36" t="inlineStr">
        <is>
          <t>RC1200 .C34 1990, v.9, no.2</t>
        </is>
      </c>
      <c r="C36" t="inlineStr">
        <is>
          <t>0                      RC 1200000C  34          1990                                        v.9, no.2</t>
        </is>
      </c>
      <c r="D36" t="inlineStr">
        <is>
          <t>Neurovascular injuries / Elliott B. Hershman, guest editor.</t>
        </is>
      </c>
      <c r="E36" t="inlineStr">
        <is>
          <t>V. 9 NO. 2</t>
        </is>
      </c>
      <c r="F36" t="inlineStr">
        <is>
          <t>No</t>
        </is>
      </c>
      <c r="G36" t="inlineStr">
        <is>
          <t>1</t>
        </is>
      </c>
      <c r="H36" t="inlineStr">
        <is>
          <t>No</t>
        </is>
      </c>
      <c r="I36" t="inlineStr">
        <is>
          <t>No</t>
        </is>
      </c>
      <c r="J36" t="inlineStr">
        <is>
          <t>0</t>
        </is>
      </c>
      <c r="L36" t="inlineStr">
        <is>
          <t>Philadelphia : Saunders, c1990.</t>
        </is>
      </c>
      <c r="M36" t="inlineStr">
        <is>
          <t>1990</t>
        </is>
      </c>
      <c r="O36" t="inlineStr">
        <is>
          <t>eng</t>
        </is>
      </c>
      <c r="P36" t="inlineStr">
        <is>
          <t>pau</t>
        </is>
      </c>
      <c r="Q36" t="inlineStr">
        <is>
          <t>Clinics in sports medicine ; v. 9, no. 2</t>
        </is>
      </c>
      <c r="R36" t="inlineStr">
        <is>
          <t xml:space="preserve">RC </t>
        </is>
      </c>
      <c r="S36" t="n">
        <v>2</v>
      </c>
      <c r="T36" t="n">
        <v>2</v>
      </c>
      <c r="U36" t="inlineStr">
        <is>
          <t>1994-04-26</t>
        </is>
      </c>
      <c r="V36" t="inlineStr">
        <is>
          <t>1994-04-26</t>
        </is>
      </c>
      <c r="W36" t="inlineStr">
        <is>
          <t>1992-03-09</t>
        </is>
      </c>
      <c r="X36" t="inlineStr">
        <is>
          <t>1992-03-09</t>
        </is>
      </c>
      <c r="Y36" t="n">
        <v>61</v>
      </c>
      <c r="Z36" t="n">
        <v>51</v>
      </c>
      <c r="AA36" t="n">
        <v>51</v>
      </c>
      <c r="AB36" t="n">
        <v>2</v>
      </c>
      <c r="AC36" t="n">
        <v>2</v>
      </c>
      <c r="AD36" t="n">
        <v>3</v>
      </c>
      <c r="AE36" t="n">
        <v>3</v>
      </c>
      <c r="AF36" t="n">
        <v>0</v>
      </c>
      <c r="AG36" t="n">
        <v>0</v>
      </c>
      <c r="AH36" t="n">
        <v>1</v>
      </c>
      <c r="AI36" t="n">
        <v>1</v>
      </c>
      <c r="AJ36" t="n">
        <v>1</v>
      </c>
      <c r="AK36" t="n">
        <v>1</v>
      </c>
      <c r="AL36" t="n">
        <v>1</v>
      </c>
      <c r="AM36" t="n">
        <v>1</v>
      </c>
      <c r="AN36" t="n">
        <v>0</v>
      </c>
      <c r="AO36" t="n">
        <v>0</v>
      </c>
      <c r="AP36" t="inlineStr">
        <is>
          <t>No</t>
        </is>
      </c>
      <c r="AQ36" t="inlineStr">
        <is>
          <t>No</t>
        </is>
      </c>
      <c r="AS36">
        <f>HYPERLINK("https://creighton-primo.hosted.exlibrisgroup.com/primo-explore/search?tab=default_tab&amp;search_scope=EVERYTHING&amp;vid=01CRU&amp;lang=en_US&amp;offset=0&amp;query=any,contains,991001694579702656","Catalog Record")</f>
        <v/>
      </c>
      <c r="AT36">
        <f>HYPERLINK("http://www.worldcat.org/oclc/21478044","WorldCat Record")</f>
        <v/>
      </c>
      <c r="AU36" t="inlineStr">
        <is>
          <t>23275425:eng</t>
        </is>
      </c>
      <c r="AV36" t="inlineStr">
        <is>
          <t>21478044</t>
        </is>
      </c>
      <c r="AW36" t="inlineStr">
        <is>
          <t>991001694579702656</t>
        </is>
      </c>
      <c r="AX36" t="inlineStr">
        <is>
          <t>991001694579702656</t>
        </is>
      </c>
      <c r="AY36" t="inlineStr">
        <is>
          <t>2258151260002656</t>
        </is>
      </c>
      <c r="AZ36" t="inlineStr">
        <is>
          <t>BOOK</t>
        </is>
      </c>
      <c r="BC36" t="inlineStr">
        <is>
          <t>32285000993203</t>
        </is>
      </c>
      <c r="BD36" t="inlineStr">
        <is>
          <t>893772811</t>
        </is>
      </c>
    </row>
    <row r="37">
      <c r="A37" t="inlineStr">
        <is>
          <t>No</t>
        </is>
      </c>
      <c r="B37" t="inlineStr">
        <is>
          <t>RC1200 .C34 1990, v.9, no.3</t>
        </is>
      </c>
      <c r="C37" t="inlineStr">
        <is>
          <t>0                      RC 1200000C  34          1990                                        v.9, no.3</t>
        </is>
      </c>
      <c r="D37" t="inlineStr">
        <is>
          <t>Meniscal injuries / Kenneth M. Singer, guest editor.</t>
        </is>
      </c>
      <c r="E37" t="inlineStr">
        <is>
          <t>V. 9 NO. 3</t>
        </is>
      </c>
      <c r="F37" t="inlineStr">
        <is>
          <t>No</t>
        </is>
      </c>
      <c r="G37" t="inlineStr">
        <is>
          <t>1</t>
        </is>
      </c>
      <c r="H37" t="inlineStr">
        <is>
          <t>No</t>
        </is>
      </c>
      <c r="I37" t="inlineStr">
        <is>
          <t>No</t>
        </is>
      </c>
      <c r="J37" t="inlineStr">
        <is>
          <t>0</t>
        </is>
      </c>
      <c r="L37" t="inlineStr">
        <is>
          <t>Philadelphia : Saunders, 1990.</t>
        </is>
      </c>
      <c r="M37" t="inlineStr">
        <is>
          <t>1990</t>
        </is>
      </c>
      <c r="O37" t="inlineStr">
        <is>
          <t>eng</t>
        </is>
      </c>
      <c r="P37" t="inlineStr">
        <is>
          <t>pau</t>
        </is>
      </c>
      <c r="Q37" t="inlineStr">
        <is>
          <t>Clinics in sports medicine ; v. 9, no. 3</t>
        </is>
      </c>
      <c r="R37" t="inlineStr">
        <is>
          <t xml:space="preserve">RC </t>
        </is>
      </c>
      <c r="S37" t="n">
        <v>2</v>
      </c>
      <c r="T37" t="n">
        <v>2</v>
      </c>
      <c r="U37" t="inlineStr">
        <is>
          <t>2000-10-01</t>
        </is>
      </c>
      <c r="V37" t="inlineStr">
        <is>
          <t>2000-10-01</t>
        </is>
      </c>
      <c r="W37" t="inlineStr">
        <is>
          <t>1993-03-24</t>
        </is>
      </c>
      <c r="X37" t="inlineStr">
        <is>
          <t>1993-03-24</t>
        </is>
      </c>
      <c r="Y37" t="n">
        <v>61</v>
      </c>
      <c r="Z37" t="n">
        <v>51</v>
      </c>
      <c r="AA37" t="n">
        <v>51</v>
      </c>
      <c r="AB37" t="n">
        <v>2</v>
      </c>
      <c r="AC37" t="n">
        <v>2</v>
      </c>
      <c r="AD37" t="n">
        <v>3</v>
      </c>
      <c r="AE37" t="n">
        <v>3</v>
      </c>
      <c r="AF37" t="n">
        <v>0</v>
      </c>
      <c r="AG37" t="n">
        <v>0</v>
      </c>
      <c r="AH37" t="n">
        <v>1</v>
      </c>
      <c r="AI37" t="n">
        <v>1</v>
      </c>
      <c r="AJ37" t="n">
        <v>1</v>
      </c>
      <c r="AK37" t="n">
        <v>1</v>
      </c>
      <c r="AL37" t="n">
        <v>1</v>
      </c>
      <c r="AM37" t="n">
        <v>1</v>
      </c>
      <c r="AN37" t="n">
        <v>0</v>
      </c>
      <c r="AO37" t="n">
        <v>0</v>
      </c>
      <c r="AP37" t="inlineStr">
        <is>
          <t>No</t>
        </is>
      </c>
      <c r="AQ37" t="inlineStr">
        <is>
          <t>No</t>
        </is>
      </c>
      <c r="AS37">
        <f>HYPERLINK("https://creighton-primo.hosted.exlibrisgroup.com/primo-explore/search?tab=default_tab&amp;search_scope=EVERYTHING&amp;vid=01CRU&amp;lang=en_US&amp;offset=0&amp;query=any,contains,991001748259702656","Catalog Record")</f>
        <v/>
      </c>
      <c r="AT37">
        <f>HYPERLINK("http://www.worldcat.org/oclc/22132309","WorldCat Record")</f>
        <v/>
      </c>
      <c r="AU37" t="inlineStr">
        <is>
          <t>361205748:eng</t>
        </is>
      </c>
      <c r="AV37" t="inlineStr">
        <is>
          <t>22132309</t>
        </is>
      </c>
      <c r="AW37" t="inlineStr">
        <is>
          <t>991001748259702656</t>
        </is>
      </c>
      <c r="AX37" t="inlineStr">
        <is>
          <t>991001748259702656</t>
        </is>
      </c>
      <c r="AY37" t="inlineStr">
        <is>
          <t>2269278280002656</t>
        </is>
      </c>
      <c r="AZ37" t="inlineStr">
        <is>
          <t>BOOK</t>
        </is>
      </c>
      <c r="BC37" t="inlineStr">
        <is>
          <t>32285001608511</t>
        </is>
      </c>
      <c r="BD37" t="inlineStr">
        <is>
          <t>893444785</t>
        </is>
      </c>
    </row>
    <row r="38">
      <c r="A38" t="inlineStr">
        <is>
          <t>No</t>
        </is>
      </c>
      <c r="B38" t="inlineStr">
        <is>
          <t>RC1200 .C34 1990, v.9, no.4</t>
        </is>
      </c>
      <c r="C38" t="inlineStr">
        <is>
          <t>0                      RC 1200000C  34          1990                                        v.9, no.4</t>
        </is>
      </c>
      <c r="D38" t="inlineStr">
        <is>
          <t>Knee bracing / Lonnie E. Paulos, guest editor.</t>
        </is>
      </c>
      <c r="E38" t="inlineStr">
        <is>
          <t>V. 9 NO. 4</t>
        </is>
      </c>
      <c r="F38" t="inlineStr">
        <is>
          <t>No</t>
        </is>
      </c>
      <c r="G38" t="inlineStr">
        <is>
          <t>1</t>
        </is>
      </c>
      <c r="H38" t="inlineStr">
        <is>
          <t>No</t>
        </is>
      </c>
      <c r="I38" t="inlineStr">
        <is>
          <t>No</t>
        </is>
      </c>
      <c r="J38" t="inlineStr">
        <is>
          <t>0</t>
        </is>
      </c>
      <c r="L38" t="inlineStr">
        <is>
          <t>Philadelphia : Saunders, 1990.</t>
        </is>
      </c>
      <c r="M38" t="inlineStr">
        <is>
          <t>1990</t>
        </is>
      </c>
      <c r="O38" t="inlineStr">
        <is>
          <t>eng</t>
        </is>
      </c>
      <c r="P38" t="inlineStr">
        <is>
          <t>pau</t>
        </is>
      </c>
      <c r="Q38" t="inlineStr">
        <is>
          <t>Clinics in sports medicine ; v. 9, no. 4</t>
        </is>
      </c>
      <c r="R38" t="inlineStr">
        <is>
          <t xml:space="preserve">RC </t>
        </is>
      </c>
      <c r="S38" t="n">
        <v>2</v>
      </c>
      <c r="T38" t="n">
        <v>2</v>
      </c>
      <c r="U38" t="inlineStr">
        <is>
          <t>2001-04-18</t>
        </is>
      </c>
      <c r="V38" t="inlineStr">
        <is>
          <t>2001-04-18</t>
        </is>
      </c>
      <c r="W38" t="inlineStr">
        <is>
          <t>1992-04-22</t>
        </is>
      </c>
      <c r="X38" t="inlineStr">
        <is>
          <t>1992-04-22</t>
        </is>
      </c>
      <c r="Y38" t="n">
        <v>59</v>
      </c>
      <c r="Z38" t="n">
        <v>49</v>
      </c>
      <c r="AA38" t="n">
        <v>49</v>
      </c>
      <c r="AB38" t="n">
        <v>2</v>
      </c>
      <c r="AC38" t="n">
        <v>2</v>
      </c>
      <c r="AD38" t="n">
        <v>3</v>
      </c>
      <c r="AE38" t="n">
        <v>3</v>
      </c>
      <c r="AF38" t="n">
        <v>0</v>
      </c>
      <c r="AG38" t="n">
        <v>0</v>
      </c>
      <c r="AH38" t="n">
        <v>1</v>
      </c>
      <c r="AI38" t="n">
        <v>1</v>
      </c>
      <c r="AJ38" t="n">
        <v>1</v>
      </c>
      <c r="AK38" t="n">
        <v>1</v>
      </c>
      <c r="AL38" t="n">
        <v>1</v>
      </c>
      <c r="AM38" t="n">
        <v>1</v>
      </c>
      <c r="AN38" t="n">
        <v>0</v>
      </c>
      <c r="AO38" t="n">
        <v>0</v>
      </c>
      <c r="AP38" t="inlineStr">
        <is>
          <t>No</t>
        </is>
      </c>
      <c r="AQ38" t="inlineStr">
        <is>
          <t>No</t>
        </is>
      </c>
      <c r="AS38">
        <f>HYPERLINK("https://creighton-primo.hosted.exlibrisgroup.com/primo-explore/search?tab=default_tab&amp;search_scope=EVERYTHING&amp;vid=01CRU&amp;lang=en_US&amp;offset=0&amp;query=any,contains,991001796839702656","Catalog Record")</f>
        <v/>
      </c>
      <c r="AT38">
        <f>HYPERLINK("http://www.worldcat.org/oclc/22610807","WorldCat Record")</f>
        <v/>
      </c>
      <c r="AU38" t="inlineStr">
        <is>
          <t>133529679:eng</t>
        </is>
      </c>
      <c r="AV38" t="inlineStr">
        <is>
          <t>22610807</t>
        </is>
      </c>
      <c r="AW38" t="inlineStr">
        <is>
          <t>991001796839702656</t>
        </is>
      </c>
      <c r="AX38" t="inlineStr">
        <is>
          <t>991001796839702656</t>
        </is>
      </c>
      <c r="AY38" t="inlineStr">
        <is>
          <t>2272081760002656</t>
        </is>
      </c>
      <c r="AZ38" t="inlineStr">
        <is>
          <t>BOOK</t>
        </is>
      </c>
      <c r="BC38" t="inlineStr">
        <is>
          <t>32285001085090</t>
        </is>
      </c>
      <c r="BD38" t="inlineStr">
        <is>
          <t>893346793</t>
        </is>
      </c>
    </row>
    <row r="39">
      <c r="A39" t="inlineStr">
        <is>
          <t>No</t>
        </is>
      </c>
      <c r="B39" t="inlineStr">
        <is>
          <t>RC1200 .C34 1991, v.10, no.1</t>
        </is>
      </c>
      <c r="C39" t="inlineStr">
        <is>
          <t>0                      RC 1200000C  34          1991                                        v.10, no.1</t>
        </is>
      </c>
      <c r="D39" t="inlineStr">
        <is>
          <t>The Exercise prescription / Nicholas DiNubile, guest editor.</t>
        </is>
      </c>
      <c r="E39" t="inlineStr">
        <is>
          <t>V.10 NO.1</t>
        </is>
      </c>
      <c r="F39" t="inlineStr">
        <is>
          <t>No</t>
        </is>
      </c>
      <c r="G39" t="inlineStr">
        <is>
          <t>1</t>
        </is>
      </c>
      <c r="H39" t="inlineStr">
        <is>
          <t>Yes</t>
        </is>
      </c>
      <c r="I39" t="inlineStr">
        <is>
          <t>No</t>
        </is>
      </c>
      <c r="J39" t="inlineStr">
        <is>
          <t>0</t>
        </is>
      </c>
      <c r="L39" t="inlineStr">
        <is>
          <t>Philadelphia : Saunders, 1991.</t>
        </is>
      </c>
      <c r="M39" t="inlineStr">
        <is>
          <t>1991</t>
        </is>
      </c>
      <c r="O39" t="inlineStr">
        <is>
          <t>eng</t>
        </is>
      </c>
      <c r="P39" t="inlineStr">
        <is>
          <t>pau</t>
        </is>
      </c>
      <c r="Q39" t="inlineStr">
        <is>
          <t>Clinics in sports medicine ; v. 10, no. 1</t>
        </is>
      </c>
      <c r="R39" t="inlineStr">
        <is>
          <t xml:space="preserve">RC </t>
        </is>
      </c>
      <c r="S39" t="n">
        <v>12</v>
      </c>
      <c r="T39" t="n">
        <v>12</v>
      </c>
      <c r="U39" t="inlineStr">
        <is>
          <t>2000-03-02</t>
        </is>
      </c>
      <c r="V39" t="inlineStr">
        <is>
          <t>2000-03-02</t>
        </is>
      </c>
      <c r="W39" t="inlineStr">
        <is>
          <t>1991-03-20</t>
        </is>
      </c>
      <c r="X39" t="inlineStr">
        <is>
          <t>2004-09-15</t>
        </is>
      </c>
      <c r="Y39" t="n">
        <v>65</v>
      </c>
      <c r="Z39" t="n">
        <v>52</v>
      </c>
      <c r="AA39" t="n">
        <v>52</v>
      </c>
      <c r="AB39" t="n">
        <v>3</v>
      </c>
      <c r="AC39" t="n">
        <v>3</v>
      </c>
      <c r="AD39" t="n">
        <v>4</v>
      </c>
      <c r="AE39" t="n">
        <v>4</v>
      </c>
      <c r="AF39" t="n">
        <v>1</v>
      </c>
      <c r="AG39" t="n">
        <v>1</v>
      </c>
      <c r="AH39" t="n">
        <v>1</v>
      </c>
      <c r="AI39" t="n">
        <v>1</v>
      </c>
      <c r="AJ39" t="n">
        <v>1</v>
      </c>
      <c r="AK39" t="n">
        <v>1</v>
      </c>
      <c r="AL39" t="n">
        <v>1</v>
      </c>
      <c r="AM39" t="n">
        <v>1</v>
      </c>
      <c r="AN39" t="n">
        <v>0</v>
      </c>
      <c r="AO39" t="n">
        <v>0</v>
      </c>
      <c r="AP39" t="inlineStr">
        <is>
          <t>No</t>
        </is>
      </c>
      <c r="AQ39" t="inlineStr">
        <is>
          <t>No</t>
        </is>
      </c>
      <c r="AS39">
        <f>HYPERLINK("https://creighton-primo.hosted.exlibrisgroup.com/primo-explore/search?tab=default_tab&amp;search_scope=EVERYTHING&amp;vid=01CRU&amp;lang=en_US&amp;offset=0&amp;query=any,contains,991001687459702656","Catalog Record")</f>
        <v/>
      </c>
      <c r="AT39">
        <f>HYPERLINK("http://www.worldcat.org/oclc/23034936","WorldCat Record")</f>
        <v/>
      </c>
      <c r="AU39" t="inlineStr">
        <is>
          <t>55428657:eng</t>
        </is>
      </c>
      <c r="AV39" t="inlineStr">
        <is>
          <t>23034936</t>
        </is>
      </c>
      <c r="AW39" t="inlineStr">
        <is>
          <t>991001687459702656</t>
        </is>
      </c>
      <c r="AX39" t="inlineStr">
        <is>
          <t>991001687459702656</t>
        </is>
      </c>
      <c r="AY39" t="inlineStr">
        <is>
          <t>2259238580002656</t>
        </is>
      </c>
      <c r="AZ39" t="inlineStr">
        <is>
          <t>BOOK</t>
        </is>
      </c>
      <c r="BC39" t="inlineStr">
        <is>
          <t>32285000536754</t>
        </is>
      </c>
      <c r="BD39" t="inlineStr">
        <is>
          <t>893256416</t>
        </is>
      </c>
    </row>
    <row r="40">
      <c r="A40" t="inlineStr">
        <is>
          <t>No</t>
        </is>
      </c>
      <c r="B40" t="inlineStr">
        <is>
          <t>RC1200 .C34 1991, v.10, no.2</t>
        </is>
      </c>
      <c r="C40" t="inlineStr">
        <is>
          <t>0                      RC 1200000C  34          1991                                        v.10, no.2</t>
        </is>
      </c>
      <c r="D40" t="inlineStr">
        <is>
          <t>Sports medicine in the older athlete / Robert K. Kerlan, guest editor.</t>
        </is>
      </c>
      <c r="E40" t="inlineStr">
        <is>
          <t>V. 10 NO. 2</t>
        </is>
      </c>
      <c r="F40" t="inlineStr">
        <is>
          <t>No</t>
        </is>
      </c>
      <c r="G40" t="inlineStr">
        <is>
          <t>1</t>
        </is>
      </c>
      <c r="H40" t="inlineStr">
        <is>
          <t>No</t>
        </is>
      </c>
      <c r="I40" t="inlineStr">
        <is>
          <t>No</t>
        </is>
      </c>
      <c r="J40" t="inlineStr">
        <is>
          <t>0</t>
        </is>
      </c>
      <c r="L40" t="inlineStr">
        <is>
          <t>Philadelphia : W.B. Saunders Co., c1991.</t>
        </is>
      </c>
      <c r="M40" t="inlineStr">
        <is>
          <t>1991</t>
        </is>
      </c>
      <c r="O40" t="inlineStr">
        <is>
          <t>eng</t>
        </is>
      </c>
      <c r="P40" t="inlineStr">
        <is>
          <t>pau</t>
        </is>
      </c>
      <c r="Q40" t="inlineStr">
        <is>
          <t>Clinics in sports medicine ; v. 10, no. 2</t>
        </is>
      </c>
      <c r="R40" t="inlineStr">
        <is>
          <t xml:space="preserve">RC </t>
        </is>
      </c>
      <c r="S40" t="n">
        <v>1</v>
      </c>
      <c r="T40" t="n">
        <v>1</v>
      </c>
      <c r="U40" t="inlineStr">
        <is>
          <t>1994-10-29</t>
        </is>
      </c>
      <c r="V40" t="inlineStr">
        <is>
          <t>1994-10-29</t>
        </is>
      </c>
      <c r="W40" t="inlineStr">
        <is>
          <t>1991-06-06</t>
        </is>
      </c>
      <c r="X40" t="inlineStr">
        <is>
          <t>1991-06-06</t>
        </is>
      </c>
      <c r="Y40" t="n">
        <v>60</v>
      </c>
      <c r="Z40" t="n">
        <v>48</v>
      </c>
      <c r="AA40" t="n">
        <v>48</v>
      </c>
      <c r="AB40" t="n">
        <v>2</v>
      </c>
      <c r="AC40" t="n">
        <v>2</v>
      </c>
      <c r="AD40" t="n">
        <v>4</v>
      </c>
      <c r="AE40" t="n">
        <v>4</v>
      </c>
      <c r="AF40" t="n">
        <v>1</v>
      </c>
      <c r="AG40" t="n">
        <v>1</v>
      </c>
      <c r="AH40" t="n">
        <v>1</v>
      </c>
      <c r="AI40" t="n">
        <v>1</v>
      </c>
      <c r="AJ40" t="n">
        <v>1</v>
      </c>
      <c r="AK40" t="n">
        <v>1</v>
      </c>
      <c r="AL40" t="n">
        <v>1</v>
      </c>
      <c r="AM40" t="n">
        <v>1</v>
      </c>
      <c r="AN40" t="n">
        <v>0</v>
      </c>
      <c r="AO40" t="n">
        <v>0</v>
      </c>
      <c r="AP40" t="inlineStr">
        <is>
          <t>No</t>
        </is>
      </c>
      <c r="AQ40" t="inlineStr">
        <is>
          <t>No</t>
        </is>
      </c>
      <c r="AS40">
        <f>HYPERLINK("https://creighton-primo.hosted.exlibrisgroup.com/primo-explore/search?tab=default_tab&amp;search_scope=EVERYTHING&amp;vid=01CRU&amp;lang=en_US&amp;offset=0&amp;query=any,contains,991001882789702656","Catalog Record")</f>
        <v/>
      </c>
      <c r="AT40">
        <f>HYPERLINK("http://www.worldcat.org/oclc/23739841","WorldCat Record")</f>
        <v/>
      </c>
      <c r="AU40" t="inlineStr">
        <is>
          <t>25619979:eng</t>
        </is>
      </c>
      <c r="AV40" t="inlineStr">
        <is>
          <t>23739841</t>
        </is>
      </c>
      <c r="AW40" t="inlineStr">
        <is>
          <t>991001882789702656</t>
        </is>
      </c>
      <c r="AX40" t="inlineStr">
        <is>
          <t>991001882789702656</t>
        </is>
      </c>
      <c r="AY40" t="inlineStr">
        <is>
          <t>2264023790002656</t>
        </is>
      </c>
      <c r="AZ40" t="inlineStr">
        <is>
          <t>BOOK</t>
        </is>
      </c>
      <c r="BC40" t="inlineStr">
        <is>
          <t>32285000644533</t>
        </is>
      </c>
      <c r="BD40" t="inlineStr">
        <is>
          <t>893615441</t>
        </is>
      </c>
    </row>
    <row r="41">
      <c r="A41" t="inlineStr">
        <is>
          <t>No</t>
        </is>
      </c>
      <c r="B41" t="inlineStr">
        <is>
          <t>RC1200 .C34 1991, v.10, no.3</t>
        </is>
      </c>
      <c r="C41" t="inlineStr">
        <is>
          <t>0                      RC 1200000C  34          1991                                        v.10, no.3</t>
        </is>
      </c>
      <c r="D41" t="inlineStr">
        <is>
          <t>Arthroscopy update / Terry L. Whipple, guest editor.</t>
        </is>
      </c>
      <c r="E41" t="inlineStr">
        <is>
          <t>V.10 NO.3</t>
        </is>
      </c>
      <c r="F41" t="inlineStr">
        <is>
          <t>No</t>
        </is>
      </c>
      <c r="G41" t="inlineStr">
        <is>
          <t>1</t>
        </is>
      </c>
      <c r="H41" t="inlineStr">
        <is>
          <t>Yes</t>
        </is>
      </c>
      <c r="I41" t="inlineStr">
        <is>
          <t>No</t>
        </is>
      </c>
      <c r="J41" t="inlineStr">
        <is>
          <t>0</t>
        </is>
      </c>
      <c r="L41" t="inlineStr">
        <is>
          <t>Philadelphia, PA : W.B. Saunders, c1991.</t>
        </is>
      </c>
      <c r="M41" t="inlineStr">
        <is>
          <t>1991</t>
        </is>
      </c>
      <c r="O41" t="inlineStr">
        <is>
          <t>eng</t>
        </is>
      </c>
      <c r="P41" t="inlineStr">
        <is>
          <t>pau</t>
        </is>
      </c>
      <c r="Q41" t="inlineStr">
        <is>
          <t>Clinics in sports medicine, 0278-5919 ; v. 10, no. 3 (July 1991)</t>
        </is>
      </c>
      <c r="R41" t="inlineStr">
        <is>
          <t xml:space="preserve">RC </t>
        </is>
      </c>
      <c r="S41" t="n">
        <v>3</v>
      </c>
      <c r="T41" t="n">
        <v>3</v>
      </c>
      <c r="U41" t="inlineStr">
        <is>
          <t>1993-04-25</t>
        </is>
      </c>
      <c r="V41" t="inlineStr">
        <is>
          <t>1993-04-25</t>
        </is>
      </c>
      <c r="W41" t="inlineStr">
        <is>
          <t>1992-02-10</t>
        </is>
      </c>
      <c r="X41" t="inlineStr">
        <is>
          <t>2004-09-15</t>
        </is>
      </c>
      <c r="Y41" t="n">
        <v>63</v>
      </c>
      <c r="Z41" t="n">
        <v>52</v>
      </c>
      <c r="AA41" t="n">
        <v>52</v>
      </c>
      <c r="AB41" t="n">
        <v>3</v>
      </c>
      <c r="AC41" t="n">
        <v>3</v>
      </c>
      <c r="AD41" t="n">
        <v>4</v>
      </c>
      <c r="AE41" t="n">
        <v>4</v>
      </c>
      <c r="AF41" t="n">
        <v>1</v>
      </c>
      <c r="AG41" t="n">
        <v>1</v>
      </c>
      <c r="AH41" t="n">
        <v>1</v>
      </c>
      <c r="AI41" t="n">
        <v>1</v>
      </c>
      <c r="AJ41" t="n">
        <v>1</v>
      </c>
      <c r="AK41" t="n">
        <v>1</v>
      </c>
      <c r="AL41" t="n">
        <v>1</v>
      </c>
      <c r="AM41" t="n">
        <v>1</v>
      </c>
      <c r="AN41" t="n">
        <v>0</v>
      </c>
      <c r="AO41" t="n">
        <v>0</v>
      </c>
      <c r="AP41" t="inlineStr">
        <is>
          <t>No</t>
        </is>
      </c>
      <c r="AQ41" t="inlineStr">
        <is>
          <t>No</t>
        </is>
      </c>
      <c r="AS41">
        <f>HYPERLINK("https://creighton-primo.hosted.exlibrisgroup.com/primo-explore/search?tab=default_tab&amp;search_scope=EVERYTHING&amp;vid=01CRU&amp;lang=en_US&amp;offset=0&amp;query=any,contains,991001687779702656","Catalog Record")</f>
        <v/>
      </c>
      <c r="AT41">
        <f>HYPERLINK("http://www.worldcat.org/oclc/24150965","WorldCat Record")</f>
        <v/>
      </c>
      <c r="AU41" t="inlineStr">
        <is>
          <t>25620746:eng</t>
        </is>
      </c>
      <c r="AV41" t="inlineStr">
        <is>
          <t>24150965</t>
        </is>
      </c>
      <c r="AW41" t="inlineStr">
        <is>
          <t>991001687779702656</t>
        </is>
      </c>
      <c r="AX41" t="inlineStr">
        <is>
          <t>991001687779702656</t>
        </is>
      </c>
      <c r="AY41" t="inlineStr">
        <is>
          <t>2257164340002656</t>
        </is>
      </c>
      <c r="AZ41" t="inlineStr">
        <is>
          <t>BOOK</t>
        </is>
      </c>
      <c r="BC41" t="inlineStr">
        <is>
          <t>32285000868777</t>
        </is>
      </c>
      <c r="BD41" t="inlineStr">
        <is>
          <t>893590557</t>
        </is>
      </c>
    </row>
    <row r="42">
      <c r="A42" t="inlineStr">
        <is>
          <t>No</t>
        </is>
      </c>
      <c r="B42" t="inlineStr">
        <is>
          <t>RC1200 .C34 1991, v.10, no.4</t>
        </is>
      </c>
      <c r="C42" t="inlineStr">
        <is>
          <t>0                      RC 1200000C  34          1991                                        v.10, no.4</t>
        </is>
      </c>
      <c r="D42" t="inlineStr">
        <is>
          <t>Basic science and clinical application in the athlete's shoulder / Richard J. Hawkins, guest editor.</t>
        </is>
      </c>
      <c r="E42" t="inlineStr">
        <is>
          <t>V. 10 NO. 4</t>
        </is>
      </c>
      <c r="F42" t="inlineStr">
        <is>
          <t>No</t>
        </is>
      </c>
      <c r="G42" t="inlineStr">
        <is>
          <t>1</t>
        </is>
      </c>
      <c r="H42" t="inlineStr">
        <is>
          <t>No</t>
        </is>
      </c>
      <c r="I42" t="inlineStr">
        <is>
          <t>No</t>
        </is>
      </c>
      <c r="J42" t="inlineStr">
        <is>
          <t>0</t>
        </is>
      </c>
      <c r="L42" t="inlineStr">
        <is>
          <t>Philadelphia, PA : W.B. Saunders, 1991.</t>
        </is>
      </c>
      <c r="M42" t="inlineStr">
        <is>
          <t>1991</t>
        </is>
      </c>
      <c r="O42" t="inlineStr">
        <is>
          <t>eng</t>
        </is>
      </c>
      <c r="P42" t="inlineStr">
        <is>
          <t>pau</t>
        </is>
      </c>
      <c r="Q42" t="inlineStr">
        <is>
          <t>Clinics in sports medicine ; v. 10, no. 4</t>
        </is>
      </c>
      <c r="R42" t="inlineStr">
        <is>
          <t xml:space="preserve">RC </t>
        </is>
      </c>
      <c r="S42" t="n">
        <v>6</v>
      </c>
      <c r="T42" t="n">
        <v>6</v>
      </c>
      <c r="U42" t="inlineStr">
        <is>
          <t>1996-11-15</t>
        </is>
      </c>
      <c r="V42" t="inlineStr">
        <is>
          <t>1996-11-15</t>
        </is>
      </c>
      <c r="W42" t="inlineStr">
        <is>
          <t>1991-11-16</t>
        </is>
      </c>
      <c r="X42" t="inlineStr">
        <is>
          <t>1991-11-16</t>
        </is>
      </c>
      <c r="Y42" t="n">
        <v>59</v>
      </c>
      <c r="Z42" t="n">
        <v>48</v>
      </c>
      <c r="AA42" t="n">
        <v>48</v>
      </c>
      <c r="AB42" t="n">
        <v>2</v>
      </c>
      <c r="AC42" t="n">
        <v>2</v>
      </c>
      <c r="AD42" t="n">
        <v>4</v>
      </c>
      <c r="AE42" t="n">
        <v>4</v>
      </c>
      <c r="AF42" t="n">
        <v>1</v>
      </c>
      <c r="AG42" t="n">
        <v>1</v>
      </c>
      <c r="AH42" t="n">
        <v>1</v>
      </c>
      <c r="AI42" t="n">
        <v>1</v>
      </c>
      <c r="AJ42" t="n">
        <v>1</v>
      </c>
      <c r="AK42" t="n">
        <v>1</v>
      </c>
      <c r="AL42" t="n">
        <v>1</v>
      </c>
      <c r="AM42" t="n">
        <v>1</v>
      </c>
      <c r="AN42" t="n">
        <v>0</v>
      </c>
      <c r="AO42" t="n">
        <v>0</v>
      </c>
      <c r="AP42" t="inlineStr">
        <is>
          <t>No</t>
        </is>
      </c>
      <c r="AQ42" t="inlineStr">
        <is>
          <t>No</t>
        </is>
      </c>
      <c r="AS42">
        <f>HYPERLINK("https://creighton-primo.hosted.exlibrisgroup.com/primo-explore/search?tab=default_tab&amp;search_scope=EVERYTHING&amp;vid=01CRU&amp;lang=en_US&amp;offset=0&amp;query=any,contains,991001946849702656","Catalog Record")</f>
        <v/>
      </c>
      <c r="AT42">
        <f>HYPERLINK("http://www.worldcat.org/oclc/24606303","WorldCat Record")</f>
        <v/>
      </c>
      <c r="AU42" t="inlineStr">
        <is>
          <t>26222454:eng</t>
        </is>
      </c>
      <c r="AV42" t="inlineStr">
        <is>
          <t>24606303</t>
        </is>
      </c>
      <c r="AW42" t="inlineStr">
        <is>
          <t>991001946849702656</t>
        </is>
      </c>
      <c r="AX42" t="inlineStr">
        <is>
          <t>991001946849702656</t>
        </is>
      </c>
      <c r="AY42" t="inlineStr">
        <is>
          <t>2257759760002656</t>
        </is>
      </c>
      <c r="AZ42" t="inlineStr">
        <is>
          <t>BOOK</t>
        </is>
      </c>
      <c r="BC42" t="inlineStr">
        <is>
          <t>32285000814870</t>
        </is>
      </c>
      <c r="BD42" t="inlineStr">
        <is>
          <t>893590766</t>
        </is>
      </c>
    </row>
    <row r="43">
      <c r="A43" t="inlineStr">
        <is>
          <t>No</t>
        </is>
      </c>
      <c r="B43" t="inlineStr">
        <is>
          <t>RC1200 .C34 1992, v.11, no.1</t>
        </is>
      </c>
      <c r="C43" t="inlineStr">
        <is>
          <t>0                      RC 1200000C  34          1992                                        v.11, no.1</t>
        </is>
      </c>
      <c r="D43" t="inlineStr">
        <is>
          <t>Injuries of the hand and wrist / James E. Culver, guest editor.</t>
        </is>
      </c>
      <c r="E43" t="inlineStr">
        <is>
          <t>V. 11 NO. 1</t>
        </is>
      </c>
      <c r="F43" t="inlineStr">
        <is>
          <t>No</t>
        </is>
      </c>
      <c r="G43" t="inlineStr">
        <is>
          <t>1</t>
        </is>
      </c>
      <c r="H43" t="inlineStr">
        <is>
          <t>No</t>
        </is>
      </c>
      <c r="I43" t="inlineStr">
        <is>
          <t>No</t>
        </is>
      </c>
      <c r="J43" t="inlineStr">
        <is>
          <t>0</t>
        </is>
      </c>
      <c r="L43" t="inlineStr">
        <is>
          <t>Philadelphia : W.B. Saunders, c1992.</t>
        </is>
      </c>
      <c r="M43" t="inlineStr">
        <is>
          <t>1992</t>
        </is>
      </c>
      <c r="O43" t="inlineStr">
        <is>
          <t>eng</t>
        </is>
      </c>
      <c r="P43" t="inlineStr">
        <is>
          <t>pau</t>
        </is>
      </c>
      <c r="Q43" t="inlineStr">
        <is>
          <t>Clinics in sports medicine, 0278-5919 ; v. 11, no. 1</t>
        </is>
      </c>
      <c r="R43" t="inlineStr">
        <is>
          <t xml:space="preserve">RC </t>
        </is>
      </c>
      <c r="S43" t="n">
        <v>6</v>
      </c>
      <c r="T43" t="n">
        <v>6</v>
      </c>
      <c r="U43" t="inlineStr">
        <is>
          <t>2001-04-19</t>
        </is>
      </c>
      <c r="V43" t="inlineStr">
        <is>
          <t>2001-04-19</t>
        </is>
      </c>
      <c r="W43" t="inlineStr">
        <is>
          <t>1992-03-25</t>
        </is>
      </c>
      <c r="X43" t="inlineStr">
        <is>
          <t>1992-03-25</t>
        </is>
      </c>
      <c r="Y43" t="n">
        <v>65</v>
      </c>
      <c r="Z43" t="n">
        <v>52</v>
      </c>
      <c r="AA43" t="n">
        <v>52</v>
      </c>
      <c r="AB43" t="n">
        <v>2</v>
      </c>
      <c r="AC43" t="n">
        <v>2</v>
      </c>
      <c r="AD43" t="n">
        <v>4</v>
      </c>
      <c r="AE43" t="n">
        <v>4</v>
      </c>
      <c r="AF43" t="n">
        <v>1</v>
      </c>
      <c r="AG43" t="n">
        <v>1</v>
      </c>
      <c r="AH43" t="n">
        <v>1</v>
      </c>
      <c r="AI43" t="n">
        <v>1</v>
      </c>
      <c r="AJ43" t="n">
        <v>1</v>
      </c>
      <c r="AK43" t="n">
        <v>1</v>
      </c>
      <c r="AL43" t="n">
        <v>1</v>
      </c>
      <c r="AM43" t="n">
        <v>1</v>
      </c>
      <c r="AN43" t="n">
        <v>0</v>
      </c>
      <c r="AO43" t="n">
        <v>0</v>
      </c>
      <c r="AP43" t="inlineStr">
        <is>
          <t>No</t>
        </is>
      </c>
      <c r="AQ43" t="inlineStr">
        <is>
          <t>No</t>
        </is>
      </c>
      <c r="AS43">
        <f>HYPERLINK("https://creighton-primo.hosted.exlibrisgroup.com/primo-explore/search?tab=default_tab&amp;search_scope=EVERYTHING&amp;vid=01CRU&amp;lang=en_US&amp;offset=0&amp;query=any,contains,991001986329702656","Catalog Record")</f>
        <v/>
      </c>
      <c r="AT43">
        <f>HYPERLINK("http://www.worldcat.org/oclc/25212321","WorldCat Record")</f>
        <v/>
      </c>
      <c r="AU43" t="inlineStr">
        <is>
          <t>27931925:eng</t>
        </is>
      </c>
      <c r="AV43" t="inlineStr">
        <is>
          <t>25212321</t>
        </is>
      </c>
      <c r="AW43" t="inlineStr">
        <is>
          <t>991001986329702656</t>
        </is>
      </c>
      <c r="AX43" t="inlineStr">
        <is>
          <t>991001986329702656</t>
        </is>
      </c>
      <c r="AY43" t="inlineStr">
        <is>
          <t>2262855440002656</t>
        </is>
      </c>
      <c r="AZ43" t="inlineStr">
        <is>
          <t>BOOK</t>
        </is>
      </c>
      <c r="BC43" t="inlineStr">
        <is>
          <t>32285000939925</t>
        </is>
      </c>
      <c r="BD43" t="inlineStr">
        <is>
          <t>893609333</t>
        </is>
      </c>
    </row>
    <row r="44">
      <c r="A44" t="inlineStr">
        <is>
          <t>No</t>
        </is>
      </c>
      <c r="B44" t="inlineStr">
        <is>
          <t>RC1200 .C34 1992, v.11, no.2</t>
        </is>
      </c>
      <c r="C44" t="inlineStr">
        <is>
          <t>0                      RC 1200000C  34          1992                                        v.11, no.2</t>
        </is>
      </c>
      <c r="D44" t="inlineStr">
        <is>
          <t>Medical problems / James C. Puffer, guest editor.</t>
        </is>
      </c>
      <c r="E44" t="inlineStr">
        <is>
          <t>V. 1 NO. 2</t>
        </is>
      </c>
      <c r="F44" t="inlineStr">
        <is>
          <t>No</t>
        </is>
      </c>
      <c r="G44" t="inlineStr">
        <is>
          <t>1</t>
        </is>
      </c>
      <c r="H44" t="inlineStr">
        <is>
          <t>No</t>
        </is>
      </c>
      <c r="I44" t="inlineStr">
        <is>
          <t>No</t>
        </is>
      </c>
      <c r="J44" t="inlineStr">
        <is>
          <t>0</t>
        </is>
      </c>
      <c r="L44" t="inlineStr">
        <is>
          <t>Philadelphia : W.B. Saunders, c1992.</t>
        </is>
      </c>
      <c r="M44" t="inlineStr">
        <is>
          <t>1992</t>
        </is>
      </c>
      <c r="O44" t="inlineStr">
        <is>
          <t>eng</t>
        </is>
      </c>
      <c r="P44" t="inlineStr">
        <is>
          <t>pau</t>
        </is>
      </c>
      <c r="Q44" t="inlineStr">
        <is>
          <t>Clinics in sports medicine ; v. 11, no. 2</t>
        </is>
      </c>
      <c r="R44" t="inlineStr">
        <is>
          <t xml:space="preserve">RC </t>
        </is>
      </c>
      <c r="S44" t="n">
        <v>28</v>
      </c>
      <c r="T44" t="n">
        <v>28</v>
      </c>
      <c r="U44" t="inlineStr">
        <is>
          <t>2000-09-30</t>
        </is>
      </c>
      <c r="V44" t="inlineStr">
        <is>
          <t>2000-09-30</t>
        </is>
      </c>
      <c r="W44" t="inlineStr">
        <is>
          <t>1992-05-15</t>
        </is>
      </c>
      <c r="X44" t="inlineStr">
        <is>
          <t>1992-05-15</t>
        </is>
      </c>
      <c r="Y44" t="n">
        <v>60</v>
      </c>
      <c r="Z44" t="n">
        <v>51</v>
      </c>
      <c r="AA44" t="n">
        <v>51</v>
      </c>
      <c r="AB44" t="n">
        <v>2</v>
      </c>
      <c r="AC44" t="n">
        <v>2</v>
      </c>
      <c r="AD44" t="n">
        <v>4</v>
      </c>
      <c r="AE44" t="n">
        <v>4</v>
      </c>
      <c r="AF44" t="n">
        <v>1</v>
      </c>
      <c r="AG44" t="n">
        <v>1</v>
      </c>
      <c r="AH44" t="n">
        <v>1</v>
      </c>
      <c r="AI44" t="n">
        <v>1</v>
      </c>
      <c r="AJ44" t="n">
        <v>1</v>
      </c>
      <c r="AK44" t="n">
        <v>1</v>
      </c>
      <c r="AL44" t="n">
        <v>1</v>
      </c>
      <c r="AM44" t="n">
        <v>1</v>
      </c>
      <c r="AN44" t="n">
        <v>0</v>
      </c>
      <c r="AO44" t="n">
        <v>0</v>
      </c>
      <c r="AP44" t="inlineStr">
        <is>
          <t>No</t>
        </is>
      </c>
      <c r="AQ44" t="inlineStr">
        <is>
          <t>No</t>
        </is>
      </c>
      <c r="AS44">
        <f>HYPERLINK("https://creighton-primo.hosted.exlibrisgroup.com/primo-explore/search?tab=default_tab&amp;search_scope=EVERYTHING&amp;vid=01CRU&amp;lang=en_US&amp;offset=0&amp;query=any,contains,991002022549702656","Catalog Record")</f>
        <v/>
      </c>
      <c r="AT44">
        <f>HYPERLINK("http://www.worldcat.org/oclc/25739573","WorldCat Record")</f>
        <v/>
      </c>
      <c r="AU44" t="inlineStr">
        <is>
          <t>55580720:eng</t>
        </is>
      </c>
      <c r="AV44" t="inlineStr">
        <is>
          <t>25739573</t>
        </is>
      </c>
      <c r="AW44" t="inlineStr">
        <is>
          <t>991002022549702656</t>
        </is>
      </c>
      <c r="AX44" t="inlineStr">
        <is>
          <t>991002022549702656</t>
        </is>
      </c>
      <c r="AY44" t="inlineStr">
        <is>
          <t>2265276880002656</t>
        </is>
      </c>
      <c r="AZ44" t="inlineStr">
        <is>
          <t>BOOK</t>
        </is>
      </c>
      <c r="BC44" t="inlineStr">
        <is>
          <t>32285001100725</t>
        </is>
      </c>
      <c r="BD44" t="inlineStr">
        <is>
          <t>893779333</t>
        </is>
      </c>
    </row>
    <row r="45">
      <c r="A45" t="inlineStr">
        <is>
          <t>No</t>
        </is>
      </c>
      <c r="B45" t="inlineStr">
        <is>
          <t>RC1200 .C34 1992, v.11, no.3</t>
        </is>
      </c>
      <c r="C45" t="inlineStr">
        <is>
          <t>0                      RC 1200000C  34          1992                                        v.11, no.3</t>
        </is>
      </c>
      <c r="D45" t="inlineStr">
        <is>
          <t>Tendinitis I : basic concepts / Per A.F.H. Renström, Wayne B. Leadbetter, guest editors.</t>
        </is>
      </c>
      <c r="E45" t="inlineStr">
        <is>
          <t>V. 11 NO. 3</t>
        </is>
      </c>
      <c r="F45" t="inlineStr">
        <is>
          <t>No</t>
        </is>
      </c>
      <c r="G45" t="inlineStr">
        <is>
          <t>1</t>
        </is>
      </c>
      <c r="H45" t="inlineStr">
        <is>
          <t>No</t>
        </is>
      </c>
      <c r="I45" t="inlineStr">
        <is>
          <t>No</t>
        </is>
      </c>
      <c r="J45" t="inlineStr">
        <is>
          <t>0</t>
        </is>
      </c>
      <c r="L45" t="inlineStr">
        <is>
          <t>Philadelphia : W.B. Saunders, c1992.</t>
        </is>
      </c>
      <c r="M45" t="inlineStr">
        <is>
          <t>1992</t>
        </is>
      </c>
      <c r="O45" t="inlineStr">
        <is>
          <t>eng</t>
        </is>
      </c>
      <c r="P45" t="inlineStr">
        <is>
          <t>pau</t>
        </is>
      </c>
      <c r="Q45" t="inlineStr">
        <is>
          <t>Clinics in sports medicine ; v. 11, no. 3</t>
        </is>
      </c>
      <c r="R45" t="inlineStr">
        <is>
          <t xml:space="preserve">RC </t>
        </is>
      </c>
      <c r="S45" t="n">
        <v>6</v>
      </c>
      <c r="T45" t="n">
        <v>6</v>
      </c>
      <c r="U45" t="inlineStr">
        <is>
          <t>2002-03-01</t>
        </is>
      </c>
      <c r="V45" t="inlineStr">
        <is>
          <t>2002-03-01</t>
        </is>
      </c>
      <c r="W45" t="inlineStr">
        <is>
          <t>1992-07-27</t>
        </is>
      </c>
      <c r="X45" t="inlineStr">
        <is>
          <t>1992-07-27</t>
        </is>
      </c>
      <c r="Y45" t="n">
        <v>57</v>
      </c>
      <c r="Z45" t="n">
        <v>51</v>
      </c>
      <c r="AA45" t="n">
        <v>51</v>
      </c>
      <c r="AB45" t="n">
        <v>2</v>
      </c>
      <c r="AC45" t="n">
        <v>2</v>
      </c>
      <c r="AD45" t="n">
        <v>4</v>
      </c>
      <c r="AE45" t="n">
        <v>4</v>
      </c>
      <c r="AF45" t="n">
        <v>1</v>
      </c>
      <c r="AG45" t="n">
        <v>1</v>
      </c>
      <c r="AH45" t="n">
        <v>1</v>
      </c>
      <c r="AI45" t="n">
        <v>1</v>
      </c>
      <c r="AJ45" t="n">
        <v>1</v>
      </c>
      <c r="AK45" t="n">
        <v>1</v>
      </c>
      <c r="AL45" t="n">
        <v>1</v>
      </c>
      <c r="AM45" t="n">
        <v>1</v>
      </c>
      <c r="AN45" t="n">
        <v>0</v>
      </c>
      <c r="AO45" t="n">
        <v>0</v>
      </c>
      <c r="AP45" t="inlineStr">
        <is>
          <t>No</t>
        </is>
      </c>
      <c r="AQ45" t="inlineStr">
        <is>
          <t>No</t>
        </is>
      </c>
      <c r="AS45">
        <f>HYPERLINK("https://creighton-primo.hosted.exlibrisgroup.com/primo-explore/search?tab=default_tab&amp;search_scope=EVERYTHING&amp;vid=01CRU&amp;lang=en_US&amp;offset=0&amp;query=any,contains,991002053649702656","Catalog Record")</f>
        <v/>
      </c>
      <c r="AT45">
        <f>HYPERLINK("http://www.worldcat.org/oclc/26230663","WorldCat Record")</f>
        <v/>
      </c>
      <c r="AU45" t="inlineStr">
        <is>
          <t>354494768:eng</t>
        </is>
      </c>
      <c r="AV45" t="inlineStr">
        <is>
          <t>26230663</t>
        </is>
      </c>
      <c r="AW45" t="inlineStr">
        <is>
          <t>991002053649702656</t>
        </is>
      </c>
      <c r="AX45" t="inlineStr">
        <is>
          <t>991002053649702656</t>
        </is>
      </c>
      <c r="AY45" t="inlineStr">
        <is>
          <t>2255304420002656</t>
        </is>
      </c>
      <c r="AZ45" t="inlineStr">
        <is>
          <t>BOOK</t>
        </is>
      </c>
      <c r="BC45" t="inlineStr">
        <is>
          <t>32285001214880</t>
        </is>
      </c>
      <c r="BD45" t="inlineStr">
        <is>
          <t>893798115</t>
        </is>
      </c>
    </row>
    <row r="46">
      <c r="A46" t="inlineStr">
        <is>
          <t>No</t>
        </is>
      </c>
      <c r="B46" t="inlineStr">
        <is>
          <t>RC1200 .C34 1992, v.11, no.4</t>
        </is>
      </c>
      <c r="C46" t="inlineStr">
        <is>
          <t>0                      RC 1200000C  34          1992                                        v.11, no.4</t>
        </is>
      </c>
      <c r="D46" t="inlineStr">
        <is>
          <t>Tendinitis II : clinical considerations / Per A.F.H. Renström, Wayne B. Leadbetter, guest editors.</t>
        </is>
      </c>
      <c r="E46" t="inlineStr">
        <is>
          <t>V. 11 NO. 4</t>
        </is>
      </c>
      <c r="F46" t="inlineStr">
        <is>
          <t>No</t>
        </is>
      </c>
      <c r="G46" t="inlineStr">
        <is>
          <t>1</t>
        </is>
      </c>
      <c r="H46" t="inlineStr">
        <is>
          <t>No</t>
        </is>
      </c>
      <c r="I46" t="inlineStr">
        <is>
          <t>No</t>
        </is>
      </c>
      <c r="J46" t="inlineStr">
        <is>
          <t>0</t>
        </is>
      </c>
      <c r="L46" t="inlineStr">
        <is>
          <t>Philadelphia, PA : W.B. Saunders, 1992.</t>
        </is>
      </c>
      <c r="M46" t="inlineStr">
        <is>
          <t>1992</t>
        </is>
      </c>
      <c r="O46" t="inlineStr">
        <is>
          <t>eng</t>
        </is>
      </c>
      <c r="P46" t="inlineStr">
        <is>
          <t>pau</t>
        </is>
      </c>
      <c r="Q46" t="inlineStr">
        <is>
          <t>Clinics in sports medicine ; v. 11, no. 4</t>
        </is>
      </c>
      <c r="R46" t="inlineStr">
        <is>
          <t xml:space="preserve">RC </t>
        </is>
      </c>
      <c r="S46" t="n">
        <v>9</v>
      </c>
      <c r="T46" t="n">
        <v>9</v>
      </c>
      <c r="U46" t="inlineStr">
        <is>
          <t>2002-03-01</t>
        </is>
      </c>
      <c r="V46" t="inlineStr">
        <is>
          <t>2002-03-01</t>
        </is>
      </c>
      <c r="W46" t="inlineStr">
        <is>
          <t>1992-10-09</t>
        </is>
      </c>
      <c r="X46" t="inlineStr">
        <is>
          <t>1992-10-09</t>
        </is>
      </c>
      <c r="Y46" t="n">
        <v>54</v>
      </c>
      <c r="Z46" t="n">
        <v>48</v>
      </c>
      <c r="AA46" t="n">
        <v>48</v>
      </c>
      <c r="AB46" t="n">
        <v>2</v>
      </c>
      <c r="AC46" t="n">
        <v>2</v>
      </c>
      <c r="AD46" t="n">
        <v>4</v>
      </c>
      <c r="AE46" t="n">
        <v>4</v>
      </c>
      <c r="AF46" t="n">
        <v>1</v>
      </c>
      <c r="AG46" t="n">
        <v>1</v>
      </c>
      <c r="AH46" t="n">
        <v>1</v>
      </c>
      <c r="AI46" t="n">
        <v>1</v>
      </c>
      <c r="AJ46" t="n">
        <v>1</v>
      </c>
      <c r="AK46" t="n">
        <v>1</v>
      </c>
      <c r="AL46" t="n">
        <v>1</v>
      </c>
      <c r="AM46" t="n">
        <v>1</v>
      </c>
      <c r="AN46" t="n">
        <v>0</v>
      </c>
      <c r="AO46" t="n">
        <v>0</v>
      </c>
      <c r="AP46" t="inlineStr">
        <is>
          <t>No</t>
        </is>
      </c>
      <c r="AQ46" t="inlineStr">
        <is>
          <t>No</t>
        </is>
      </c>
      <c r="AS46">
        <f>HYPERLINK("https://creighton-primo.hosted.exlibrisgroup.com/primo-explore/search?tab=default_tab&amp;search_scope=EVERYTHING&amp;vid=01CRU&amp;lang=en_US&amp;offset=0&amp;query=any,contains,991002084249702656","Catalog Record")</f>
        <v/>
      </c>
      <c r="AT46">
        <f>HYPERLINK("http://www.worldcat.org/oclc/26733344","WorldCat Record")</f>
        <v/>
      </c>
      <c r="AU46" t="inlineStr">
        <is>
          <t>3372422377:eng</t>
        </is>
      </c>
      <c r="AV46" t="inlineStr">
        <is>
          <t>26733344</t>
        </is>
      </c>
      <c r="AW46" t="inlineStr">
        <is>
          <t>991002084249702656</t>
        </is>
      </c>
      <c r="AX46" t="inlineStr">
        <is>
          <t>991002084249702656</t>
        </is>
      </c>
      <c r="AY46" t="inlineStr">
        <is>
          <t>2272610250002656</t>
        </is>
      </c>
      <c r="AZ46" t="inlineStr">
        <is>
          <t>BOOK</t>
        </is>
      </c>
      <c r="BC46" t="inlineStr">
        <is>
          <t>32285001369502</t>
        </is>
      </c>
      <c r="BD46" t="inlineStr">
        <is>
          <t>893885826</t>
        </is>
      </c>
    </row>
    <row r="47">
      <c r="A47" t="inlineStr">
        <is>
          <t>No</t>
        </is>
      </c>
      <c r="B47" t="inlineStr">
        <is>
          <t>RC1200 .C34 1993, v.12, no.1</t>
        </is>
      </c>
      <c r="C47" t="inlineStr">
        <is>
          <t>0                      RC 1200000C  34          1993                                        v.12, no.1</t>
        </is>
      </c>
      <c r="D47" t="inlineStr">
        <is>
          <t>New trends and developments in sports medicine / Vincent DiStefano and Frederick C. Balduini, guest editors.</t>
        </is>
      </c>
      <c r="E47" t="inlineStr">
        <is>
          <t>V. 12 NO. 1</t>
        </is>
      </c>
      <c r="F47" t="inlineStr">
        <is>
          <t>No</t>
        </is>
      </c>
      <c r="G47" t="inlineStr">
        <is>
          <t>1</t>
        </is>
      </c>
      <c r="H47" t="inlineStr">
        <is>
          <t>No</t>
        </is>
      </c>
      <c r="I47" t="inlineStr">
        <is>
          <t>No</t>
        </is>
      </c>
      <c r="J47" t="inlineStr">
        <is>
          <t>0</t>
        </is>
      </c>
      <c r="L47" t="inlineStr">
        <is>
          <t>Philadelphia : W.B. Saunders, 1993.</t>
        </is>
      </c>
      <c r="M47" t="inlineStr">
        <is>
          <t>1993</t>
        </is>
      </c>
      <c r="O47" t="inlineStr">
        <is>
          <t>eng</t>
        </is>
      </c>
      <c r="P47" t="inlineStr">
        <is>
          <t>pau</t>
        </is>
      </c>
      <c r="Q47" t="inlineStr">
        <is>
          <t>Clinics in sports medicine ; v. 12, no. 1</t>
        </is>
      </c>
      <c r="R47" t="inlineStr">
        <is>
          <t xml:space="preserve">RC </t>
        </is>
      </c>
      <c r="S47" t="n">
        <v>5</v>
      </c>
      <c r="T47" t="n">
        <v>5</v>
      </c>
      <c r="U47" t="inlineStr">
        <is>
          <t>1994-04-19</t>
        </is>
      </c>
      <c r="V47" t="inlineStr">
        <is>
          <t>1994-04-19</t>
        </is>
      </c>
      <c r="W47" t="inlineStr">
        <is>
          <t>1993-01-27</t>
        </is>
      </c>
      <c r="X47" t="inlineStr">
        <is>
          <t>1993-01-27</t>
        </is>
      </c>
      <c r="Y47" t="n">
        <v>66</v>
      </c>
      <c r="Z47" t="n">
        <v>54</v>
      </c>
      <c r="AA47" t="n">
        <v>54</v>
      </c>
      <c r="AB47" t="n">
        <v>2</v>
      </c>
      <c r="AC47" t="n">
        <v>2</v>
      </c>
      <c r="AD47" t="n">
        <v>5</v>
      </c>
      <c r="AE47" t="n">
        <v>5</v>
      </c>
      <c r="AF47" t="n">
        <v>2</v>
      </c>
      <c r="AG47" t="n">
        <v>2</v>
      </c>
      <c r="AH47" t="n">
        <v>1</v>
      </c>
      <c r="AI47" t="n">
        <v>1</v>
      </c>
      <c r="AJ47" t="n">
        <v>1</v>
      </c>
      <c r="AK47" t="n">
        <v>1</v>
      </c>
      <c r="AL47" t="n">
        <v>1</v>
      </c>
      <c r="AM47" t="n">
        <v>1</v>
      </c>
      <c r="AN47" t="n">
        <v>0</v>
      </c>
      <c r="AO47" t="n">
        <v>0</v>
      </c>
      <c r="AP47" t="inlineStr">
        <is>
          <t>No</t>
        </is>
      </c>
      <c r="AQ47" t="inlineStr">
        <is>
          <t>No</t>
        </is>
      </c>
      <c r="AS47">
        <f>HYPERLINK("https://creighton-primo.hosted.exlibrisgroup.com/primo-explore/search?tab=default_tab&amp;search_scope=EVERYTHING&amp;vid=01CRU&amp;lang=en_US&amp;offset=0&amp;query=any,contains,991002131539702656","Catalog Record")</f>
        <v/>
      </c>
      <c r="AT47">
        <f>HYPERLINK("http://www.worldcat.org/oclc/27325317","WorldCat Record")</f>
        <v/>
      </c>
      <c r="AU47" t="inlineStr">
        <is>
          <t>364388232:eng</t>
        </is>
      </c>
      <c r="AV47" t="inlineStr">
        <is>
          <t>27325317</t>
        </is>
      </c>
      <c r="AW47" t="inlineStr">
        <is>
          <t>991002131539702656</t>
        </is>
      </c>
      <c r="AX47" t="inlineStr">
        <is>
          <t>991002131539702656</t>
        </is>
      </c>
      <c r="AY47" t="inlineStr">
        <is>
          <t>2256619510002656</t>
        </is>
      </c>
      <c r="AZ47" t="inlineStr">
        <is>
          <t>BOOK</t>
        </is>
      </c>
      <c r="BC47" t="inlineStr">
        <is>
          <t>32285001521821</t>
        </is>
      </c>
      <c r="BD47" t="inlineStr">
        <is>
          <t>893779458</t>
        </is>
      </c>
    </row>
    <row r="48">
      <c r="A48" t="inlineStr">
        <is>
          <t>No</t>
        </is>
      </c>
      <c r="B48" t="inlineStr">
        <is>
          <t>RC1200 .C34 1993, v.12, no.2</t>
        </is>
      </c>
      <c r="C48" t="inlineStr">
        <is>
          <t>0                      RC 1200000C  34          1993                                        v.12, no.2</t>
        </is>
      </c>
      <c r="D48" t="inlineStr">
        <is>
          <t>Basketball injuries / Paul M. Steingard, guest editor.</t>
        </is>
      </c>
      <c r="E48" t="inlineStr">
        <is>
          <t>V. 12 NO. 2</t>
        </is>
      </c>
      <c r="F48" t="inlineStr">
        <is>
          <t>No</t>
        </is>
      </c>
      <c r="G48" t="inlineStr">
        <is>
          <t>1</t>
        </is>
      </c>
      <c r="H48" t="inlineStr">
        <is>
          <t>No</t>
        </is>
      </c>
      <c r="I48" t="inlineStr">
        <is>
          <t>No</t>
        </is>
      </c>
      <c r="J48" t="inlineStr">
        <is>
          <t>0</t>
        </is>
      </c>
      <c r="L48" t="inlineStr">
        <is>
          <t>Philadelphia : W.B. Saunders Co., 1993.</t>
        </is>
      </c>
      <c r="M48" t="inlineStr">
        <is>
          <t>1993</t>
        </is>
      </c>
      <c r="O48" t="inlineStr">
        <is>
          <t>eng</t>
        </is>
      </c>
      <c r="P48" t="inlineStr">
        <is>
          <t>pau</t>
        </is>
      </c>
      <c r="Q48" t="inlineStr">
        <is>
          <t>Clinics in sports medicine ; v. 12, no. 2</t>
        </is>
      </c>
      <c r="R48" t="inlineStr">
        <is>
          <t xml:space="preserve">RC </t>
        </is>
      </c>
      <c r="S48" t="n">
        <v>6</v>
      </c>
      <c r="T48" t="n">
        <v>6</v>
      </c>
      <c r="U48" t="inlineStr">
        <is>
          <t>1998-02-11</t>
        </is>
      </c>
      <c r="V48" t="inlineStr">
        <is>
          <t>1998-02-11</t>
        </is>
      </c>
      <c r="W48" t="inlineStr">
        <is>
          <t>1993-05-04</t>
        </is>
      </c>
      <c r="X48" t="inlineStr">
        <is>
          <t>1993-05-04</t>
        </is>
      </c>
      <c r="Y48" t="n">
        <v>68</v>
      </c>
      <c r="Z48" t="n">
        <v>55</v>
      </c>
      <c r="AA48" t="n">
        <v>55</v>
      </c>
      <c r="AB48" t="n">
        <v>2</v>
      </c>
      <c r="AC48" t="n">
        <v>2</v>
      </c>
      <c r="AD48" t="n">
        <v>6</v>
      </c>
      <c r="AE48" t="n">
        <v>6</v>
      </c>
      <c r="AF48" t="n">
        <v>3</v>
      </c>
      <c r="AG48" t="n">
        <v>3</v>
      </c>
      <c r="AH48" t="n">
        <v>1</v>
      </c>
      <c r="AI48" t="n">
        <v>1</v>
      </c>
      <c r="AJ48" t="n">
        <v>2</v>
      </c>
      <c r="AK48" t="n">
        <v>2</v>
      </c>
      <c r="AL48" t="n">
        <v>1</v>
      </c>
      <c r="AM48" t="n">
        <v>1</v>
      </c>
      <c r="AN48" t="n">
        <v>0</v>
      </c>
      <c r="AO48" t="n">
        <v>0</v>
      </c>
      <c r="AP48" t="inlineStr">
        <is>
          <t>No</t>
        </is>
      </c>
      <c r="AQ48" t="inlineStr">
        <is>
          <t>No</t>
        </is>
      </c>
      <c r="AS48">
        <f>HYPERLINK("https://creighton-primo.hosted.exlibrisgroup.com/primo-explore/search?tab=default_tab&amp;search_scope=EVERYTHING&amp;vid=01CRU&amp;lang=en_US&amp;offset=0&amp;query=any,contains,991002175199702656","Catalog Record")</f>
        <v/>
      </c>
      <c r="AT48">
        <f>HYPERLINK("http://www.worldcat.org/oclc/27998078","WorldCat Record")</f>
        <v/>
      </c>
      <c r="AU48" t="inlineStr">
        <is>
          <t>30814962:eng</t>
        </is>
      </c>
      <c r="AV48" t="inlineStr">
        <is>
          <t>27998078</t>
        </is>
      </c>
      <c r="AW48" t="inlineStr">
        <is>
          <t>991002175199702656</t>
        </is>
      </c>
      <c r="AX48" t="inlineStr">
        <is>
          <t>991002175199702656</t>
        </is>
      </c>
      <c r="AY48" t="inlineStr">
        <is>
          <t>2265621820002656</t>
        </is>
      </c>
      <c r="AZ48" t="inlineStr">
        <is>
          <t>BOOK</t>
        </is>
      </c>
      <c r="BC48" t="inlineStr">
        <is>
          <t>32285001672012</t>
        </is>
      </c>
      <c r="BD48" t="inlineStr">
        <is>
          <t>893597107</t>
        </is>
      </c>
    </row>
    <row r="49">
      <c r="A49" t="inlineStr">
        <is>
          <t>No</t>
        </is>
      </c>
      <c r="B49" t="inlineStr">
        <is>
          <t>RC1200 .C34 1993, v.12, no.3</t>
        </is>
      </c>
      <c r="C49" t="inlineStr">
        <is>
          <t>0                      RC 1200000C  34          1993                                        v.12, no.3</t>
        </is>
      </c>
      <c r="D49" t="inlineStr">
        <is>
          <t>Spine problems in the athlete / John T. Stinson and Sam W. Wiesel, guest editors.</t>
        </is>
      </c>
      <c r="E49" t="inlineStr">
        <is>
          <t>V. 12 NO. 3</t>
        </is>
      </c>
      <c r="F49" t="inlineStr">
        <is>
          <t>No</t>
        </is>
      </c>
      <c r="G49" t="inlineStr">
        <is>
          <t>1</t>
        </is>
      </c>
      <c r="H49" t="inlineStr">
        <is>
          <t>No</t>
        </is>
      </c>
      <c r="I49" t="inlineStr">
        <is>
          <t>No</t>
        </is>
      </c>
      <c r="J49" t="inlineStr">
        <is>
          <t>0</t>
        </is>
      </c>
      <c r="L49" t="inlineStr">
        <is>
          <t>Philadelphia : W.B. Saunders Co., c1993.</t>
        </is>
      </c>
      <c r="M49" t="inlineStr">
        <is>
          <t>1993</t>
        </is>
      </c>
      <c r="O49" t="inlineStr">
        <is>
          <t>eng</t>
        </is>
      </c>
      <c r="P49" t="inlineStr">
        <is>
          <t>pau</t>
        </is>
      </c>
      <c r="Q49" t="inlineStr">
        <is>
          <t>Clinics in sports medicine ; v. 12, no. 3</t>
        </is>
      </c>
      <c r="R49" t="inlineStr">
        <is>
          <t xml:space="preserve">RC </t>
        </is>
      </c>
      <c r="S49" t="n">
        <v>5</v>
      </c>
      <c r="T49" t="n">
        <v>5</v>
      </c>
      <c r="U49" t="inlineStr">
        <is>
          <t>2001-11-14</t>
        </is>
      </c>
      <c r="V49" t="inlineStr">
        <is>
          <t>2001-11-14</t>
        </is>
      </c>
      <c r="W49" t="inlineStr">
        <is>
          <t>1993-08-17</t>
        </is>
      </c>
      <c r="X49" t="inlineStr">
        <is>
          <t>1993-08-17</t>
        </is>
      </c>
      <c r="Y49" t="n">
        <v>69</v>
      </c>
      <c r="Z49" t="n">
        <v>56</v>
      </c>
      <c r="AA49" t="n">
        <v>56</v>
      </c>
      <c r="AB49" t="n">
        <v>2</v>
      </c>
      <c r="AC49" t="n">
        <v>2</v>
      </c>
      <c r="AD49" t="n">
        <v>5</v>
      </c>
      <c r="AE49" t="n">
        <v>5</v>
      </c>
      <c r="AF49" t="n">
        <v>2</v>
      </c>
      <c r="AG49" t="n">
        <v>2</v>
      </c>
      <c r="AH49" t="n">
        <v>1</v>
      </c>
      <c r="AI49" t="n">
        <v>1</v>
      </c>
      <c r="AJ49" t="n">
        <v>1</v>
      </c>
      <c r="AK49" t="n">
        <v>1</v>
      </c>
      <c r="AL49" t="n">
        <v>1</v>
      </c>
      <c r="AM49" t="n">
        <v>1</v>
      </c>
      <c r="AN49" t="n">
        <v>0</v>
      </c>
      <c r="AO49" t="n">
        <v>0</v>
      </c>
      <c r="AP49" t="inlineStr">
        <is>
          <t>No</t>
        </is>
      </c>
      <c r="AQ49" t="inlineStr">
        <is>
          <t>No</t>
        </is>
      </c>
      <c r="AS49">
        <f>HYPERLINK("https://creighton-primo.hosted.exlibrisgroup.com/primo-explore/search?tab=default_tab&amp;search_scope=EVERYTHING&amp;vid=01CRU&amp;lang=en_US&amp;offset=0&amp;query=any,contains,991002217989702656","Catalog Record")</f>
        <v/>
      </c>
      <c r="AT49">
        <f>HYPERLINK("http://www.worldcat.org/oclc/28566682","WorldCat Record")</f>
        <v/>
      </c>
      <c r="AU49" t="inlineStr">
        <is>
          <t>364430960:eng</t>
        </is>
      </c>
      <c r="AV49" t="inlineStr">
        <is>
          <t>28566682</t>
        </is>
      </c>
      <c r="AW49" t="inlineStr">
        <is>
          <t>991002217989702656</t>
        </is>
      </c>
      <c r="AX49" t="inlineStr">
        <is>
          <t>991002217989702656</t>
        </is>
      </c>
      <c r="AY49" t="inlineStr">
        <is>
          <t>2256623430002656</t>
        </is>
      </c>
      <c r="AZ49" t="inlineStr">
        <is>
          <t>BOOK</t>
        </is>
      </c>
      <c r="BC49" t="inlineStr">
        <is>
          <t>32285001757797</t>
        </is>
      </c>
      <c r="BD49" t="inlineStr">
        <is>
          <t>893873241</t>
        </is>
      </c>
    </row>
    <row r="50">
      <c r="A50" t="inlineStr">
        <is>
          <t>No</t>
        </is>
      </c>
      <c r="B50" t="inlineStr">
        <is>
          <t>RC1200 .C34 1994, v.13, no.1</t>
        </is>
      </c>
      <c r="C50" t="inlineStr">
        <is>
          <t>0                      RC 1200000C  34          1994                                        v.13, no.1</t>
        </is>
      </c>
      <c r="D50" t="inlineStr">
        <is>
          <t>Bicycling injuries / Morris B. Mellion and Edmund R. Burke, guest editors.</t>
        </is>
      </c>
      <c r="E50" t="inlineStr">
        <is>
          <t>V. 13 NO. 1</t>
        </is>
      </c>
      <c r="F50" t="inlineStr">
        <is>
          <t>No</t>
        </is>
      </c>
      <c r="G50" t="inlineStr">
        <is>
          <t>1</t>
        </is>
      </c>
      <c r="H50" t="inlineStr">
        <is>
          <t>No</t>
        </is>
      </c>
      <c r="I50" t="inlineStr">
        <is>
          <t>No</t>
        </is>
      </c>
      <c r="J50" t="inlineStr">
        <is>
          <t>0</t>
        </is>
      </c>
      <c r="L50" t="inlineStr">
        <is>
          <t>Philadelphia : W.B. Saunders Co., 1994.</t>
        </is>
      </c>
      <c r="M50" t="inlineStr">
        <is>
          <t>1994</t>
        </is>
      </c>
      <c r="O50" t="inlineStr">
        <is>
          <t>eng</t>
        </is>
      </c>
      <c r="P50" t="inlineStr">
        <is>
          <t>pau</t>
        </is>
      </c>
      <c r="Q50" t="inlineStr">
        <is>
          <t>Clinics in sports medicine ; v. 13, no. 1</t>
        </is>
      </c>
      <c r="R50" t="inlineStr">
        <is>
          <t xml:space="preserve">RC </t>
        </is>
      </c>
      <c r="S50" t="n">
        <v>6</v>
      </c>
      <c r="T50" t="n">
        <v>6</v>
      </c>
      <c r="U50" t="inlineStr">
        <is>
          <t>2001-04-04</t>
        </is>
      </c>
      <c r="V50" t="inlineStr">
        <is>
          <t>2001-04-04</t>
        </is>
      </c>
      <c r="W50" t="inlineStr">
        <is>
          <t>1994-01-12</t>
        </is>
      </c>
      <c r="X50" t="inlineStr">
        <is>
          <t>1994-01-12</t>
        </is>
      </c>
      <c r="Y50" t="n">
        <v>72</v>
      </c>
      <c r="Z50" t="n">
        <v>57</v>
      </c>
      <c r="AA50" t="n">
        <v>57</v>
      </c>
      <c r="AB50" t="n">
        <v>2</v>
      </c>
      <c r="AC50" t="n">
        <v>2</v>
      </c>
      <c r="AD50" t="n">
        <v>5</v>
      </c>
      <c r="AE50" t="n">
        <v>5</v>
      </c>
      <c r="AF50" t="n">
        <v>2</v>
      </c>
      <c r="AG50" t="n">
        <v>2</v>
      </c>
      <c r="AH50" t="n">
        <v>1</v>
      </c>
      <c r="AI50" t="n">
        <v>1</v>
      </c>
      <c r="AJ50" t="n">
        <v>1</v>
      </c>
      <c r="AK50" t="n">
        <v>1</v>
      </c>
      <c r="AL50" t="n">
        <v>1</v>
      </c>
      <c r="AM50" t="n">
        <v>1</v>
      </c>
      <c r="AN50" t="n">
        <v>0</v>
      </c>
      <c r="AO50" t="n">
        <v>0</v>
      </c>
      <c r="AP50" t="inlineStr">
        <is>
          <t>No</t>
        </is>
      </c>
      <c r="AQ50" t="inlineStr">
        <is>
          <t>No</t>
        </is>
      </c>
      <c r="AS50">
        <f>HYPERLINK("https://creighton-primo.hosted.exlibrisgroup.com/primo-explore/search?tab=default_tab&amp;search_scope=EVERYTHING&amp;vid=01CRU&amp;lang=en_US&amp;offset=0&amp;query=any,contains,991002281559702656","Catalog Record")</f>
        <v/>
      </c>
      <c r="AT50">
        <f>HYPERLINK("http://www.worldcat.org/oclc/29585010","WorldCat Record")</f>
        <v/>
      </c>
      <c r="AU50" t="inlineStr">
        <is>
          <t>364472321:eng</t>
        </is>
      </c>
      <c r="AV50" t="inlineStr">
        <is>
          <t>29585010</t>
        </is>
      </c>
      <c r="AW50" t="inlineStr">
        <is>
          <t>991002281559702656</t>
        </is>
      </c>
      <c r="AX50" t="inlineStr">
        <is>
          <t>991002281559702656</t>
        </is>
      </c>
      <c r="AY50" t="inlineStr">
        <is>
          <t>2265436920002656</t>
        </is>
      </c>
      <c r="AZ50" t="inlineStr">
        <is>
          <t>BOOK</t>
        </is>
      </c>
      <c r="BC50" t="inlineStr">
        <is>
          <t>32285001804615</t>
        </is>
      </c>
      <c r="BD50" t="inlineStr">
        <is>
          <t>893341255</t>
        </is>
      </c>
    </row>
    <row r="51">
      <c r="A51" t="inlineStr">
        <is>
          <t>No</t>
        </is>
      </c>
      <c r="B51" t="inlineStr">
        <is>
          <t>RC1200 .C34 1994, v.13, no.2</t>
        </is>
      </c>
      <c r="C51" t="inlineStr">
        <is>
          <t>0                      RC 1200000C  34          1994                                        v.13, no.2</t>
        </is>
      </c>
      <c r="D51" t="inlineStr">
        <is>
          <t>The Athletic woman / Rosemary Agostini, guest editor.</t>
        </is>
      </c>
      <c r="E51" t="inlineStr">
        <is>
          <t>V. 13 NO. 2</t>
        </is>
      </c>
      <c r="F51" t="inlineStr">
        <is>
          <t>No</t>
        </is>
      </c>
      <c r="G51" t="inlineStr">
        <is>
          <t>1</t>
        </is>
      </c>
      <c r="H51" t="inlineStr">
        <is>
          <t>No</t>
        </is>
      </c>
      <c r="I51" t="inlineStr">
        <is>
          <t>Yes</t>
        </is>
      </c>
      <c r="J51" t="inlineStr">
        <is>
          <t>0</t>
        </is>
      </c>
      <c r="L51" t="inlineStr">
        <is>
          <t>Philadelphia : Saunders, c1994.</t>
        </is>
      </c>
      <c r="M51" t="inlineStr">
        <is>
          <t>1994</t>
        </is>
      </c>
      <c r="O51" t="inlineStr">
        <is>
          <t>eng</t>
        </is>
      </c>
      <c r="P51" t="inlineStr">
        <is>
          <t>pau</t>
        </is>
      </c>
      <c r="Q51" t="inlineStr">
        <is>
          <t>Clinics in sports medicine ; v. 13, no. 2</t>
        </is>
      </c>
      <c r="R51" t="inlineStr">
        <is>
          <t xml:space="preserve">RC </t>
        </is>
      </c>
      <c r="S51" t="n">
        <v>15</v>
      </c>
      <c r="T51" t="n">
        <v>15</v>
      </c>
      <c r="U51" t="inlineStr">
        <is>
          <t>2001-10-30</t>
        </is>
      </c>
      <c r="V51" t="inlineStr">
        <is>
          <t>2001-10-30</t>
        </is>
      </c>
      <c r="W51" t="inlineStr">
        <is>
          <t>1994-05-20</t>
        </is>
      </c>
      <c r="X51" t="inlineStr">
        <is>
          <t>1994-05-20</t>
        </is>
      </c>
      <c r="Y51" t="n">
        <v>64</v>
      </c>
      <c r="Z51" t="n">
        <v>51</v>
      </c>
      <c r="AA51" t="n">
        <v>61</v>
      </c>
      <c r="AB51" t="n">
        <v>2</v>
      </c>
      <c r="AC51" t="n">
        <v>2</v>
      </c>
      <c r="AD51" t="n">
        <v>5</v>
      </c>
      <c r="AE51" t="n">
        <v>5</v>
      </c>
      <c r="AF51" t="n">
        <v>2</v>
      </c>
      <c r="AG51" t="n">
        <v>2</v>
      </c>
      <c r="AH51" t="n">
        <v>1</v>
      </c>
      <c r="AI51" t="n">
        <v>1</v>
      </c>
      <c r="AJ51" t="n">
        <v>1</v>
      </c>
      <c r="AK51" t="n">
        <v>1</v>
      </c>
      <c r="AL51" t="n">
        <v>1</v>
      </c>
      <c r="AM51" t="n">
        <v>1</v>
      </c>
      <c r="AN51" t="n">
        <v>0</v>
      </c>
      <c r="AO51" t="n">
        <v>0</v>
      </c>
      <c r="AP51" t="inlineStr">
        <is>
          <t>No</t>
        </is>
      </c>
      <c r="AQ51" t="inlineStr">
        <is>
          <t>No</t>
        </is>
      </c>
      <c r="AS51">
        <f>HYPERLINK("https://creighton-primo.hosted.exlibrisgroup.com/primo-explore/search?tab=default_tab&amp;search_scope=EVERYTHING&amp;vid=01CRU&amp;lang=en_US&amp;offset=0&amp;query=any,contains,991002336849702656","Catalog Record")</f>
        <v/>
      </c>
      <c r="AT51">
        <f>HYPERLINK("http://www.worldcat.org/oclc/30406107","WorldCat Record")</f>
        <v/>
      </c>
      <c r="AU51" t="inlineStr">
        <is>
          <t>4762624204:eng</t>
        </is>
      </c>
      <c r="AV51" t="inlineStr">
        <is>
          <t>30406107</t>
        </is>
      </c>
      <c r="AW51" t="inlineStr">
        <is>
          <t>991002336849702656</t>
        </is>
      </c>
      <c r="AX51" t="inlineStr">
        <is>
          <t>991002336849702656</t>
        </is>
      </c>
      <c r="AY51" t="inlineStr">
        <is>
          <t>2269746460002656</t>
        </is>
      </c>
      <c r="AZ51" t="inlineStr">
        <is>
          <t>BOOK</t>
        </is>
      </c>
      <c r="BC51" t="inlineStr">
        <is>
          <t>32285001864833</t>
        </is>
      </c>
      <c r="BD51" t="inlineStr">
        <is>
          <t>893262229</t>
        </is>
      </c>
    </row>
    <row r="52">
      <c r="A52" t="inlineStr">
        <is>
          <t>No</t>
        </is>
      </c>
      <c r="B52" t="inlineStr">
        <is>
          <t>RC1200 .C34 1995, v.14, no.1</t>
        </is>
      </c>
      <c r="C52" t="inlineStr">
        <is>
          <t>0                      RC 1200000C  34          1995                                        v.14, no.1</t>
        </is>
      </c>
      <c r="D52" t="inlineStr">
        <is>
          <t>Racquet sports / Richard C. Lehman, guest editor.</t>
        </is>
      </c>
      <c r="E52" t="inlineStr">
        <is>
          <t>V. 14 NO. 1</t>
        </is>
      </c>
      <c r="F52" t="inlineStr">
        <is>
          <t>No</t>
        </is>
      </c>
      <c r="G52" t="inlineStr">
        <is>
          <t>1</t>
        </is>
      </c>
      <c r="H52" t="inlineStr">
        <is>
          <t>No</t>
        </is>
      </c>
      <c r="I52" t="inlineStr">
        <is>
          <t>No</t>
        </is>
      </c>
      <c r="J52" t="inlineStr">
        <is>
          <t>0</t>
        </is>
      </c>
      <c r="L52" t="inlineStr">
        <is>
          <t>Philadelphia : W.B. Saunders, 1995.</t>
        </is>
      </c>
      <c r="M52" t="inlineStr">
        <is>
          <t>1995</t>
        </is>
      </c>
      <c r="O52" t="inlineStr">
        <is>
          <t>eng</t>
        </is>
      </c>
      <c r="P52" t="inlineStr">
        <is>
          <t>pau</t>
        </is>
      </c>
      <c r="Q52" t="inlineStr">
        <is>
          <t>Clinics in sports medicine ; v. 14, no. 1</t>
        </is>
      </c>
      <c r="R52" t="inlineStr">
        <is>
          <t xml:space="preserve">RC </t>
        </is>
      </c>
      <c r="S52" t="n">
        <v>1</v>
      </c>
      <c r="T52" t="n">
        <v>1</v>
      </c>
      <c r="U52" t="inlineStr">
        <is>
          <t>2000-11-18</t>
        </is>
      </c>
      <c r="V52" t="inlineStr">
        <is>
          <t>2000-11-18</t>
        </is>
      </c>
      <c r="W52" t="inlineStr">
        <is>
          <t>1995-02-08</t>
        </is>
      </c>
      <c r="X52" t="inlineStr">
        <is>
          <t>1995-02-08</t>
        </is>
      </c>
      <c r="Y52" t="n">
        <v>67</v>
      </c>
      <c r="Z52" t="n">
        <v>53</v>
      </c>
      <c r="AA52" t="n">
        <v>53</v>
      </c>
      <c r="AB52" t="n">
        <v>2</v>
      </c>
      <c r="AC52" t="n">
        <v>2</v>
      </c>
      <c r="AD52" t="n">
        <v>5</v>
      </c>
      <c r="AE52" t="n">
        <v>5</v>
      </c>
      <c r="AF52" t="n">
        <v>2</v>
      </c>
      <c r="AG52" t="n">
        <v>2</v>
      </c>
      <c r="AH52" t="n">
        <v>1</v>
      </c>
      <c r="AI52" t="n">
        <v>1</v>
      </c>
      <c r="AJ52" t="n">
        <v>1</v>
      </c>
      <c r="AK52" t="n">
        <v>1</v>
      </c>
      <c r="AL52" t="n">
        <v>1</v>
      </c>
      <c r="AM52" t="n">
        <v>1</v>
      </c>
      <c r="AN52" t="n">
        <v>0</v>
      </c>
      <c r="AO52" t="n">
        <v>0</v>
      </c>
      <c r="AP52" t="inlineStr">
        <is>
          <t>No</t>
        </is>
      </c>
      <c r="AQ52" t="inlineStr">
        <is>
          <t>No</t>
        </is>
      </c>
      <c r="AS52">
        <f>HYPERLINK("https://creighton-primo.hosted.exlibrisgroup.com/primo-explore/search?tab=default_tab&amp;search_scope=EVERYTHING&amp;vid=01CRU&amp;lang=en_US&amp;offset=0&amp;query=any,contains,991002447899702656","Catalog Record")</f>
        <v/>
      </c>
      <c r="AT52">
        <f>HYPERLINK("http://www.worldcat.org/oclc/31917334","WorldCat Record")</f>
        <v/>
      </c>
      <c r="AU52" t="inlineStr">
        <is>
          <t>3769290651:eng</t>
        </is>
      </c>
      <c r="AV52" t="inlineStr">
        <is>
          <t>31917334</t>
        </is>
      </c>
      <c r="AW52" t="inlineStr">
        <is>
          <t>991002447899702656</t>
        </is>
      </c>
      <c r="AX52" t="inlineStr">
        <is>
          <t>991002447899702656</t>
        </is>
      </c>
      <c r="AY52" t="inlineStr">
        <is>
          <t>2266603570002656</t>
        </is>
      </c>
      <c r="AZ52" t="inlineStr">
        <is>
          <t>BOOK</t>
        </is>
      </c>
      <c r="BC52" t="inlineStr">
        <is>
          <t>32285002005907</t>
        </is>
      </c>
      <c r="BD52" t="inlineStr">
        <is>
          <t>893335322</t>
        </is>
      </c>
    </row>
    <row r="53">
      <c r="A53" t="inlineStr">
        <is>
          <t>No</t>
        </is>
      </c>
      <c r="B53" t="inlineStr">
        <is>
          <t>RC1200 .C34 1995, v.14, no.2</t>
        </is>
      </c>
      <c r="C53" t="inlineStr">
        <is>
          <t>0                      RC 1200000C  34          1995                                        v.14, no.2</t>
        </is>
      </c>
      <c r="D53" t="inlineStr">
        <is>
          <t>The athletic elbow and wrist : part 1: diagnosis and conservative treatment / Kevin D. Plancher, guest editor.</t>
        </is>
      </c>
      <c r="E53" t="inlineStr">
        <is>
          <t>V. 14 NO. 2</t>
        </is>
      </c>
      <c r="F53" t="inlineStr">
        <is>
          <t>No</t>
        </is>
      </c>
      <c r="G53" t="inlineStr">
        <is>
          <t>1</t>
        </is>
      </c>
      <c r="H53" t="inlineStr">
        <is>
          <t>No</t>
        </is>
      </c>
      <c r="I53" t="inlineStr">
        <is>
          <t>No</t>
        </is>
      </c>
      <c r="J53" t="inlineStr">
        <is>
          <t>0</t>
        </is>
      </c>
      <c r="L53" t="inlineStr">
        <is>
          <t>Philadelphia : W.B. Saunders, 1995.</t>
        </is>
      </c>
      <c r="M53" t="inlineStr">
        <is>
          <t>1995</t>
        </is>
      </c>
      <c r="O53" t="inlineStr">
        <is>
          <t>eng</t>
        </is>
      </c>
      <c r="P53" t="inlineStr">
        <is>
          <t>pau</t>
        </is>
      </c>
      <c r="Q53" t="inlineStr">
        <is>
          <t>Clinics in sports medicine ; v. 14, no. 2</t>
        </is>
      </c>
      <c r="R53" t="inlineStr">
        <is>
          <t xml:space="preserve">RC </t>
        </is>
      </c>
      <c r="S53" t="n">
        <v>4</v>
      </c>
      <c r="T53" t="n">
        <v>4</v>
      </c>
      <c r="U53" t="inlineStr">
        <is>
          <t>1996-11-15</t>
        </is>
      </c>
      <c r="V53" t="inlineStr">
        <is>
          <t>1996-11-15</t>
        </is>
      </c>
      <c r="W53" t="inlineStr">
        <is>
          <t>1995-05-26</t>
        </is>
      </c>
      <c r="X53" t="inlineStr">
        <is>
          <t>1995-05-26</t>
        </is>
      </c>
      <c r="Y53" t="n">
        <v>54</v>
      </c>
      <c r="Z53" t="n">
        <v>45</v>
      </c>
      <c r="AA53" t="n">
        <v>51</v>
      </c>
      <c r="AB53" t="n">
        <v>2</v>
      </c>
      <c r="AC53" t="n">
        <v>2</v>
      </c>
      <c r="AD53" t="n">
        <v>5</v>
      </c>
      <c r="AE53" t="n">
        <v>5</v>
      </c>
      <c r="AF53" t="n">
        <v>2</v>
      </c>
      <c r="AG53" t="n">
        <v>2</v>
      </c>
      <c r="AH53" t="n">
        <v>1</v>
      </c>
      <c r="AI53" t="n">
        <v>1</v>
      </c>
      <c r="AJ53" t="n">
        <v>1</v>
      </c>
      <c r="AK53" t="n">
        <v>1</v>
      </c>
      <c r="AL53" t="n">
        <v>1</v>
      </c>
      <c r="AM53" t="n">
        <v>1</v>
      </c>
      <c r="AN53" t="n">
        <v>0</v>
      </c>
      <c r="AO53" t="n">
        <v>0</v>
      </c>
      <c r="AP53" t="inlineStr">
        <is>
          <t>No</t>
        </is>
      </c>
      <c r="AQ53" t="inlineStr">
        <is>
          <t>No</t>
        </is>
      </c>
      <c r="AS53">
        <f>HYPERLINK("https://creighton-primo.hosted.exlibrisgroup.com/primo-explore/search?tab=default_tab&amp;search_scope=EVERYTHING&amp;vid=01CRU&amp;lang=en_US&amp;offset=0&amp;query=any,contains,991002491029702656","Catalog Record")</f>
        <v/>
      </c>
      <c r="AT53">
        <f>HYPERLINK("http://www.worldcat.org/oclc/32407468","WorldCat Record")</f>
        <v/>
      </c>
      <c r="AU53" t="inlineStr">
        <is>
          <t>4417672287:eng</t>
        </is>
      </c>
      <c r="AV53" t="inlineStr">
        <is>
          <t>32407468</t>
        </is>
      </c>
      <c r="AW53" t="inlineStr">
        <is>
          <t>991002491029702656</t>
        </is>
      </c>
      <c r="AX53" t="inlineStr">
        <is>
          <t>991002491029702656</t>
        </is>
      </c>
      <c r="AY53" t="inlineStr">
        <is>
          <t>2266670260002656</t>
        </is>
      </c>
      <c r="AZ53" t="inlineStr">
        <is>
          <t>BOOK</t>
        </is>
      </c>
      <c r="BC53" t="inlineStr">
        <is>
          <t>32285002056751</t>
        </is>
      </c>
      <c r="BD53" t="inlineStr">
        <is>
          <t>893616193</t>
        </is>
      </c>
    </row>
    <row r="54">
      <c r="A54" t="inlineStr">
        <is>
          <t>No</t>
        </is>
      </c>
      <c r="B54" t="inlineStr">
        <is>
          <t>RC1200 .C34 1995, v.14, no.3</t>
        </is>
      </c>
      <c r="C54" t="inlineStr">
        <is>
          <t>0                      RC 1200000C  34          1995                                        v.14, no.3</t>
        </is>
      </c>
      <c r="D54" t="inlineStr">
        <is>
          <t>The young athlete / Lyle J. Micheli, guest editor.</t>
        </is>
      </c>
      <c r="E54" t="inlineStr">
        <is>
          <t>V. 14 NO. 3</t>
        </is>
      </c>
      <c r="F54" t="inlineStr">
        <is>
          <t>No</t>
        </is>
      </c>
      <c r="G54" t="inlineStr">
        <is>
          <t>1</t>
        </is>
      </c>
      <c r="H54" t="inlineStr">
        <is>
          <t>No</t>
        </is>
      </c>
      <c r="I54" t="inlineStr">
        <is>
          <t>No</t>
        </is>
      </c>
      <c r="J54" t="inlineStr">
        <is>
          <t>0</t>
        </is>
      </c>
      <c r="L54" t="inlineStr">
        <is>
          <t>Philadelphia : W.B. Saunders, c1995.</t>
        </is>
      </c>
      <c r="M54" t="inlineStr">
        <is>
          <t>1995</t>
        </is>
      </c>
      <c r="O54" t="inlineStr">
        <is>
          <t>eng</t>
        </is>
      </c>
      <c r="P54" t="inlineStr">
        <is>
          <t>pau</t>
        </is>
      </c>
      <c r="Q54" t="inlineStr">
        <is>
          <t>Clinics in sports medicine, 0278-5919 ; v. 14, no. 3</t>
        </is>
      </c>
      <c r="R54" t="inlineStr">
        <is>
          <t xml:space="preserve">RC </t>
        </is>
      </c>
      <c r="S54" t="n">
        <v>8</v>
      </c>
      <c r="T54" t="n">
        <v>8</v>
      </c>
      <c r="U54" t="inlineStr">
        <is>
          <t>2008-02-24</t>
        </is>
      </c>
      <c r="V54" t="inlineStr">
        <is>
          <t>2008-02-24</t>
        </is>
      </c>
      <c r="W54" t="inlineStr">
        <is>
          <t>1997-03-18</t>
        </is>
      </c>
      <c r="X54" t="inlineStr">
        <is>
          <t>1997-03-18</t>
        </is>
      </c>
      <c r="Y54" t="n">
        <v>60</v>
      </c>
      <c r="Z54" t="n">
        <v>51</v>
      </c>
      <c r="AA54" t="n">
        <v>51</v>
      </c>
      <c r="AB54" t="n">
        <v>2</v>
      </c>
      <c r="AC54" t="n">
        <v>2</v>
      </c>
      <c r="AD54" t="n">
        <v>5</v>
      </c>
      <c r="AE54" t="n">
        <v>5</v>
      </c>
      <c r="AF54" t="n">
        <v>2</v>
      </c>
      <c r="AG54" t="n">
        <v>2</v>
      </c>
      <c r="AH54" t="n">
        <v>1</v>
      </c>
      <c r="AI54" t="n">
        <v>1</v>
      </c>
      <c r="AJ54" t="n">
        <v>1</v>
      </c>
      <c r="AK54" t="n">
        <v>1</v>
      </c>
      <c r="AL54" t="n">
        <v>1</v>
      </c>
      <c r="AM54" t="n">
        <v>1</v>
      </c>
      <c r="AN54" t="n">
        <v>0</v>
      </c>
      <c r="AO54" t="n">
        <v>0</v>
      </c>
      <c r="AP54" t="inlineStr">
        <is>
          <t>No</t>
        </is>
      </c>
      <c r="AQ54" t="inlineStr">
        <is>
          <t>No</t>
        </is>
      </c>
      <c r="AS54">
        <f>HYPERLINK("https://creighton-primo.hosted.exlibrisgroup.com/primo-explore/search?tab=default_tab&amp;search_scope=EVERYTHING&amp;vid=01CRU&amp;lang=en_US&amp;offset=0&amp;query=any,contains,991002532499702656","Catalog Record")</f>
        <v/>
      </c>
      <c r="AT54">
        <f>HYPERLINK("http://www.worldcat.org/oclc/32901755","WorldCat Record")</f>
        <v/>
      </c>
      <c r="AU54" t="inlineStr">
        <is>
          <t>55958581:eng</t>
        </is>
      </c>
      <c r="AV54" t="inlineStr">
        <is>
          <t>32901755</t>
        </is>
      </c>
      <c r="AW54" t="inlineStr">
        <is>
          <t>991002532499702656</t>
        </is>
      </c>
      <c r="AX54" t="inlineStr">
        <is>
          <t>991002532499702656</t>
        </is>
      </c>
      <c r="AY54" t="inlineStr">
        <is>
          <t>2266540200002656</t>
        </is>
      </c>
      <c r="AZ54" t="inlineStr">
        <is>
          <t>BOOK</t>
        </is>
      </c>
      <c r="BC54" t="inlineStr">
        <is>
          <t>32285002443652</t>
        </is>
      </c>
      <c r="BD54" t="inlineStr">
        <is>
          <t>893323048</t>
        </is>
      </c>
    </row>
    <row r="55">
      <c r="A55" t="inlineStr">
        <is>
          <t>No</t>
        </is>
      </c>
      <c r="B55" t="inlineStr">
        <is>
          <t>RC1200 .C34 1996 v.15 no.1</t>
        </is>
      </c>
      <c r="C55" t="inlineStr">
        <is>
          <t>0                      RC 1200000C  34          1996                                        v.15 no.1</t>
        </is>
      </c>
      <c r="D55" t="inlineStr">
        <is>
          <t>Golf injuries / Gary N. Guten, guest editor.</t>
        </is>
      </c>
      <c r="E55" t="inlineStr">
        <is>
          <t>V.15 NO.1</t>
        </is>
      </c>
      <c r="F55" t="inlineStr">
        <is>
          <t>No</t>
        </is>
      </c>
      <c r="G55" t="inlineStr">
        <is>
          <t>1</t>
        </is>
      </c>
      <c r="H55" t="inlineStr">
        <is>
          <t>Yes</t>
        </is>
      </c>
      <c r="I55" t="inlineStr">
        <is>
          <t>No</t>
        </is>
      </c>
      <c r="J55" t="inlineStr">
        <is>
          <t>0</t>
        </is>
      </c>
      <c r="L55" t="inlineStr">
        <is>
          <t>Philadelphia : W.B. Saunders, c1996.</t>
        </is>
      </c>
      <c r="M55" t="inlineStr">
        <is>
          <t>1996</t>
        </is>
      </c>
      <c r="O55" t="inlineStr">
        <is>
          <t>eng</t>
        </is>
      </c>
      <c r="P55" t="inlineStr">
        <is>
          <t>pau</t>
        </is>
      </c>
      <c r="Q55" t="inlineStr">
        <is>
          <t>Clinics in sports medicine, 0278-5919 ; v. 15, no. 1</t>
        </is>
      </c>
      <c r="R55" t="inlineStr">
        <is>
          <t xml:space="preserve">RC </t>
        </is>
      </c>
      <c r="S55" t="n">
        <v>8</v>
      </c>
      <c r="T55" t="n">
        <v>8</v>
      </c>
      <c r="U55" t="inlineStr">
        <is>
          <t>2007-06-08</t>
        </is>
      </c>
      <c r="V55" t="inlineStr">
        <is>
          <t>2007-06-08</t>
        </is>
      </c>
      <c r="W55" t="inlineStr">
        <is>
          <t>1996-02-01</t>
        </is>
      </c>
      <c r="X55" t="inlineStr">
        <is>
          <t>2004-09-15</t>
        </is>
      </c>
      <c r="Y55" t="n">
        <v>64</v>
      </c>
      <c r="Z55" t="n">
        <v>52</v>
      </c>
      <c r="AA55" t="n">
        <v>52</v>
      </c>
      <c r="AB55" t="n">
        <v>3</v>
      </c>
      <c r="AC55" t="n">
        <v>3</v>
      </c>
      <c r="AD55" t="n">
        <v>5</v>
      </c>
      <c r="AE55" t="n">
        <v>5</v>
      </c>
      <c r="AF55" t="n">
        <v>2</v>
      </c>
      <c r="AG55" t="n">
        <v>2</v>
      </c>
      <c r="AH55" t="n">
        <v>1</v>
      </c>
      <c r="AI55" t="n">
        <v>1</v>
      </c>
      <c r="AJ55" t="n">
        <v>1</v>
      </c>
      <c r="AK55" t="n">
        <v>1</v>
      </c>
      <c r="AL55" t="n">
        <v>1</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HYPERLINK("https://creighton-primo.hosted.exlibrisgroup.com/primo-explore/search?tab=default_tab&amp;search_scope=EVERYTHING&amp;vid=01CRU&amp;lang=en_US&amp;offset=0&amp;query=any,contains,991001690939702656","Catalog Record")</f>
        <v/>
      </c>
      <c r="AT55">
        <f>HYPERLINK("http://www.worldcat.org/oclc/34069468","WorldCat Record")</f>
        <v/>
      </c>
      <c r="AU55" t="inlineStr">
        <is>
          <t>39067547:eng</t>
        </is>
      </c>
      <c r="AV55" t="inlineStr">
        <is>
          <t>34069468</t>
        </is>
      </c>
      <c r="AW55" t="inlineStr">
        <is>
          <t>991001690939702656</t>
        </is>
      </c>
      <c r="AX55" t="inlineStr">
        <is>
          <t>991001690939702656</t>
        </is>
      </c>
      <c r="AY55" t="inlineStr">
        <is>
          <t>2258948220002656</t>
        </is>
      </c>
      <c r="AZ55" t="inlineStr">
        <is>
          <t>BOOK</t>
        </is>
      </c>
      <c r="BC55" t="inlineStr">
        <is>
          <t>32285002126869</t>
        </is>
      </c>
      <c r="BD55" t="inlineStr">
        <is>
          <t>893885479</t>
        </is>
      </c>
    </row>
    <row r="56">
      <c r="A56" t="inlineStr">
        <is>
          <t>No</t>
        </is>
      </c>
      <c r="B56" t="inlineStr">
        <is>
          <t>RC1200 .C34 1996, v.15, no.2</t>
        </is>
      </c>
      <c r="C56" t="inlineStr">
        <is>
          <t>0                      RC 1200000C  34          1996                                        v.15, no.2</t>
        </is>
      </c>
      <c r="D56" t="inlineStr">
        <is>
          <t>The athletic elbow and wrist : part II: common and overuse injuries / Kevin D. Plancher, guest editor.</t>
        </is>
      </c>
      <c r="E56" t="inlineStr">
        <is>
          <t>V. 15 NO. 2</t>
        </is>
      </c>
      <c r="F56" t="inlineStr">
        <is>
          <t>No</t>
        </is>
      </c>
      <c r="G56" t="inlineStr">
        <is>
          <t>1</t>
        </is>
      </c>
      <c r="H56" t="inlineStr">
        <is>
          <t>No</t>
        </is>
      </c>
      <c r="I56" t="inlineStr">
        <is>
          <t>No</t>
        </is>
      </c>
      <c r="J56" t="inlineStr">
        <is>
          <t>0</t>
        </is>
      </c>
      <c r="L56" t="inlineStr">
        <is>
          <t>Philadelphia : W.B. Saunders, 1996.</t>
        </is>
      </c>
      <c r="M56" t="inlineStr">
        <is>
          <t>1996</t>
        </is>
      </c>
      <c r="O56" t="inlineStr">
        <is>
          <t>eng</t>
        </is>
      </c>
      <c r="P56" t="inlineStr">
        <is>
          <t>pau</t>
        </is>
      </c>
      <c r="Q56" t="inlineStr">
        <is>
          <t>Clinics in sports medicine, 0278-5919 ; v. 15, no. 2</t>
        </is>
      </c>
      <c r="R56" t="inlineStr">
        <is>
          <t xml:space="preserve">RC </t>
        </is>
      </c>
      <c r="S56" t="n">
        <v>2</v>
      </c>
      <c r="T56" t="n">
        <v>2</v>
      </c>
      <c r="U56" t="inlineStr">
        <is>
          <t>1996-09-28</t>
        </is>
      </c>
      <c r="V56" t="inlineStr">
        <is>
          <t>1996-09-28</t>
        </is>
      </c>
      <c r="W56" t="inlineStr">
        <is>
          <t>1996-04-28</t>
        </is>
      </c>
      <c r="X56" t="inlineStr">
        <is>
          <t>1996-04-28</t>
        </is>
      </c>
      <c r="Y56" t="n">
        <v>55</v>
      </c>
      <c r="Z56" t="n">
        <v>46</v>
      </c>
      <c r="AA56" t="n">
        <v>46</v>
      </c>
      <c r="AB56" t="n">
        <v>2</v>
      </c>
      <c r="AC56" t="n">
        <v>2</v>
      </c>
      <c r="AD56" t="n">
        <v>5</v>
      </c>
      <c r="AE56" t="n">
        <v>5</v>
      </c>
      <c r="AF56" t="n">
        <v>2</v>
      </c>
      <c r="AG56" t="n">
        <v>2</v>
      </c>
      <c r="AH56" t="n">
        <v>1</v>
      </c>
      <c r="AI56" t="n">
        <v>1</v>
      </c>
      <c r="AJ56" t="n">
        <v>1</v>
      </c>
      <c r="AK56" t="n">
        <v>1</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HYPERLINK("https://creighton-primo.hosted.exlibrisgroup.com/primo-explore/search?tab=default_tab&amp;search_scope=EVERYTHING&amp;vid=01CRU&amp;lang=en_US&amp;offset=0&amp;query=any,contains,991002644619702656","Catalog Record")</f>
        <v/>
      </c>
      <c r="AT56">
        <f>HYPERLINK("http://www.worldcat.org/oclc/34606610","WorldCat Record")</f>
        <v/>
      </c>
      <c r="AU56" t="inlineStr">
        <is>
          <t>377659518:eng</t>
        </is>
      </c>
      <c r="AV56" t="inlineStr">
        <is>
          <t>34606610</t>
        </is>
      </c>
      <c r="AW56" t="inlineStr">
        <is>
          <t>991002644619702656</t>
        </is>
      </c>
      <c r="AX56" t="inlineStr">
        <is>
          <t>991002644619702656</t>
        </is>
      </c>
      <c r="AY56" t="inlineStr">
        <is>
          <t>2272143600002656</t>
        </is>
      </c>
      <c r="AZ56" t="inlineStr">
        <is>
          <t>BOOK</t>
        </is>
      </c>
      <c r="BC56" t="inlineStr">
        <is>
          <t>32285002157914</t>
        </is>
      </c>
      <c r="BD56" t="inlineStr">
        <is>
          <t>893245435</t>
        </is>
      </c>
    </row>
    <row r="57">
      <c r="A57" t="inlineStr">
        <is>
          <t>No</t>
        </is>
      </c>
      <c r="B57" t="inlineStr">
        <is>
          <t>RC1200 .C34 1996, v.15, no.3</t>
        </is>
      </c>
      <c r="C57" t="inlineStr">
        <is>
          <t>0                      RC 1200000C  34          1996                                        v.15, no.3</t>
        </is>
      </c>
      <c r="D57" t="inlineStr">
        <is>
          <t>Meniscal repair / Orrin H. Sherman, guest editor.</t>
        </is>
      </c>
      <c r="E57" t="inlineStr">
        <is>
          <t>V. 15 NO. 3</t>
        </is>
      </c>
      <c r="F57" t="inlineStr">
        <is>
          <t>No</t>
        </is>
      </c>
      <c r="G57" t="inlineStr">
        <is>
          <t>1</t>
        </is>
      </c>
      <c r="H57" t="inlineStr">
        <is>
          <t>No</t>
        </is>
      </c>
      <c r="I57" t="inlineStr">
        <is>
          <t>No</t>
        </is>
      </c>
      <c r="J57" t="inlineStr">
        <is>
          <t>0</t>
        </is>
      </c>
      <c r="L57" t="inlineStr">
        <is>
          <t>Phildelphia : W.B. Saunders, 1996.</t>
        </is>
      </c>
      <c r="M57" t="inlineStr">
        <is>
          <t>1996</t>
        </is>
      </c>
      <c r="O57" t="inlineStr">
        <is>
          <t>eng</t>
        </is>
      </c>
      <c r="P57" t="inlineStr">
        <is>
          <t>pau</t>
        </is>
      </c>
      <c r="Q57" t="inlineStr">
        <is>
          <t>Clinics in sports medicine, 0278-5919 ; v. 15, no. 3</t>
        </is>
      </c>
      <c r="R57" t="inlineStr">
        <is>
          <t xml:space="preserve">RC </t>
        </is>
      </c>
      <c r="S57" t="n">
        <v>3</v>
      </c>
      <c r="T57" t="n">
        <v>3</v>
      </c>
      <c r="U57" t="inlineStr">
        <is>
          <t>1998-04-13</t>
        </is>
      </c>
      <c r="V57" t="inlineStr">
        <is>
          <t>1998-04-13</t>
        </is>
      </c>
      <c r="W57" t="inlineStr">
        <is>
          <t>1996-07-16</t>
        </is>
      </c>
      <c r="X57" t="inlineStr">
        <is>
          <t>1996-07-16</t>
        </is>
      </c>
      <c r="Y57" t="n">
        <v>65</v>
      </c>
      <c r="Z57" t="n">
        <v>52</v>
      </c>
      <c r="AA57" t="n">
        <v>52</v>
      </c>
      <c r="AB57" t="n">
        <v>2</v>
      </c>
      <c r="AC57" t="n">
        <v>2</v>
      </c>
      <c r="AD57" t="n">
        <v>5</v>
      </c>
      <c r="AE57" t="n">
        <v>5</v>
      </c>
      <c r="AF57" t="n">
        <v>2</v>
      </c>
      <c r="AG57" t="n">
        <v>2</v>
      </c>
      <c r="AH57" t="n">
        <v>1</v>
      </c>
      <c r="AI57" t="n">
        <v>1</v>
      </c>
      <c r="AJ57" t="n">
        <v>1</v>
      </c>
      <c r="AK57" t="n">
        <v>1</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HYPERLINK("https://creighton-primo.hosted.exlibrisgroup.com/primo-explore/search?tab=default_tab&amp;search_scope=EVERYTHING&amp;vid=01CRU&amp;lang=en_US&amp;offset=0&amp;query=any,contains,991002681309702656","Catalog Record")</f>
        <v/>
      </c>
      <c r="AT57">
        <f>HYPERLINK("http://www.worldcat.org/oclc/35036943","WorldCat Record")</f>
        <v/>
      </c>
      <c r="AU57" t="inlineStr">
        <is>
          <t>152323287:eng</t>
        </is>
      </c>
      <c r="AV57" t="inlineStr">
        <is>
          <t>35036943</t>
        </is>
      </c>
      <c r="AW57" t="inlineStr">
        <is>
          <t>991002681309702656</t>
        </is>
      </c>
      <c r="AX57" t="inlineStr">
        <is>
          <t>991002681309702656</t>
        </is>
      </c>
      <c r="AY57" t="inlineStr">
        <is>
          <t>2272623680002656</t>
        </is>
      </c>
      <c r="AZ57" t="inlineStr">
        <is>
          <t>BOOK</t>
        </is>
      </c>
      <c r="BC57" t="inlineStr">
        <is>
          <t>32285002212552</t>
        </is>
      </c>
      <c r="BD57" t="inlineStr">
        <is>
          <t>893511055</t>
        </is>
      </c>
    </row>
    <row r="58">
      <c r="A58" t="inlineStr">
        <is>
          <t>No</t>
        </is>
      </c>
      <c r="B58" t="inlineStr">
        <is>
          <t>RC1200 .C34 1996, v.15, no.4</t>
        </is>
      </c>
      <c r="C58" t="inlineStr">
        <is>
          <t>0                      RC 1200000C  34          1996                                        v.15, no.4</t>
        </is>
      </c>
      <c r="D58" t="inlineStr">
        <is>
          <t>Arthroscopic surgery, Part I / John P. Fulkerson, guest editor.</t>
        </is>
      </c>
      <c r="E58" t="inlineStr">
        <is>
          <t>V. 15 NO. 4</t>
        </is>
      </c>
      <c r="F58" t="inlineStr">
        <is>
          <t>No</t>
        </is>
      </c>
      <c r="G58" t="inlineStr">
        <is>
          <t>1</t>
        </is>
      </c>
      <c r="H58" t="inlineStr">
        <is>
          <t>No</t>
        </is>
      </c>
      <c r="I58" t="inlineStr">
        <is>
          <t>No</t>
        </is>
      </c>
      <c r="J58" t="inlineStr">
        <is>
          <t>0</t>
        </is>
      </c>
      <c r="L58" t="inlineStr">
        <is>
          <t>Philadelphia : W.B. Saunders, 1996.</t>
        </is>
      </c>
      <c r="M58" t="inlineStr">
        <is>
          <t>1996</t>
        </is>
      </c>
      <c r="O58" t="inlineStr">
        <is>
          <t>eng</t>
        </is>
      </c>
      <c r="P58" t="inlineStr">
        <is>
          <t>pau</t>
        </is>
      </c>
      <c r="Q58" t="inlineStr">
        <is>
          <t>Clinics in sports medicine, 0278-5919 ; v. 15, no. 4</t>
        </is>
      </c>
      <c r="R58" t="inlineStr">
        <is>
          <t xml:space="preserve">RC </t>
        </is>
      </c>
      <c r="S58" t="n">
        <v>4</v>
      </c>
      <c r="T58" t="n">
        <v>4</v>
      </c>
      <c r="U58" t="inlineStr">
        <is>
          <t>2007-08-07</t>
        </is>
      </c>
      <c r="V58" t="inlineStr">
        <is>
          <t>2007-08-07</t>
        </is>
      </c>
      <c r="W58" t="inlineStr">
        <is>
          <t>1996-10-03</t>
        </is>
      </c>
      <c r="X58" t="inlineStr">
        <is>
          <t>1996-10-03</t>
        </is>
      </c>
      <c r="Y58" t="n">
        <v>45</v>
      </c>
      <c r="Z58" t="n">
        <v>39</v>
      </c>
      <c r="AA58" t="n">
        <v>41</v>
      </c>
      <c r="AB58" t="n">
        <v>1</v>
      </c>
      <c r="AC58" t="n">
        <v>2</v>
      </c>
      <c r="AD58" t="n">
        <v>4</v>
      </c>
      <c r="AE58" t="n">
        <v>5</v>
      </c>
      <c r="AF58" t="n">
        <v>2</v>
      </c>
      <c r="AG58" t="n">
        <v>2</v>
      </c>
      <c r="AH58" t="n">
        <v>1</v>
      </c>
      <c r="AI58" t="n">
        <v>1</v>
      </c>
      <c r="AJ58" t="n">
        <v>1</v>
      </c>
      <c r="AK58" t="n">
        <v>1</v>
      </c>
      <c r="AL58" t="n">
        <v>0</v>
      </c>
      <c r="AM58" t="n">
        <v>1</v>
      </c>
      <c r="AN58" t="n">
        <v>0</v>
      </c>
      <c r="AO58" t="n">
        <v>0</v>
      </c>
      <c r="AP58" t="inlineStr">
        <is>
          <t>No</t>
        </is>
      </c>
      <c r="AQ58" t="inlineStr">
        <is>
          <t>No</t>
        </is>
      </c>
      <c r="AS58">
        <f>HYPERLINK("https://creighton-primo.hosted.exlibrisgroup.com/primo-explore/search?tab=default_tab&amp;search_scope=EVERYTHING&amp;vid=01CRU&amp;lang=en_US&amp;offset=0&amp;query=any,contains,991002720219702656","Catalog Record")</f>
        <v/>
      </c>
      <c r="AT58">
        <f>HYPERLINK("http://www.worldcat.org/oclc/35660180","WorldCat Record")</f>
        <v/>
      </c>
      <c r="AU58" t="inlineStr">
        <is>
          <t>3372786199:eng</t>
        </is>
      </c>
      <c r="AV58" t="inlineStr">
        <is>
          <t>35660180</t>
        </is>
      </c>
      <c r="AW58" t="inlineStr">
        <is>
          <t>991002720219702656</t>
        </is>
      </c>
      <c r="AX58" t="inlineStr">
        <is>
          <t>991002720219702656</t>
        </is>
      </c>
      <c r="AY58" t="inlineStr">
        <is>
          <t>2264761490002656</t>
        </is>
      </c>
      <c r="AZ58" t="inlineStr">
        <is>
          <t>BOOK</t>
        </is>
      </c>
      <c r="BC58" t="inlineStr">
        <is>
          <t>32285002322435</t>
        </is>
      </c>
      <c r="BD58" t="inlineStr">
        <is>
          <t>893892897</t>
        </is>
      </c>
    </row>
    <row r="59">
      <c r="A59" t="inlineStr">
        <is>
          <t>No</t>
        </is>
      </c>
      <c r="B59" t="inlineStr">
        <is>
          <t>RC1200 .C34 1997 v.16 no.2</t>
        </is>
      </c>
      <c r="C59" t="inlineStr">
        <is>
          <t>0                      RC 1200000C  34          1997                                        v.16 no.2</t>
        </is>
      </c>
      <c r="D59" t="inlineStr">
        <is>
          <t>Stress fractures / Bert R. Mandelbaum, and Thomas P. Knapp, guest editors.</t>
        </is>
      </c>
      <c r="E59" t="inlineStr">
        <is>
          <t>V. 16 NO. 2</t>
        </is>
      </c>
      <c r="F59" t="inlineStr">
        <is>
          <t>No</t>
        </is>
      </c>
      <c r="G59" t="inlineStr">
        <is>
          <t>1</t>
        </is>
      </c>
      <c r="H59" t="inlineStr">
        <is>
          <t>No</t>
        </is>
      </c>
      <c r="I59" t="inlineStr">
        <is>
          <t>No</t>
        </is>
      </c>
      <c r="J59" t="inlineStr">
        <is>
          <t>0</t>
        </is>
      </c>
      <c r="L59" t="inlineStr">
        <is>
          <t>Philadelphia : Saunders, c1997.</t>
        </is>
      </c>
      <c r="M59" t="inlineStr">
        <is>
          <t>1997</t>
        </is>
      </c>
      <c r="O59" t="inlineStr">
        <is>
          <t>eng</t>
        </is>
      </c>
      <c r="P59" t="inlineStr">
        <is>
          <t>pau</t>
        </is>
      </c>
      <c r="Q59" t="inlineStr">
        <is>
          <t>Clinics in sports medicine ; v. 16, no. 2</t>
        </is>
      </c>
      <c r="R59" t="inlineStr">
        <is>
          <t xml:space="preserve">RC </t>
        </is>
      </c>
      <c r="S59" t="n">
        <v>1</v>
      </c>
      <c r="T59" t="n">
        <v>1</v>
      </c>
      <c r="U59" t="inlineStr">
        <is>
          <t>2003-03-29</t>
        </is>
      </c>
      <c r="V59" t="inlineStr">
        <is>
          <t>2003-03-29</t>
        </is>
      </c>
      <c r="W59" t="inlineStr">
        <is>
          <t>2001-02-27</t>
        </is>
      </c>
      <c r="X59" t="inlineStr">
        <is>
          <t>2001-02-27</t>
        </is>
      </c>
      <c r="Y59" t="n">
        <v>62</v>
      </c>
      <c r="Z59" t="n">
        <v>50</v>
      </c>
      <c r="AA59" t="n">
        <v>50</v>
      </c>
      <c r="AB59" t="n">
        <v>2</v>
      </c>
      <c r="AC59" t="n">
        <v>2</v>
      </c>
      <c r="AD59" t="n">
        <v>4</v>
      </c>
      <c r="AE59" t="n">
        <v>4</v>
      </c>
      <c r="AF59" t="n">
        <v>2</v>
      </c>
      <c r="AG59" t="n">
        <v>2</v>
      </c>
      <c r="AH59" t="n">
        <v>1</v>
      </c>
      <c r="AI59" t="n">
        <v>1</v>
      </c>
      <c r="AJ59" t="n">
        <v>0</v>
      </c>
      <c r="AK59" t="n">
        <v>0</v>
      </c>
      <c r="AL59" t="n">
        <v>1</v>
      </c>
      <c r="AM59" t="n">
        <v>1</v>
      </c>
      <c r="AN59" t="n">
        <v>0</v>
      </c>
      <c r="AO59" t="n">
        <v>0</v>
      </c>
      <c r="AP59" t="inlineStr">
        <is>
          <t>No</t>
        </is>
      </c>
      <c r="AQ59" t="inlineStr">
        <is>
          <t>No</t>
        </is>
      </c>
      <c r="AS59">
        <f>HYPERLINK("https://creighton-primo.hosted.exlibrisgroup.com/primo-explore/search?tab=default_tab&amp;search_scope=EVERYTHING&amp;vid=01CRU&amp;lang=en_US&amp;offset=0&amp;query=any,contains,991003498149702656","Catalog Record")</f>
        <v/>
      </c>
      <c r="AT59">
        <f>HYPERLINK("http://www.worldcat.org/oclc/36931842","WorldCat Record")</f>
        <v/>
      </c>
      <c r="AU59" t="inlineStr">
        <is>
          <t>364654248:eng</t>
        </is>
      </c>
      <c r="AV59" t="inlineStr">
        <is>
          <t>36931842</t>
        </is>
      </c>
      <c r="AW59" t="inlineStr">
        <is>
          <t>991003498149702656</t>
        </is>
      </c>
      <c r="AX59" t="inlineStr">
        <is>
          <t>991003498149702656</t>
        </is>
      </c>
      <c r="AY59" t="inlineStr">
        <is>
          <t>2269720590002656</t>
        </is>
      </c>
      <c r="AZ59" t="inlineStr">
        <is>
          <t>BOOK</t>
        </is>
      </c>
      <c r="BC59" t="inlineStr">
        <is>
          <t>32285002607835</t>
        </is>
      </c>
      <c r="BD59" t="inlineStr">
        <is>
          <t>893240269</t>
        </is>
      </c>
    </row>
    <row r="60">
      <c r="A60" t="inlineStr">
        <is>
          <t>No</t>
        </is>
      </c>
      <c r="B60" t="inlineStr">
        <is>
          <t>RC1200 .C34 1997, v.16, no.1</t>
        </is>
      </c>
      <c r="C60" t="inlineStr">
        <is>
          <t>0                      RC 1200000C  34          1997                                        v.16, no.1</t>
        </is>
      </c>
      <c r="D60" t="inlineStr">
        <is>
          <t>Arthroscopic surgery, Part II : the knee / John P. Fulkerson, guest editor.</t>
        </is>
      </c>
      <c r="E60" t="inlineStr">
        <is>
          <t>V. 16 NO. 1</t>
        </is>
      </c>
      <c r="F60" t="inlineStr">
        <is>
          <t>No</t>
        </is>
      </c>
      <c r="G60" t="inlineStr">
        <is>
          <t>1</t>
        </is>
      </c>
      <c r="H60" t="inlineStr">
        <is>
          <t>No</t>
        </is>
      </c>
      <c r="I60" t="inlineStr">
        <is>
          <t>No</t>
        </is>
      </c>
      <c r="J60" t="inlineStr">
        <is>
          <t>0</t>
        </is>
      </c>
      <c r="L60" t="inlineStr">
        <is>
          <t>Philadelphia : W.B. Saunders, 1997.</t>
        </is>
      </c>
      <c r="M60" t="inlineStr">
        <is>
          <t>1997</t>
        </is>
      </c>
      <c r="O60" t="inlineStr">
        <is>
          <t>eng</t>
        </is>
      </c>
      <c r="P60" t="inlineStr">
        <is>
          <t>pau</t>
        </is>
      </c>
      <c r="Q60" t="inlineStr">
        <is>
          <t>Clinics in sports medicine, 0278-5919 ; v. 16, no. 1</t>
        </is>
      </c>
      <c r="R60" t="inlineStr">
        <is>
          <t xml:space="preserve">RC </t>
        </is>
      </c>
      <c r="S60" t="n">
        <v>6</v>
      </c>
      <c r="T60" t="n">
        <v>6</v>
      </c>
      <c r="U60" t="inlineStr">
        <is>
          <t>2007-08-07</t>
        </is>
      </c>
      <c r="V60" t="inlineStr">
        <is>
          <t>2007-08-07</t>
        </is>
      </c>
      <c r="W60" t="inlineStr">
        <is>
          <t>1997-01-30</t>
        </is>
      </c>
      <c r="X60" t="inlineStr">
        <is>
          <t>1997-01-30</t>
        </is>
      </c>
      <c r="Y60" t="n">
        <v>48</v>
      </c>
      <c r="Z60" t="n">
        <v>43</v>
      </c>
      <c r="AA60" t="n">
        <v>44</v>
      </c>
      <c r="AB60" t="n">
        <v>1</v>
      </c>
      <c r="AC60" t="n">
        <v>1</v>
      </c>
      <c r="AD60" t="n">
        <v>3</v>
      </c>
      <c r="AE60" t="n">
        <v>3</v>
      </c>
      <c r="AF60" t="n">
        <v>2</v>
      </c>
      <c r="AG60" t="n">
        <v>2</v>
      </c>
      <c r="AH60" t="n">
        <v>1</v>
      </c>
      <c r="AI60" t="n">
        <v>1</v>
      </c>
      <c r="AJ60" t="n">
        <v>0</v>
      </c>
      <c r="AK60" t="n">
        <v>0</v>
      </c>
      <c r="AL60" t="n">
        <v>0</v>
      </c>
      <c r="AM60" t="n">
        <v>0</v>
      </c>
      <c r="AN60" t="n">
        <v>0</v>
      </c>
      <c r="AO60" t="n">
        <v>0</v>
      </c>
      <c r="AP60" t="inlineStr">
        <is>
          <t>No</t>
        </is>
      </c>
      <c r="AQ60" t="inlineStr">
        <is>
          <t>No</t>
        </is>
      </c>
      <c r="AS60">
        <f>HYPERLINK("https://creighton-primo.hosted.exlibrisgroup.com/primo-explore/search?tab=default_tab&amp;search_scope=EVERYTHING&amp;vid=01CRU&amp;lang=en_US&amp;offset=0&amp;query=any,contains,991002763339702656","Catalog Record")</f>
        <v/>
      </c>
      <c r="AT60">
        <f>HYPERLINK("http://www.worldcat.org/oclc/36248754","WorldCat Record")</f>
        <v/>
      </c>
      <c r="AU60" t="inlineStr">
        <is>
          <t>40240324:eng</t>
        </is>
      </c>
      <c r="AV60" t="inlineStr">
        <is>
          <t>36248754</t>
        </is>
      </c>
      <c r="AW60" t="inlineStr">
        <is>
          <t>991002763339702656</t>
        </is>
      </c>
      <c r="AX60" t="inlineStr">
        <is>
          <t>991002763339702656</t>
        </is>
      </c>
      <c r="AY60" t="inlineStr">
        <is>
          <t>2265755520002656</t>
        </is>
      </c>
      <c r="AZ60" t="inlineStr">
        <is>
          <t>BOOK</t>
        </is>
      </c>
      <c r="BC60" t="inlineStr">
        <is>
          <t>32285002412574</t>
        </is>
      </c>
      <c r="BD60" t="inlineStr">
        <is>
          <t>893622694</t>
        </is>
      </c>
    </row>
    <row r="61">
      <c r="A61" t="inlineStr">
        <is>
          <t>No</t>
        </is>
      </c>
      <c r="B61" t="inlineStr">
        <is>
          <t>RC1200 .C34 1998, v.17, no.1</t>
        </is>
      </c>
      <c r="C61" t="inlineStr">
        <is>
          <t>0                      RC 1200000C  34          1998                                        v.17, no.1</t>
        </is>
      </c>
      <c r="D61" t="inlineStr">
        <is>
          <t>Neurologic athletic head and neck injuries / Robert C. Cantu.</t>
        </is>
      </c>
      <c r="E61" t="inlineStr">
        <is>
          <t>V. 17 NO. 1</t>
        </is>
      </c>
      <c r="F61" t="inlineStr">
        <is>
          <t>No</t>
        </is>
      </c>
      <c r="G61" t="inlineStr">
        <is>
          <t>1</t>
        </is>
      </c>
      <c r="H61" t="inlineStr">
        <is>
          <t>No</t>
        </is>
      </c>
      <c r="I61" t="inlineStr">
        <is>
          <t>No</t>
        </is>
      </c>
      <c r="J61" t="inlineStr">
        <is>
          <t>0</t>
        </is>
      </c>
      <c r="L61" t="inlineStr">
        <is>
          <t>Philadelphia, Pa. : W.B. Saunders, c1998.</t>
        </is>
      </c>
      <c r="M61" t="inlineStr">
        <is>
          <t>1998</t>
        </is>
      </c>
      <c r="O61" t="inlineStr">
        <is>
          <t>eng</t>
        </is>
      </c>
      <c r="P61" t="inlineStr">
        <is>
          <t>pau</t>
        </is>
      </c>
      <c r="Q61" t="inlineStr">
        <is>
          <t>Clinics in sports medicine, 0278-5919 ; v. 17, no. 1</t>
        </is>
      </c>
      <c r="R61" t="inlineStr">
        <is>
          <t xml:space="preserve">RC </t>
        </is>
      </c>
      <c r="S61" t="n">
        <v>3</v>
      </c>
      <c r="T61" t="n">
        <v>3</v>
      </c>
      <c r="U61" t="inlineStr">
        <is>
          <t>2005-01-28</t>
        </is>
      </c>
      <c r="V61" t="inlineStr">
        <is>
          <t>2005-01-28</t>
        </is>
      </c>
      <c r="W61" t="inlineStr">
        <is>
          <t>1998-01-28</t>
        </is>
      </c>
      <c r="X61" t="inlineStr">
        <is>
          <t>1998-01-28</t>
        </is>
      </c>
      <c r="Y61" t="n">
        <v>60</v>
      </c>
      <c r="Z61" t="n">
        <v>50</v>
      </c>
      <c r="AA61" t="n">
        <v>50</v>
      </c>
      <c r="AB61" t="n">
        <v>2</v>
      </c>
      <c r="AC61" t="n">
        <v>2</v>
      </c>
      <c r="AD61" t="n">
        <v>4</v>
      </c>
      <c r="AE61" t="n">
        <v>4</v>
      </c>
      <c r="AF61" t="n">
        <v>2</v>
      </c>
      <c r="AG61" t="n">
        <v>2</v>
      </c>
      <c r="AH61" t="n">
        <v>1</v>
      </c>
      <c r="AI61" t="n">
        <v>1</v>
      </c>
      <c r="AJ61" t="n">
        <v>0</v>
      </c>
      <c r="AK61" t="n">
        <v>0</v>
      </c>
      <c r="AL61" t="n">
        <v>1</v>
      </c>
      <c r="AM61" t="n">
        <v>1</v>
      </c>
      <c r="AN61" t="n">
        <v>0</v>
      </c>
      <c r="AO61" t="n">
        <v>0</v>
      </c>
      <c r="AP61" t="inlineStr">
        <is>
          <t>No</t>
        </is>
      </c>
      <c r="AQ61" t="inlineStr">
        <is>
          <t>No</t>
        </is>
      </c>
      <c r="AS61">
        <f>HYPERLINK("https://creighton-primo.hosted.exlibrisgroup.com/primo-explore/search?tab=default_tab&amp;search_scope=EVERYTHING&amp;vid=01CRU&amp;lang=en_US&amp;offset=0&amp;query=any,contains,991002902549702656","Catalog Record")</f>
        <v/>
      </c>
      <c r="AT61">
        <f>HYPERLINK("http://www.worldcat.org/oclc/38271308","WorldCat Record")</f>
        <v/>
      </c>
      <c r="AU61" t="inlineStr">
        <is>
          <t>3857293840:eng</t>
        </is>
      </c>
      <c r="AV61" t="inlineStr">
        <is>
          <t>38271308</t>
        </is>
      </c>
      <c r="AW61" t="inlineStr">
        <is>
          <t>991002902549702656</t>
        </is>
      </c>
      <c r="AX61" t="inlineStr">
        <is>
          <t>991002902549702656</t>
        </is>
      </c>
      <c r="AY61" t="inlineStr">
        <is>
          <t>2256318510002656</t>
        </is>
      </c>
      <c r="AZ61" t="inlineStr">
        <is>
          <t>BOOK</t>
        </is>
      </c>
      <c r="BC61" t="inlineStr">
        <is>
          <t>32285003311296</t>
        </is>
      </c>
      <c r="BD61" t="inlineStr">
        <is>
          <t>893880560</t>
        </is>
      </c>
    </row>
    <row r="62">
      <c r="A62" t="inlineStr">
        <is>
          <t>No</t>
        </is>
      </c>
      <c r="B62" t="inlineStr">
        <is>
          <t>RC1200 .C34 1998, v.17, no.2</t>
        </is>
      </c>
      <c r="C62" t="inlineStr">
        <is>
          <t>0                      RC 1200000C  34          1998                                        v.17, no.2</t>
        </is>
      </c>
      <c r="D62" t="inlineStr">
        <is>
          <t>Sports pharmacology / James B. Robinson, guest editor.</t>
        </is>
      </c>
      <c r="E62" t="inlineStr">
        <is>
          <t>V. 17 NO. 2</t>
        </is>
      </c>
      <c r="F62" t="inlineStr">
        <is>
          <t>No</t>
        </is>
      </c>
      <c r="G62" t="inlineStr">
        <is>
          <t>1</t>
        </is>
      </c>
      <c r="H62" t="inlineStr">
        <is>
          <t>No</t>
        </is>
      </c>
      <c r="I62" t="inlineStr">
        <is>
          <t>No</t>
        </is>
      </c>
      <c r="J62" t="inlineStr">
        <is>
          <t>0</t>
        </is>
      </c>
      <c r="L62" t="inlineStr">
        <is>
          <t>Philadelphia, Pa. : W.B. Saunders, c1998.</t>
        </is>
      </c>
      <c r="M62" t="inlineStr">
        <is>
          <t>1998</t>
        </is>
      </c>
      <c r="O62" t="inlineStr">
        <is>
          <t>eng</t>
        </is>
      </c>
      <c r="P62" t="inlineStr">
        <is>
          <t>pau</t>
        </is>
      </c>
      <c r="Q62" t="inlineStr">
        <is>
          <t>Clinics in sports medicine, 0278-5919 ; v. 17, no. 2</t>
        </is>
      </c>
      <c r="R62" t="inlineStr">
        <is>
          <t xml:space="preserve">RC </t>
        </is>
      </c>
      <c r="S62" t="n">
        <v>16</v>
      </c>
      <c r="T62" t="n">
        <v>16</v>
      </c>
      <c r="U62" t="inlineStr">
        <is>
          <t>2006-03-27</t>
        </is>
      </c>
      <c r="V62" t="inlineStr">
        <is>
          <t>2006-03-27</t>
        </is>
      </c>
      <c r="W62" t="inlineStr">
        <is>
          <t>1998-06-22</t>
        </is>
      </c>
      <c r="X62" t="inlineStr">
        <is>
          <t>1998-06-22</t>
        </is>
      </c>
      <c r="Y62" t="n">
        <v>57</v>
      </c>
      <c r="Z62" t="n">
        <v>47</v>
      </c>
      <c r="AA62" t="n">
        <v>47</v>
      </c>
      <c r="AB62" t="n">
        <v>2</v>
      </c>
      <c r="AC62" t="n">
        <v>2</v>
      </c>
      <c r="AD62" t="n">
        <v>4</v>
      </c>
      <c r="AE62" t="n">
        <v>4</v>
      </c>
      <c r="AF62" t="n">
        <v>2</v>
      </c>
      <c r="AG62" t="n">
        <v>2</v>
      </c>
      <c r="AH62" t="n">
        <v>1</v>
      </c>
      <c r="AI62" t="n">
        <v>1</v>
      </c>
      <c r="AJ62" t="n">
        <v>0</v>
      </c>
      <c r="AK62" t="n">
        <v>0</v>
      </c>
      <c r="AL62" t="n">
        <v>1</v>
      </c>
      <c r="AM62" t="n">
        <v>1</v>
      </c>
      <c r="AN62" t="n">
        <v>0</v>
      </c>
      <c r="AO62" t="n">
        <v>0</v>
      </c>
      <c r="AP62" t="inlineStr">
        <is>
          <t>No</t>
        </is>
      </c>
      <c r="AQ62" t="inlineStr">
        <is>
          <t>No</t>
        </is>
      </c>
      <c r="AS62">
        <f>HYPERLINK("https://creighton-primo.hosted.exlibrisgroup.com/primo-explore/search?tab=default_tab&amp;search_scope=EVERYTHING&amp;vid=01CRU&amp;lang=en_US&amp;offset=0&amp;query=any,contains,991002939019702656","Catalog Record")</f>
        <v/>
      </c>
      <c r="AT62">
        <f>HYPERLINK("http://www.worldcat.org/oclc/39099797","WorldCat Record")</f>
        <v/>
      </c>
      <c r="AU62" t="inlineStr">
        <is>
          <t>3857903974:eng</t>
        </is>
      </c>
      <c r="AV62" t="inlineStr">
        <is>
          <t>39099797</t>
        </is>
      </c>
      <c r="AW62" t="inlineStr">
        <is>
          <t>991002939019702656</t>
        </is>
      </c>
      <c r="AX62" t="inlineStr">
        <is>
          <t>991002939019702656</t>
        </is>
      </c>
      <c r="AY62" t="inlineStr">
        <is>
          <t>2254868960002656</t>
        </is>
      </c>
      <c r="AZ62" t="inlineStr">
        <is>
          <t>BOOK</t>
        </is>
      </c>
      <c r="BC62" t="inlineStr">
        <is>
          <t>32285003422465</t>
        </is>
      </c>
      <c r="BD62" t="inlineStr">
        <is>
          <t>893440712</t>
        </is>
      </c>
    </row>
    <row r="63">
      <c r="A63" t="inlineStr">
        <is>
          <t>No</t>
        </is>
      </c>
      <c r="B63" t="inlineStr">
        <is>
          <t>RC1200 .C34 1998, v.17, no.3</t>
        </is>
      </c>
      <c r="C63" t="inlineStr">
        <is>
          <t>0                      RC 1200000C  34          1998                                        v.17, no.3</t>
        </is>
      </c>
      <c r="D63" t="inlineStr">
        <is>
          <t>Hand and wrist injuries / Arthur C. Rettig, guest editor.</t>
        </is>
      </c>
      <c r="E63" t="inlineStr">
        <is>
          <t>V. 17 NO. 3</t>
        </is>
      </c>
      <c r="F63" t="inlineStr">
        <is>
          <t>No</t>
        </is>
      </c>
      <c r="G63" t="inlineStr">
        <is>
          <t>1</t>
        </is>
      </c>
      <c r="H63" t="inlineStr">
        <is>
          <t>No</t>
        </is>
      </c>
      <c r="I63" t="inlineStr">
        <is>
          <t>No</t>
        </is>
      </c>
      <c r="J63" t="inlineStr">
        <is>
          <t>0</t>
        </is>
      </c>
      <c r="L63" t="inlineStr">
        <is>
          <t>Philadelphia : W.B. Saunders, 1998.</t>
        </is>
      </c>
      <c r="M63" t="inlineStr">
        <is>
          <t>1998</t>
        </is>
      </c>
      <c r="O63" t="inlineStr">
        <is>
          <t>eng</t>
        </is>
      </c>
      <c r="P63" t="inlineStr">
        <is>
          <t>pau</t>
        </is>
      </c>
      <c r="Q63" t="inlineStr">
        <is>
          <t>Clinics in sports medicine, 0278-5919 ; v. 17, no. 3</t>
        </is>
      </c>
      <c r="R63" t="inlineStr">
        <is>
          <t xml:space="preserve">RC </t>
        </is>
      </c>
      <c r="S63" t="n">
        <v>5</v>
      </c>
      <c r="T63" t="n">
        <v>5</v>
      </c>
      <c r="U63" t="inlineStr">
        <is>
          <t>2007-08-07</t>
        </is>
      </c>
      <c r="V63" t="inlineStr">
        <is>
          <t>2007-08-07</t>
        </is>
      </c>
      <c r="W63" t="inlineStr">
        <is>
          <t>1998-08-12</t>
        </is>
      </c>
      <c r="X63" t="inlineStr">
        <is>
          <t>1998-08-12</t>
        </is>
      </c>
      <c r="Y63" t="n">
        <v>63</v>
      </c>
      <c r="Z63" t="n">
        <v>52</v>
      </c>
      <c r="AA63" t="n">
        <v>52</v>
      </c>
      <c r="AB63" t="n">
        <v>2</v>
      </c>
      <c r="AC63" t="n">
        <v>2</v>
      </c>
      <c r="AD63" t="n">
        <v>4</v>
      </c>
      <c r="AE63" t="n">
        <v>4</v>
      </c>
      <c r="AF63" t="n">
        <v>2</v>
      </c>
      <c r="AG63" t="n">
        <v>2</v>
      </c>
      <c r="AH63" t="n">
        <v>1</v>
      </c>
      <c r="AI63" t="n">
        <v>1</v>
      </c>
      <c r="AJ63" t="n">
        <v>0</v>
      </c>
      <c r="AK63" t="n">
        <v>0</v>
      </c>
      <c r="AL63" t="n">
        <v>1</v>
      </c>
      <c r="AM63" t="n">
        <v>1</v>
      </c>
      <c r="AN63" t="n">
        <v>0</v>
      </c>
      <c r="AO63" t="n">
        <v>0</v>
      </c>
      <c r="AP63" t="inlineStr">
        <is>
          <t>No</t>
        </is>
      </c>
      <c r="AQ63" t="inlineStr">
        <is>
          <t>No</t>
        </is>
      </c>
      <c r="AS63">
        <f>HYPERLINK("https://creighton-primo.hosted.exlibrisgroup.com/primo-explore/search?tab=default_tab&amp;search_scope=EVERYTHING&amp;vid=01CRU&amp;lang=en_US&amp;offset=0&amp;query=any,contains,991002963329702656","Catalog Record")</f>
        <v/>
      </c>
      <c r="AT63">
        <f>HYPERLINK("http://www.worldcat.org/oclc/39642617","WorldCat Record")</f>
        <v/>
      </c>
      <c r="AU63" t="inlineStr">
        <is>
          <t>56316631:eng</t>
        </is>
      </c>
      <c r="AV63" t="inlineStr">
        <is>
          <t>39642617</t>
        </is>
      </c>
      <c r="AW63" t="inlineStr">
        <is>
          <t>991002963329702656</t>
        </is>
      </c>
      <c r="AX63" t="inlineStr">
        <is>
          <t>991002963329702656</t>
        </is>
      </c>
      <c r="AY63" t="inlineStr">
        <is>
          <t>2268189890002656</t>
        </is>
      </c>
      <c r="AZ63" t="inlineStr">
        <is>
          <t>BOOK</t>
        </is>
      </c>
      <c r="BC63" t="inlineStr">
        <is>
          <t>32285003452587</t>
        </is>
      </c>
      <c r="BD63" t="inlineStr">
        <is>
          <t>893774231</t>
        </is>
      </c>
    </row>
    <row r="64">
      <c r="A64" t="inlineStr">
        <is>
          <t>No</t>
        </is>
      </c>
      <c r="B64" t="inlineStr">
        <is>
          <t>RC1200 .C34 1998, v.17, no.4</t>
        </is>
      </c>
      <c r="C64" t="inlineStr">
        <is>
          <t>0                      RC 1200000C  34          1998                                        v.17, no.4</t>
        </is>
      </c>
      <c r="D64" t="inlineStr">
        <is>
          <t>Soccer injuries / Bert R. Mandelbaum, William E. Garrett, Jr., Donald T. Kirkendall, guest editors.</t>
        </is>
      </c>
      <c r="E64" t="inlineStr">
        <is>
          <t>V. 17 NO. 4</t>
        </is>
      </c>
      <c r="F64" t="inlineStr">
        <is>
          <t>No</t>
        </is>
      </c>
      <c r="G64" t="inlineStr">
        <is>
          <t>1</t>
        </is>
      </c>
      <c r="H64" t="inlineStr">
        <is>
          <t>No</t>
        </is>
      </c>
      <c r="I64" t="inlineStr">
        <is>
          <t>No</t>
        </is>
      </c>
      <c r="J64" t="inlineStr">
        <is>
          <t>0</t>
        </is>
      </c>
      <c r="L64" t="inlineStr">
        <is>
          <t>Philadelphia, Pa. : W.B. Saunders, c1998.</t>
        </is>
      </c>
      <c r="M64" t="inlineStr">
        <is>
          <t>1998</t>
        </is>
      </c>
      <c r="O64" t="inlineStr">
        <is>
          <t>eng</t>
        </is>
      </c>
      <c r="P64" t="inlineStr">
        <is>
          <t>pau</t>
        </is>
      </c>
      <c r="Q64" t="inlineStr">
        <is>
          <t>Clinics in sports medicine, 0278-5919 ; v. 17, no. 4</t>
        </is>
      </c>
      <c r="R64" t="inlineStr">
        <is>
          <t xml:space="preserve">RC </t>
        </is>
      </c>
      <c r="S64" t="n">
        <v>5</v>
      </c>
      <c r="T64" t="n">
        <v>5</v>
      </c>
      <c r="U64" t="inlineStr">
        <is>
          <t>2010-02-20</t>
        </is>
      </c>
      <c r="V64" t="inlineStr">
        <is>
          <t>2010-02-20</t>
        </is>
      </c>
      <c r="W64" t="inlineStr">
        <is>
          <t>1998-10-28</t>
        </is>
      </c>
      <c r="X64" t="inlineStr">
        <is>
          <t>1998-10-28</t>
        </is>
      </c>
      <c r="Y64" t="n">
        <v>57</v>
      </c>
      <c r="Z64" t="n">
        <v>48</v>
      </c>
      <c r="AA64" t="n">
        <v>48</v>
      </c>
      <c r="AB64" t="n">
        <v>2</v>
      </c>
      <c r="AC64" t="n">
        <v>2</v>
      </c>
      <c r="AD64" t="n">
        <v>4</v>
      </c>
      <c r="AE64" t="n">
        <v>4</v>
      </c>
      <c r="AF64" t="n">
        <v>2</v>
      </c>
      <c r="AG64" t="n">
        <v>2</v>
      </c>
      <c r="AH64" t="n">
        <v>1</v>
      </c>
      <c r="AI64" t="n">
        <v>1</v>
      </c>
      <c r="AJ64" t="n">
        <v>0</v>
      </c>
      <c r="AK64" t="n">
        <v>0</v>
      </c>
      <c r="AL64" t="n">
        <v>1</v>
      </c>
      <c r="AM64" t="n">
        <v>1</v>
      </c>
      <c r="AN64" t="n">
        <v>0</v>
      </c>
      <c r="AO64" t="n">
        <v>0</v>
      </c>
      <c r="AP64" t="inlineStr">
        <is>
          <t>No</t>
        </is>
      </c>
      <c r="AQ64" t="inlineStr">
        <is>
          <t>No</t>
        </is>
      </c>
      <c r="AS64">
        <f>HYPERLINK("https://creighton-primo.hosted.exlibrisgroup.com/primo-explore/search?tab=default_tab&amp;search_scope=EVERYTHING&amp;vid=01CRU&amp;lang=en_US&amp;offset=0&amp;query=any,contains,991002982719702656","Catalog Record")</f>
        <v/>
      </c>
      <c r="AT64">
        <f>HYPERLINK("http://www.worldcat.org/oclc/40152275","WorldCat Record")</f>
        <v/>
      </c>
      <c r="AU64" t="inlineStr">
        <is>
          <t>364744587:eng</t>
        </is>
      </c>
      <c r="AV64" t="inlineStr">
        <is>
          <t>40152275</t>
        </is>
      </c>
      <c r="AW64" t="inlineStr">
        <is>
          <t>991002982719702656</t>
        </is>
      </c>
      <c r="AX64" t="inlineStr">
        <is>
          <t>991002982719702656</t>
        </is>
      </c>
      <c r="AY64" t="inlineStr">
        <is>
          <t>2262453500002656</t>
        </is>
      </c>
      <c r="AZ64" t="inlineStr">
        <is>
          <t>BOOK</t>
        </is>
      </c>
      <c r="BC64" t="inlineStr">
        <is>
          <t>32285003478772</t>
        </is>
      </c>
      <c r="BD64" t="inlineStr">
        <is>
          <t>893610568</t>
        </is>
      </c>
    </row>
    <row r="65">
      <c r="A65" t="inlineStr">
        <is>
          <t>No</t>
        </is>
      </c>
      <c r="B65" t="inlineStr">
        <is>
          <t>RC1200 .C34 1999, v.18, no.1</t>
        </is>
      </c>
      <c r="C65" t="inlineStr">
        <is>
          <t>0                      RC 1200000C  34          1999                                        v.18, no.1</t>
        </is>
      </c>
      <c r="D65" t="inlineStr">
        <is>
          <t>Complex topics in knee surgery / Christopher D. Harner, and Mark D. Miller, guest editors.</t>
        </is>
      </c>
      <c r="E65" t="inlineStr">
        <is>
          <t>V. 18 NO. 1</t>
        </is>
      </c>
      <c r="F65" t="inlineStr">
        <is>
          <t>No</t>
        </is>
      </c>
      <c r="G65" t="inlineStr">
        <is>
          <t>1</t>
        </is>
      </c>
      <c r="H65" t="inlineStr">
        <is>
          <t>No</t>
        </is>
      </c>
      <c r="I65" t="inlineStr">
        <is>
          <t>No</t>
        </is>
      </c>
      <c r="J65" t="inlineStr">
        <is>
          <t>0</t>
        </is>
      </c>
      <c r="L65" t="inlineStr">
        <is>
          <t>Philadelphia, Pa. : W.B. Saunders, c1999.</t>
        </is>
      </c>
      <c r="M65" t="inlineStr">
        <is>
          <t>1999</t>
        </is>
      </c>
      <c r="O65" t="inlineStr">
        <is>
          <t>eng</t>
        </is>
      </c>
      <c r="P65" t="inlineStr">
        <is>
          <t>pau</t>
        </is>
      </c>
      <c r="Q65" t="inlineStr">
        <is>
          <t>Clinics in sports medicine, 0278-5919 ; v. 18, no. 1</t>
        </is>
      </c>
      <c r="R65" t="inlineStr">
        <is>
          <t xml:space="preserve">RC </t>
        </is>
      </c>
      <c r="S65" t="n">
        <v>5</v>
      </c>
      <c r="T65" t="n">
        <v>5</v>
      </c>
      <c r="U65" t="inlineStr">
        <is>
          <t>2004-03-03</t>
        </is>
      </c>
      <c r="V65" t="inlineStr">
        <is>
          <t>2004-03-03</t>
        </is>
      </c>
      <c r="W65" t="inlineStr">
        <is>
          <t>1999-02-04</t>
        </is>
      </c>
      <c r="X65" t="inlineStr">
        <is>
          <t>1999-02-04</t>
        </is>
      </c>
      <c r="Y65" t="n">
        <v>57</v>
      </c>
      <c r="Z65" t="n">
        <v>49</v>
      </c>
      <c r="AA65" t="n">
        <v>51</v>
      </c>
      <c r="AB65" t="n">
        <v>2</v>
      </c>
      <c r="AC65" t="n">
        <v>2</v>
      </c>
      <c r="AD65" t="n">
        <v>4</v>
      </c>
      <c r="AE65" t="n">
        <v>4</v>
      </c>
      <c r="AF65" t="n">
        <v>2</v>
      </c>
      <c r="AG65" t="n">
        <v>2</v>
      </c>
      <c r="AH65" t="n">
        <v>1</v>
      </c>
      <c r="AI65" t="n">
        <v>1</v>
      </c>
      <c r="AJ65" t="n">
        <v>0</v>
      </c>
      <c r="AK65" t="n">
        <v>0</v>
      </c>
      <c r="AL65" t="n">
        <v>1</v>
      </c>
      <c r="AM65" t="n">
        <v>1</v>
      </c>
      <c r="AN65" t="n">
        <v>0</v>
      </c>
      <c r="AO65" t="n">
        <v>0</v>
      </c>
      <c r="AP65" t="inlineStr">
        <is>
          <t>No</t>
        </is>
      </c>
      <c r="AQ65" t="inlineStr">
        <is>
          <t>No</t>
        </is>
      </c>
      <c r="AS65">
        <f>HYPERLINK("https://creighton-primo.hosted.exlibrisgroup.com/primo-explore/search?tab=default_tab&amp;search_scope=EVERYTHING&amp;vid=01CRU&amp;lang=en_US&amp;offset=0&amp;query=any,contains,991003002329702656","Catalog Record")</f>
        <v/>
      </c>
      <c r="AT65">
        <f>HYPERLINK("http://www.worldcat.org/oclc/40679960","WorldCat Record")</f>
        <v/>
      </c>
      <c r="AU65" t="inlineStr">
        <is>
          <t>3863775497:eng</t>
        </is>
      </c>
      <c r="AV65" t="inlineStr">
        <is>
          <t>40679960</t>
        </is>
      </c>
      <c r="AW65" t="inlineStr">
        <is>
          <t>991003002329702656</t>
        </is>
      </c>
      <c r="AX65" t="inlineStr">
        <is>
          <t>991003002329702656</t>
        </is>
      </c>
      <c r="AY65" t="inlineStr">
        <is>
          <t>2262272140002656</t>
        </is>
      </c>
      <c r="AZ65" t="inlineStr">
        <is>
          <t>BOOK</t>
        </is>
      </c>
      <c r="BC65" t="inlineStr">
        <is>
          <t>32285003518031</t>
        </is>
      </c>
      <c r="BD65" t="inlineStr">
        <is>
          <t>893342129</t>
        </is>
      </c>
    </row>
    <row r="66">
      <c r="A66" t="inlineStr">
        <is>
          <t>No</t>
        </is>
      </c>
      <c r="B66" t="inlineStr">
        <is>
          <t>RC1200 .C34 1999, v.18, no.2</t>
        </is>
      </c>
      <c r="C66" t="inlineStr">
        <is>
          <t>0                      RC 1200000C  34          1999                                        v.18, no.2</t>
        </is>
      </c>
      <c r="D66" t="inlineStr">
        <is>
          <t>Aquatic sports injuries and rehabilitation / Allen B. Richardson, guest editor.</t>
        </is>
      </c>
      <c r="E66" t="inlineStr">
        <is>
          <t>V. 18 NO. 2</t>
        </is>
      </c>
      <c r="F66" t="inlineStr">
        <is>
          <t>No</t>
        </is>
      </c>
      <c r="G66" t="inlineStr">
        <is>
          <t>1</t>
        </is>
      </c>
      <c r="H66" t="inlineStr">
        <is>
          <t>No</t>
        </is>
      </c>
      <c r="I66" t="inlineStr">
        <is>
          <t>No</t>
        </is>
      </c>
      <c r="J66" t="inlineStr">
        <is>
          <t>0</t>
        </is>
      </c>
      <c r="L66" t="inlineStr">
        <is>
          <t>Philadelphia, Pa. : W.B. Saunders, c1999.</t>
        </is>
      </c>
      <c r="M66" t="inlineStr">
        <is>
          <t>1999</t>
        </is>
      </c>
      <c r="O66" t="inlineStr">
        <is>
          <t>eng</t>
        </is>
      </c>
      <c r="P66" t="inlineStr">
        <is>
          <t>pau</t>
        </is>
      </c>
      <c r="Q66" t="inlineStr">
        <is>
          <t>Clinics in sports medicine, 0278-5919 ; v. 18, no. 2</t>
        </is>
      </c>
      <c r="R66" t="inlineStr">
        <is>
          <t xml:space="preserve">RC </t>
        </is>
      </c>
      <c r="S66" t="n">
        <v>5</v>
      </c>
      <c r="T66" t="n">
        <v>5</v>
      </c>
      <c r="U66" t="inlineStr">
        <is>
          <t>2003-09-22</t>
        </is>
      </c>
      <c r="V66" t="inlineStr">
        <is>
          <t>2003-09-22</t>
        </is>
      </c>
      <c r="W66" t="inlineStr">
        <is>
          <t>1999-05-05</t>
        </is>
      </c>
      <c r="X66" t="inlineStr">
        <is>
          <t>1999-05-05</t>
        </is>
      </c>
      <c r="Y66" t="n">
        <v>61</v>
      </c>
      <c r="Z66" t="n">
        <v>51</v>
      </c>
      <c r="AA66" t="n">
        <v>51</v>
      </c>
      <c r="AB66" t="n">
        <v>2</v>
      </c>
      <c r="AC66" t="n">
        <v>2</v>
      </c>
      <c r="AD66" t="n">
        <v>4</v>
      </c>
      <c r="AE66" t="n">
        <v>4</v>
      </c>
      <c r="AF66" t="n">
        <v>2</v>
      </c>
      <c r="AG66" t="n">
        <v>2</v>
      </c>
      <c r="AH66" t="n">
        <v>1</v>
      </c>
      <c r="AI66" t="n">
        <v>1</v>
      </c>
      <c r="AJ66" t="n">
        <v>0</v>
      </c>
      <c r="AK66" t="n">
        <v>0</v>
      </c>
      <c r="AL66" t="n">
        <v>1</v>
      </c>
      <c r="AM66" t="n">
        <v>1</v>
      </c>
      <c r="AN66" t="n">
        <v>0</v>
      </c>
      <c r="AO66" t="n">
        <v>0</v>
      </c>
      <c r="AP66" t="inlineStr">
        <is>
          <t>No</t>
        </is>
      </c>
      <c r="AQ66" t="inlineStr">
        <is>
          <t>No</t>
        </is>
      </c>
      <c r="AS66">
        <f>HYPERLINK("https://creighton-primo.hosted.exlibrisgroup.com/primo-explore/search?tab=default_tab&amp;search_scope=EVERYTHING&amp;vid=01CRU&amp;lang=en_US&amp;offset=0&amp;query=any,contains,991003024539702656","Catalog Record")</f>
        <v/>
      </c>
      <c r="AT66">
        <f>HYPERLINK("http://www.worldcat.org/oclc/41291773","WorldCat Record")</f>
        <v/>
      </c>
      <c r="AU66" t="inlineStr">
        <is>
          <t>45046470:eng</t>
        </is>
      </c>
      <c r="AV66" t="inlineStr">
        <is>
          <t>41291773</t>
        </is>
      </c>
      <c r="AW66" t="inlineStr">
        <is>
          <t>991003024539702656</t>
        </is>
      </c>
      <c r="AX66" t="inlineStr">
        <is>
          <t>991003024539702656</t>
        </is>
      </c>
      <c r="AY66" t="inlineStr">
        <is>
          <t>2258634510002656</t>
        </is>
      </c>
      <c r="AZ66" t="inlineStr">
        <is>
          <t>BOOK</t>
        </is>
      </c>
      <c r="BC66" t="inlineStr">
        <is>
          <t>32285003559290</t>
        </is>
      </c>
      <c r="BD66" t="inlineStr">
        <is>
          <t>893598182</t>
        </is>
      </c>
    </row>
    <row r="67">
      <c r="A67" t="inlineStr">
        <is>
          <t>No</t>
        </is>
      </c>
      <c r="B67" t="inlineStr">
        <is>
          <t>RC1200 .C34 1999, v.18, no.3</t>
        </is>
      </c>
      <c r="C67" t="inlineStr">
        <is>
          <t>0                      RC 1200000C  34          1999                                        v.18, no.3</t>
        </is>
      </c>
      <c r="D67" t="inlineStr">
        <is>
          <t>Nutritional aspects of exercise / Keith B. Wheeler and John A. Lombardo, guest editors.</t>
        </is>
      </c>
      <c r="E67" t="inlineStr">
        <is>
          <t>V. 18 NO. 3</t>
        </is>
      </c>
      <c r="F67" t="inlineStr">
        <is>
          <t>No</t>
        </is>
      </c>
      <c r="G67" t="inlineStr">
        <is>
          <t>1</t>
        </is>
      </c>
      <c r="H67" t="inlineStr">
        <is>
          <t>No</t>
        </is>
      </c>
      <c r="I67" t="inlineStr">
        <is>
          <t>No</t>
        </is>
      </c>
      <c r="J67" t="inlineStr">
        <is>
          <t>0</t>
        </is>
      </c>
      <c r="L67" t="inlineStr">
        <is>
          <t>Philadelphia, Pa. : W.B. Saunders, c1999.</t>
        </is>
      </c>
      <c r="M67" t="inlineStr">
        <is>
          <t>1999</t>
        </is>
      </c>
      <c r="O67" t="inlineStr">
        <is>
          <t>eng</t>
        </is>
      </c>
      <c r="P67" t="inlineStr">
        <is>
          <t>pau</t>
        </is>
      </c>
      <c r="Q67" t="inlineStr">
        <is>
          <t>Clinics in sports medicine, 0278-5919 ; v. 18, no. 3</t>
        </is>
      </c>
      <c r="R67" t="inlineStr">
        <is>
          <t xml:space="preserve">RC </t>
        </is>
      </c>
      <c r="S67" t="n">
        <v>32</v>
      </c>
      <c r="T67" t="n">
        <v>32</v>
      </c>
      <c r="U67" t="inlineStr">
        <is>
          <t>2004-11-10</t>
        </is>
      </c>
      <c r="V67" t="inlineStr">
        <is>
          <t>2004-11-10</t>
        </is>
      </c>
      <c r="W67" t="inlineStr">
        <is>
          <t>1999-07-13</t>
        </is>
      </c>
      <c r="X67" t="inlineStr">
        <is>
          <t>1999-07-13</t>
        </is>
      </c>
      <c r="Y67" t="n">
        <v>62</v>
      </c>
      <c r="Z67" t="n">
        <v>50</v>
      </c>
      <c r="AA67" t="n">
        <v>50</v>
      </c>
      <c r="AB67" t="n">
        <v>2</v>
      </c>
      <c r="AC67" t="n">
        <v>2</v>
      </c>
      <c r="AD67" t="n">
        <v>4</v>
      </c>
      <c r="AE67" t="n">
        <v>4</v>
      </c>
      <c r="AF67" t="n">
        <v>2</v>
      </c>
      <c r="AG67" t="n">
        <v>2</v>
      </c>
      <c r="AH67" t="n">
        <v>1</v>
      </c>
      <c r="AI67" t="n">
        <v>1</v>
      </c>
      <c r="AJ67" t="n">
        <v>0</v>
      </c>
      <c r="AK67" t="n">
        <v>0</v>
      </c>
      <c r="AL67" t="n">
        <v>1</v>
      </c>
      <c r="AM67" t="n">
        <v>1</v>
      </c>
      <c r="AN67" t="n">
        <v>0</v>
      </c>
      <c r="AO67" t="n">
        <v>0</v>
      </c>
      <c r="AP67" t="inlineStr">
        <is>
          <t>No</t>
        </is>
      </c>
      <c r="AQ67" t="inlineStr">
        <is>
          <t>No</t>
        </is>
      </c>
      <c r="AS67">
        <f>HYPERLINK("https://creighton-primo.hosted.exlibrisgroup.com/primo-explore/search?tab=default_tab&amp;search_scope=EVERYTHING&amp;vid=01CRU&amp;lang=en_US&amp;offset=0&amp;query=any,contains,991003036309702656","Catalog Record")</f>
        <v/>
      </c>
      <c r="AT67">
        <f>HYPERLINK("http://www.worldcat.org/oclc/41716582","WorldCat Record")</f>
        <v/>
      </c>
      <c r="AU67" t="inlineStr">
        <is>
          <t>364397012:eng</t>
        </is>
      </c>
      <c r="AV67" t="inlineStr">
        <is>
          <t>41716582</t>
        </is>
      </c>
      <c r="AW67" t="inlineStr">
        <is>
          <t>991003036309702656</t>
        </is>
      </c>
      <c r="AX67" t="inlineStr">
        <is>
          <t>991003036309702656</t>
        </is>
      </c>
      <c r="AY67" t="inlineStr">
        <is>
          <t>2258329140002656</t>
        </is>
      </c>
      <c r="AZ67" t="inlineStr">
        <is>
          <t>BOOK</t>
        </is>
      </c>
      <c r="BC67" t="inlineStr">
        <is>
          <t>32285003578035</t>
        </is>
      </c>
      <c r="BD67" t="inlineStr">
        <is>
          <t>893239832</t>
        </is>
      </c>
    </row>
    <row r="68">
      <c r="A68" t="inlineStr">
        <is>
          <t>No</t>
        </is>
      </c>
      <c r="B68" t="inlineStr">
        <is>
          <t>RC1200 .C34 1999, v.18, no.4</t>
        </is>
      </c>
      <c r="C68" t="inlineStr">
        <is>
          <t>0                      RC 1200000C  34          1999                                        v.18, no.4</t>
        </is>
      </c>
      <c r="D68" t="inlineStr">
        <is>
          <t>Management of surgical complications / Darren L. Johnson, guest editor.</t>
        </is>
      </c>
      <c r="E68" t="inlineStr">
        <is>
          <t>V. 18 NO. 4</t>
        </is>
      </c>
      <c r="F68" t="inlineStr">
        <is>
          <t>No</t>
        </is>
      </c>
      <c r="G68" t="inlineStr">
        <is>
          <t>1</t>
        </is>
      </c>
      <c r="H68" t="inlineStr">
        <is>
          <t>No</t>
        </is>
      </c>
      <c r="I68" t="inlineStr">
        <is>
          <t>No</t>
        </is>
      </c>
      <c r="J68" t="inlineStr">
        <is>
          <t>0</t>
        </is>
      </c>
      <c r="L68" t="inlineStr">
        <is>
          <t>Philadelphia : W.B. Saunders, c1999.</t>
        </is>
      </c>
      <c r="M68" t="inlineStr">
        <is>
          <t>1999</t>
        </is>
      </c>
      <c r="O68" t="inlineStr">
        <is>
          <t>eng</t>
        </is>
      </c>
      <c r="P68" t="inlineStr">
        <is>
          <t>pau</t>
        </is>
      </c>
      <c r="Q68" t="inlineStr">
        <is>
          <t>Clinics in sports medicine, 0278-5919 ; v. 18, no. 4</t>
        </is>
      </c>
      <c r="R68" t="inlineStr">
        <is>
          <t xml:space="preserve">RC </t>
        </is>
      </c>
      <c r="S68" t="n">
        <v>2</v>
      </c>
      <c r="T68" t="n">
        <v>2</v>
      </c>
      <c r="U68" t="inlineStr">
        <is>
          <t>2002-09-11</t>
        </is>
      </c>
      <c r="V68" t="inlineStr">
        <is>
          <t>2002-09-11</t>
        </is>
      </c>
      <c r="W68" t="inlineStr">
        <is>
          <t>1999-11-11</t>
        </is>
      </c>
      <c r="X68" t="inlineStr">
        <is>
          <t>1999-11-11</t>
        </is>
      </c>
      <c r="Y68" t="n">
        <v>57</v>
      </c>
      <c r="Z68" t="n">
        <v>47</v>
      </c>
      <c r="AA68" t="n">
        <v>47</v>
      </c>
      <c r="AB68" t="n">
        <v>2</v>
      </c>
      <c r="AC68" t="n">
        <v>2</v>
      </c>
      <c r="AD68" t="n">
        <v>4</v>
      </c>
      <c r="AE68" t="n">
        <v>4</v>
      </c>
      <c r="AF68" t="n">
        <v>2</v>
      </c>
      <c r="AG68" t="n">
        <v>2</v>
      </c>
      <c r="AH68" t="n">
        <v>1</v>
      </c>
      <c r="AI68" t="n">
        <v>1</v>
      </c>
      <c r="AJ68" t="n">
        <v>0</v>
      </c>
      <c r="AK68" t="n">
        <v>0</v>
      </c>
      <c r="AL68" t="n">
        <v>1</v>
      </c>
      <c r="AM68" t="n">
        <v>1</v>
      </c>
      <c r="AN68" t="n">
        <v>0</v>
      </c>
      <c r="AO68" t="n">
        <v>0</v>
      </c>
      <c r="AP68" t="inlineStr">
        <is>
          <t>No</t>
        </is>
      </c>
      <c r="AQ68" t="inlineStr">
        <is>
          <t>No</t>
        </is>
      </c>
      <c r="AS68">
        <f>HYPERLINK("https://creighton-primo.hosted.exlibrisgroup.com/primo-explore/search?tab=default_tab&amp;search_scope=EVERYTHING&amp;vid=01CRU&amp;lang=en_US&amp;offset=0&amp;query=any,contains,991003047499702656","Catalog Record")</f>
        <v/>
      </c>
      <c r="AT68">
        <f>HYPERLINK("http://www.worldcat.org/oclc/42695119","WorldCat Record")</f>
        <v/>
      </c>
      <c r="AU68" t="inlineStr">
        <is>
          <t>2206849:eng</t>
        </is>
      </c>
      <c r="AV68" t="inlineStr">
        <is>
          <t>42695119</t>
        </is>
      </c>
      <c r="AW68" t="inlineStr">
        <is>
          <t>991003047499702656</t>
        </is>
      </c>
      <c r="AX68" t="inlineStr">
        <is>
          <t>991003047499702656</t>
        </is>
      </c>
      <c r="AY68" t="inlineStr">
        <is>
          <t>2254944100002656</t>
        </is>
      </c>
      <c r="AZ68" t="inlineStr">
        <is>
          <t>BOOK</t>
        </is>
      </c>
      <c r="BC68" t="inlineStr">
        <is>
          <t>32285003621223</t>
        </is>
      </c>
      <c r="BD68" t="inlineStr">
        <is>
          <t>893799328</t>
        </is>
      </c>
    </row>
    <row r="69">
      <c r="A69" t="inlineStr">
        <is>
          <t>No</t>
        </is>
      </c>
      <c r="B69" t="inlineStr">
        <is>
          <t>RC1200 .C34 2000, v.19, no.1</t>
        </is>
      </c>
      <c r="C69" t="inlineStr">
        <is>
          <t>0                      RC 1200000C  34          2000                                        v.19, no.1</t>
        </is>
      </c>
      <c r="D69" t="inlineStr">
        <is>
          <t>Management of the unstable shoulder : arthroscopic approaches for the next millennium / Jon J. P. Warner, guest editor.</t>
        </is>
      </c>
      <c r="E69" t="inlineStr">
        <is>
          <t>V. 19 NO. 1</t>
        </is>
      </c>
      <c r="F69" t="inlineStr">
        <is>
          <t>No</t>
        </is>
      </c>
      <c r="G69" t="inlineStr">
        <is>
          <t>1</t>
        </is>
      </c>
      <c r="H69" t="inlineStr">
        <is>
          <t>No</t>
        </is>
      </c>
      <c r="I69" t="inlineStr">
        <is>
          <t>No</t>
        </is>
      </c>
      <c r="J69" t="inlineStr">
        <is>
          <t>0</t>
        </is>
      </c>
      <c r="L69" t="inlineStr">
        <is>
          <t>Philadelphia : W.B. Saunders, 2000.</t>
        </is>
      </c>
      <c r="M69" t="inlineStr">
        <is>
          <t>2000</t>
        </is>
      </c>
      <c r="O69" t="inlineStr">
        <is>
          <t>eng</t>
        </is>
      </c>
      <c r="P69" t="inlineStr">
        <is>
          <t>pau</t>
        </is>
      </c>
      <c r="Q69" t="inlineStr">
        <is>
          <t>Clinics in sports medicine, 0278-5919 ; v. 19, no. 1</t>
        </is>
      </c>
      <c r="R69" t="inlineStr">
        <is>
          <t xml:space="preserve">RC </t>
        </is>
      </c>
      <c r="S69" t="n">
        <v>4</v>
      </c>
      <c r="T69" t="n">
        <v>4</v>
      </c>
      <c r="U69" t="inlineStr">
        <is>
          <t>2001-11-25</t>
        </is>
      </c>
      <c r="V69" t="inlineStr">
        <is>
          <t>2001-11-25</t>
        </is>
      </c>
      <c r="W69" t="inlineStr">
        <is>
          <t>2000-01-27</t>
        </is>
      </c>
      <c r="X69" t="inlineStr">
        <is>
          <t>2000-01-27</t>
        </is>
      </c>
      <c r="Y69" t="n">
        <v>57</v>
      </c>
      <c r="Z69" t="n">
        <v>48</v>
      </c>
      <c r="AA69" t="n">
        <v>48</v>
      </c>
      <c r="AB69" t="n">
        <v>2</v>
      </c>
      <c r="AC69" t="n">
        <v>2</v>
      </c>
      <c r="AD69" t="n">
        <v>5</v>
      </c>
      <c r="AE69" t="n">
        <v>5</v>
      </c>
      <c r="AF69" t="n">
        <v>2</v>
      </c>
      <c r="AG69" t="n">
        <v>2</v>
      </c>
      <c r="AH69" t="n">
        <v>1</v>
      </c>
      <c r="AI69" t="n">
        <v>1</v>
      </c>
      <c r="AJ69" t="n">
        <v>1</v>
      </c>
      <c r="AK69" t="n">
        <v>1</v>
      </c>
      <c r="AL69" t="n">
        <v>1</v>
      </c>
      <c r="AM69" t="n">
        <v>1</v>
      </c>
      <c r="AN69" t="n">
        <v>0</v>
      </c>
      <c r="AO69" t="n">
        <v>0</v>
      </c>
      <c r="AP69" t="inlineStr">
        <is>
          <t>No</t>
        </is>
      </c>
      <c r="AQ69" t="inlineStr">
        <is>
          <t>No</t>
        </is>
      </c>
      <c r="AS69">
        <f>HYPERLINK("https://creighton-primo.hosted.exlibrisgroup.com/primo-explore/search?tab=default_tab&amp;search_scope=EVERYTHING&amp;vid=01CRU&amp;lang=en_US&amp;offset=0&amp;query=any,contains,991003052349702656","Catalog Record")</f>
        <v/>
      </c>
      <c r="AT69">
        <f>HYPERLINK("http://www.worldcat.org/oclc/43319822","WorldCat Record")</f>
        <v/>
      </c>
      <c r="AU69" t="inlineStr">
        <is>
          <t>131727495:eng</t>
        </is>
      </c>
      <c r="AV69" t="inlineStr">
        <is>
          <t>43319822</t>
        </is>
      </c>
      <c r="AW69" t="inlineStr">
        <is>
          <t>991003052349702656</t>
        </is>
      </c>
      <c r="AX69" t="inlineStr">
        <is>
          <t>991003052349702656</t>
        </is>
      </c>
      <c r="AY69" t="inlineStr">
        <is>
          <t>2256540820002656</t>
        </is>
      </c>
      <c r="AZ69" t="inlineStr">
        <is>
          <t>BOOK</t>
        </is>
      </c>
      <c r="BC69" t="inlineStr">
        <is>
          <t>32285003656096</t>
        </is>
      </c>
      <c r="BD69" t="inlineStr">
        <is>
          <t>893893334</t>
        </is>
      </c>
    </row>
    <row r="70">
      <c r="A70" t="inlineStr">
        <is>
          <t>No</t>
        </is>
      </c>
      <c r="B70" t="inlineStr">
        <is>
          <t>RC1200 .C34 2000, v.19, no.2</t>
        </is>
      </c>
      <c r="C70" t="inlineStr">
        <is>
          <t>0                      RC 1200000C  34          2000                                        v.19, no.2</t>
        </is>
      </c>
      <c r="D70" t="inlineStr">
        <is>
          <t>The athletic woman / Kimberly G. Harmon, Rosemary Agostini, guest editors.</t>
        </is>
      </c>
      <c r="E70" t="inlineStr">
        <is>
          <t>V. 19 NO. 2</t>
        </is>
      </c>
      <c r="F70" t="inlineStr">
        <is>
          <t>No</t>
        </is>
      </c>
      <c r="G70" t="inlineStr">
        <is>
          <t>1</t>
        </is>
      </c>
      <c r="H70" t="inlineStr">
        <is>
          <t>No</t>
        </is>
      </c>
      <c r="I70" t="inlineStr">
        <is>
          <t>Yes</t>
        </is>
      </c>
      <c r="J70" t="inlineStr">
        <is>
          <t>0</t>
        </is>
      </c>
      <c r="L70" t="inlineStr">
        <is>
          <t>Philadelphia : W.B. Saunders, 2000.</t>
        </is>
      </c>
      <c r="M70" t="inlineStr">
        <is>
          <t>2000</t>
        </is>
      </c>
      <c r="O70" t="inlineStr">
        <is>
          <t>eng</t>
        </is>
      </c>
      <c r="P70" t="inlineStr">
        <is>
          <t>pau</t>
        </is>
      </c>
      <c r="Q70" t="inlineStr">
        <is>
          <t>Clinics in sports medicine, 0278-5919 ; vol. 19, no. 2</t>
        </is>
      </c>
      <c r="R70" t="inlineStr">
        <is>
          <t xml:space="preserve">RC </t>
        </is>
      </c>
      <c r="S70" t="n">
        <v>15</v>
      </c>
      <c r="T70" t="n">
        <v>15</v>
      </c>
      <c r="U70" t="inlineStr">
        <is>
          <t>2008-03-24</t>
        </is>
      </c>
      <c r="V70" t="inlineStr">
        <is>
          <t>2008-03-24</t>
        </is>
      </c>
      <c r="W70" t="inlineStr">
        <is>
          <t>2000-04-04</t>
        </is>
      </c>
      <c r="X70" t="inlineStr">
        <is>
          <t>2000-04-04</t>
        </is>
      </c>
      <c r="Y70" t="n">
        <v>59</v>
      </c>
      <c r="Z70" t="n">
        <v>48</v>
      </c>
      <c r="AA70" t="n">
        <v>61</v>
      </c>
      <c r="AB70" t="n">
        <v>2</v>
      </c>
      <c r="AC70" t="n">
        <v>2</v>
      </c>
      <c r="AD70" t="n">
        <v>5</v>
      </c>
      <c r="AE70" t="n">
        <v>5</v>
      </c>
      <c r="AF70" t="n">
        <v>2</v>
      </c>
      <c r="AG70" t="n">
        <v>2</v>
      </c>
      <c r="AH70" t="n">
        <v>1</v>
      </c>
      <c r="AI70" t="n">
        <v>1</v>
      </c>
      <c r="AJ70" t="n">
        <v>1</v>
      </c>
      <c r="AK70" t="n">
        <v>1</v>
      </c>
      <c r="AL70" t="n">
        <v>1</v>
      </c>
      <c r="AM70" t="n">
        <v>1</v>
      </c>
      <c r="AN70" t="n">
        <v>0</v>
      </c>
      <c r="AO70" t="n">
        <v>0</v>
      </c>
      <c r="AP70" t="inlineStr">
        <is>
          <t>No</t>
        </is>
      </c>
      <c r="AQ70" t="inlineStr">
        <is>
          <t>No</t>
        </is>
      </c>
      <c r="AS70">
        <f>HYPERLINK("https://creighton-primo.hosted.exlibrisgroup.com/primo-explore/search?tab=default_tab&amp;search_scope=EVERYTHING&amp;vid=01CRU&amp;lang=en_US&amp;offset=0&amp;query=any,contains,991003054559702656","Catalog Record")</f>
        <v/>
      </c>
      <c r="AT70">
        <f>HYPERLINK("http://www.worldcat.org/oclc/43679248","WorldCat Record")</f>
        <v/>
      </c>
      <c r="AU70" t="inlineStr">
        <is>
          <t>4762624204:eng</t>
        </is>
      </c>
      <c r="AV70" t="inlineStr">
        <is>
          <t>43679248</t>
        </is>
      </c>
      <c r="AW70" t="inlineStr">
        <is>
          <t>991003054559702656</t>
        </is>
      </c>
      <c r="AX70" t="inlineStr">
        <is>
          <t>991003054559702656</t>
        </is>
      </c>
      <c r="AY70" t="inlineStr">
        <is>
          <t>2268301160002656</t>
        </is>
      </c>
      <c r="AZ70" t="inlineStr">
        <is>
          <t>BOOK</t>
        </is>
      </c>
      <c r="BC70" t="inlineStr">
        <is>
          <t>32285003675344</t>
        </is>
      </c>
      <c r="BD70" t="inlineStr">
        <is>
          <t>893352666</t>
        </is>
      </c>
    </row>
    <row r="71">
      <c r="A71" t="inlineStr">
        <is>
          <t>No</t>
        </is>
      </c>
      <c r="B71" t="inlineStr">
        <is>
          <t>RC1200 .C34 2000, v.19, no.3</t>
        </is>
      </c>
      <c r="C71" t="inlineStr">
        <is>
          <t>0                      RC 1200000C  34          2000                                        v.19, no.3</t>
        </is>
      </c>
      <c r="D71" t="inlineStr">
        <is>
          <t>The dislocated knee / Darren L. Johnson, guest editor.</t>
        </is>
      </c>
      <c r="E71" t="inlineStr">
        <is>
          <t>V. 19 NO. 3</t>
        </is>
      </c>
      <c r="F71" t="inlineStr">
        <is>
          <t>No</t>
        </is>
      </c>
      <c r="G71" t="inlineStr">
        <is>
          <t>1</t>
        </is>
      </c>
      <c r="H71" t="inlineStr">
        <is>
          <t>No</t>
        </is>
      </c>
      <c r="I71" t="inlineStr">
        <is>
          <t>No</t>
        </is>
      </c>
      <c r="J71" t="inlineStr">
        <is>
          <t>0</t>
        </is>
      </c>
      <c r="L71" t="inlineStr">
        <is>
          <t>Philadelphia : W.B. Saunders, 2000.</t>
        </is>
      </c>
      <c r="M71" t="inlineStr">
        <is>
          <t>2000</t>
        </is>
      </c>
      <c r="O71" t="inlineStr">
        <is>
          <t>eng</t>
        </is>
      </c>
      <c r="P71" t="inlineStr">
        <is>
          <t>pau</t>
        </is>
      </c>
      <c r="Q71" t="inlineStr">
        <is>
          <t>Clinics in sports medicine, 0278-5919 ; v. 19, no. 3</t>
        </is>
      </c>
      <c r="R71" t="inlineStr">
        <is>
          <t xml:space="preserve">RC </t>
        </is>
      </c>
      <c r="S71" t="n">
        <v>4</v>
      </c>
      <c r="T71" t="n">
        <v>4</v>
      </c>
      <c r="U71" t="inlineStr">
        <is>
          <t>2007-12-19</t>
        </is>
      </c>
      <c r="V71" t="inlineStr">
        <is>
          <t>2007-12-19</t>
        </is>
      </c>
      <c r="W71" t="inlineStr">
        <is>
          <t>2000-08-24</t>
        </is>
      </c>
      <c r="X71" t="inlineStr">
        <is>
          <t>2000-08-24</t>
        </is>
      </c>
      <c r="Y71" t="n">
        <v>54</v>
      </c>
      <c r="Z71" t="n">
        <v>45</v>
      </c>
      <c r="AA71" t="n">
        <v>45</v>
      </c>
      <c r="AB71" t="n">
        <v>2</v>
      </c>
      <c r="AC71" t="n">
        <v>2</v>
      </c>
      <c r="AD71" t="n">
        <v>5</v>
      </c>
      <c r="AE71" t="n">
        <v>5</v>
      </c>
      <c r="AF71" t="n">
        <v>2</v>
      </c>
      <c r="AG71" t="n">
        <v>2</v>
      </c>
      <c r="AH71" t="n">
        <v>1</v>
      </c>
      <c r="AI71" t="n">
        <v>1</v>
      </c>
      <c r="AJ71" t="n">
        <v>1</v>
      </c>
      <c r="AK71" t="n">
        <v>1</v>
      </c>
      <c r="AL71" t="n">
        <v>1</v>
      </c>
      <c r="AM71" t="n">
        <v>1</v>
      </c>
      <c r="AN71" t="n">
        <v>0</v>
      </c>
      <c r="AO71" t="n">
        <v>0</v>
      </c>
      <c r="AP71" t="inlineStr">
        <is>
          <t>No</t>
        </is>
      </c>
      <c r="AQ71" t="inlineStr">
        <is>
          <t>No</t>
        </is>
      </c>
      <c r="AS71">
        <f>HYPERLINK("https://creighton-primo.hosted.exlibrisgroup.com/primo-explore/search?tab=default_tab&amp;search_scope=EVERYTHING&amp;vid=01CRU&amp;lang=en_US&amp;offset=0&amp;query=any,contains,991003272449702656","Catalog Record")</f>
        <v/>
      </c>
      <c r="AT71">
        <f>HYPERLINK("http://www.worldcat.org/oclc/44608452","WorldCat Record")</f>
        <v/>
      </c>
      <c r="AU71" t="inlineStr">
        <is>
          <t>3858225542:eng</t>
        </is>
      </c>
      <c r="AV71" t="inlineStr">
        <is>
          <t>44608452</t>
        </is>
      </c>
      <c r="AW71" t="inlineStr">
        <is>
          <t>991003272449702656</t>
        </is>
      </c>
      <c r="AX71" t="inlineStr">
        <is>
          <t>991003272449702656</t>
        </is>
      </c>
      <c r="AY71" t="inlineStr">
        <is>
          <t>2265227430002656</t>
        </is>
      </c>
      <c r="AZ71" t="inlineStr">
        <is>
          <t>BOOK</t>
        </is>
      </c>
      <c r="BC71" t="inlineStr">
        <is>
          <t>32285003759361</t>
        </is>
      </c>
      <c r="BD71" t="inlineStr">
        <is>
          <t>893711213</t>
        </is>
      </c>
    </row>
    <row r="72">
      <c r="A72" t="inlineStr">
        <is>
          <t>No</t>
        </is>
      </c>
      <c r="B72" t="inlineStr">
        <is>
          <t>RC1200 .C34 2001 v.20 no.1</t>
        </is>
      </c>
      <c r="C72" t="inlineStr">
        <is>
          <t>0                      RC 1200000C  34          2001                                        v.20 no.1</t>
        </is>
      </c>
      <c r="D72" t="inlineStr">
        <is>
          <t>Arthroscopic surgery for athletic elbow and wrist injuries / Felix H. Savoie III, and Larry D. Field, guest editors.</t>
        </is>
      </c>
      <c r="E72" t="inlineStr">
        <is>
          <t>V. 20 NO. 1</t>
        </is>
      </c>
      <c r="F72" t="inlineStr">
        <is>
          <t>No</t>
        </is>
      </c>
      <c r="G72" t="inlineStr">
        <is>
          <t>1</t>
        </is>
      </c>
      <c r="H72" t="inlineStr">
        <is>
          <t>No</t>
        </is>
      </c>
      <c r="I72" t="inlineStr">
        <is>
          <t>No</t>
        </is>
      </c>
      <c r="J72" t="inlineStr">
        <is>
          <t>0</t>
        </is>
      </c>
      <c r="L72" t="inlineStr">
        <is>
          <t>Philadelphia : W.B. Saunders, 2001.</t>
        </is>
      </c>
      <c r="M72" t="inlineStr">
        <is>
          <t>2001</t>
        </is>
      </c>
      <c r="O72" t="inlineStr">
        <is>
          <t>eng</t>
        </is>
      </c>
      <c r="P72" t="inlineStr">
        <is>
          <t>pau</t>
        </is>
      </c>
      <c r="Q72" t="inlineStr">
        <is>
          <t>Clinics in sports medicine, 0278-5919 ; vol. 20, no. 1</t>
        </is>
      </c>
      <c r="R72" t="inlineStr">
        <is>
          <t xml:space="preserve">RC </t>
        </is>
      </c>
      <c r="S72" t="n">
        <v>1</v>
      </c>
      <c r="T72" t="n">
        <v>1</v>
      </c>
      <c r="U72" t="inlineStr">
        <is>
          <t>2001-02-27</t>
        </is>
      </c>
      <c r="V72" t="inlineStr">
        <is>
          <t>2001-02-27</t>
        </is>
      </c>
      <c r="W72" t="inlineStr">
        <is>
          <t>2001-02-27</t>
        </is>
      </c>
      <c r="X72" t="inlineStr">
        <is>
          <t>2001-02-27</t>
        </is>
      </c>
      <c r="Y72" t="n">
        <v>59</v>
      </c>
      <c r="Z72" t="n">
        <v>50</v>
      </c>
      <c r="AA72" t="n">
        <v>50</v>
      </c>
      <c r="AB72" t="n">
        <v>2</v>
      </c>
      <c r="AC72" t="n">
        <v>2</v>
      </c>
      <c r="AD72" t="n">
        <v>5</v>
      </c>
      <c r="AE72" t="n">
        <v>5</v>
      </c>
      <c r="AF72" t="n">
        <v>2</v>
      </c>
      <c r="AG72" t="n">
        <v>2</v>
      </c>
      <c r="AH72" t="n">
        <v>1</v>
      </c>
      <c r="AI72" t="n">
        <v>1</v>
      </c>
      <c r="AJ72" t="n">
        <v>1</v>
      </c>
      <c r="AK72" t="n">
        <v>1</v>
      </c>
      <c r="AL72" t="n">
        <v>1</v>
      </c>
      <c r="AM72" t="n">
        <v>1</v>
      </c>
      <c r="AN72" t="n">
        <v>0</v>
      </c>
      <c r="AO72" t="n">
        <v>0</v>
      </c>
      <c r="AP72" t="inlineStr">
        <is>
          <t>No</t>
        </is>
      </c>
      <c r="AQ72" t="inlineStr">
        <is>
          <t>No</t>
        </is>
      </c>
      <c r="AS72">
        <f>HYPERLINK("https://creighton-primo.hosted.exlibrisgroup.com/primo-explore/search?tab=default_tab&amp;search_scope=EVERYTHING&amp;vid=01CRU&amp;lang=en_US&amp;offset=0&amp;query=any,contains,991003498029702656","Catalog Record")</f>
        <v/>
      </c>
      <c r="AT72">
        <f>HYPERLINK("http://www.worldcat.org/oclc/45997572","WorldCat Record")</f>
        <v/>
      </c>
      <c r="AU72" t="inlineStr">
        <is>
          <t>3858575091:eng</t>
        </is>
      </c>
      <c r="AV72" t="inlineStr">
        <is>
          <t>45997572</t>
        </is>
      </c>
      <c r="AW72" t="inlineStr">
        <is>
          <t>991003498029702656</t>
        </is>
      </c>
      <c r="AX72" t="inlineStr">
        <is>
          <t>991003498029702656</t>
        </is>
      </c>
      <c r="AY72" t="inlineStr">
        <is>
          <t>2255780470002656</t>
        </is>
      </c>
      <c r="AZ72" t="inlineStr">
        <is>
          <t>BOOK</t>
        </is>
      </c>
      <c r="BC72" t="inlineStr">
        <is>
          <t>32285004298062</t>
        </is>
      </c>
      <c r="BD72" t="inlineStr">
        <is>
          <t>893441341</t>
        </is>
      </c>
    </row>
    <row r="73">
      <c r="A73" t="inlineStr">
        <is>
          <t>No</t>
        </is>
      </c>
      <c r="B73" t="inlineStr">
        <is>
          <t>RC1200 .C34 2001 v.20 no.2</t>
        </is>
      </c>
      <c r="C73" t="inlineStr">
        <is>
          <t>0                      RC 1200000C  34          2001                                        v.20 no.2</t>
        </is>
      </c>
      <c r="D73" t="inlineStr">
        <is>
          <t>Osteochondral injuries of the knee / Robert C. Schenck, Jr., guest editor.</t>
        </is>
      </c>
      <c r="E73" t="inlineStr">
        <is>
          <t>V. 20 NO. 2</t>
        </is>
      </c>
      <c r="F73" t="inlineStr">
        <is>
          <t>No</t>
        </is>
      </c>
      <c r="G73" t="inlineStr">
        <is>
          <t>1</t>
        </is>
      </c>
      <c r="H73" t="inlineStr">
        <is>
          <t>No</t>
        </is>
      </c>
      <c r="I73" t="inlineStr">
        <is>
          <t>No</t>
        </is>
      </c>
      <c r="J73" t="inlineStr">
        <is>
          <t>0</t>
        </is>
      </c>
      <c r="L73" t="inlineStr">
        <is>
          <t>Philadelphia : W.B. Saunders Co., c2001.</t>
        </is>
      </c>
      <c r="M73" t="inlineStr">
        <is>
          <t>2001</t>
        </is>
      </c>
      <c r="O73" t="inlineStr">
        <is>
          <t>eng</t>
        </is>
      </c>
      <c r="P73" t="inlineStr">
        <is>
          <t>pau</t>
        </is>
      </c>
      <c r="Q73" t="inlineStr">
        <is>
          <t>Clinics in sports medicine, 0278-5919 ; v. 20, no. 2</t>
        </is>
      </c>
      <c r="R73" t="inlineStr">
        <is>
          <t xml:space="preserve">RC </t>
        </is>
      </c>
      <c r="S73" t="n">
        <v>1</v>
      </c>
      <c r="T73" t="n">
        <v>1</v>
      </c>
      <c r="U73" t="inlineStr">
        <is>
          <t>2001-06-06</t>
        </is>
      </c>
      <c r="V73" t="inlineStr">
        <is>
          <t>2001-06-06</t>
        </is>
      </c>
      <c r="W73" t="inlineStr">
        <is>
          <t>2001-06-05</t>
        </is>
      </c>
      <c r="X73" t="inlineStr">
        <is>
          <t>2001-06-05</t>
        </is>
      </c>
      <c r="Y73" t="n">
        <v>60</v>
      </c>
      <c r="Z73" t="n">
        <v>50</v>
      </c>
      <c r="AA73" t="n">
        <v>50</v>
      </c>
      <c r="AB73" t="n">
        <v>2</v>
      </c>
      <c r="AC73" t="n">
        <v>2</v>
      </c>
      <c r="AD73" t="n">
        <v>5</v>
      </c>
      <c r="AE73" t="n">
        <v>5</v>
      </c>
      <c r="AF73" t="n">
        <v>2</v>
      </c>
      <c r="AG73" t="n">
        <v>2</v>
      </c>
      <c r="AH73" t="n">
        <v>1</v>
      </c>
      <c r="AI73" t="n">
        <v>1</v>
      </c>
      <c r="AJ73" t="n">
        <v>1</v>
      </c>
      <c r="AK73" t="n">
        <v>1</v>
      </c>
      <c r="AL73" t="n">
        <v>1</v>
      </c>
      <c r="AM73" t="n">
        <v>1</v>
      </c>
      <c r="AN73" t="n">
        <v>0</v>
      </c>
      <c r="AO73" t="n">
        <v>0</v>
      </c>
      <c r="AP73" t="inlineStr">
        <is>
          <t>No</t>
        </is>
      </c>
      <c r="AQ73" t="inlineStr">
        <is>
          <t>No</t>
        </is>
      </c>
      <c r="AS73">
        <f>HYPERLINK("https://creighton-primo.hosted.exlibrisgroup.com/primo-explore/search?tab=default_tab&amp;search_scope=EVERYTHING&amp;vid=01CRU&amp;lang=en_US&amp;offset=0&amp;query=any,contains,991003552979702656","Catalog Record")</f>
        <v/>
      </c>
      <c r="AT73">
        <f>HYPERLINK("http://www.worldcat.org/oclc/47048181","WorldCat Record")</f>
        <v/>
      </c>
      <c r="AU73" t="inlineStr">
        <is>
          <t>364238774:eng</t>
        </is>
      </c>
      <c r="AV73" t="inlineStr">
        <is>
          <t>47048181</t>
        </is>
      </c>
      <c r="AW73" t="inlineStr">
        <is>
          <t>991003552979702656</t>
        </is>
      </c>
      <c r="AX73" t="inlineStr">
        <is>
          <t>991003552979702656</t>
        </is>
      </c>
      <c r="AY73" t="inlineStr">
        <is>
          <t>2271725990002656</t>
        </is>
      </c>
      <c r="AZ73" t="inlineStr">
        <is>
          <t>BOOK</t>
        </is>
      </c>
      <c r="BC73" t="inlineStr">
        <is>
          <t>32285004325352</t>
        </is>
      </c>
      <c r="BD73" t="inlineStr">
        <is>
          <t>893617459</t>
        </is>
      </c>
    </row>
    <row r="74">
      <c r="A74" t="inlineStr">
        <is>
          <t>No</t>
        </is>
      </c>
      <c r="B74" t="inlineStr">
        <is>
          <t>RC1200 .C34 2001 v.20 no.3</t>
        </is>
      </c>
      <c r="C74" t="inlineStr">
        <is>
          <t>0                      RC 1200000C  34          2001                                        v.20 no.3</t>
        </is>
      </c>
      <c r="D74" t="inlineStr">
        <is>
          <t>Overuse injuries in the upper extremity / Champ L. Baker, Jr., guest editor.</t>
        </is>
      </c>
      <c r="E74" t="inlineStr">
        <is>
          <t>V. 20 NO. 3</t>
        </is>
      </c>
      <c r="F74" t="inlineStr">
        <is>
          <t>No</t>
        </is>
      </c>
      <c r="G74" t="inlineStr">
        <is>
          <t>1</t>
        </is>
      </c>
      <c r="H74" t="inlineStr">
        <is>
          <t>No</t>
        </is>
      </c>
      <c r="I74" t="inlineStr">
        <is>
          <t>No</t>
        </is>
      </c>
      <c r="J74" t="inlineStr">
        <is>
          <t>0</t>
        </is>
      </c>
      <c r="L74" t="inlineStr">
        <is>
          <t>Philadelphia : W.B. Saunders Company, c2001.</t>
        </is>
      </c>
      <c r="M74" t="inlineStr">
        <is>
          <t>2001</t>
        </is>
      </c>
      <c r="O74" t="inlineStr">
        <is>
          <t>eng</t>
        </is>
      </c>
      <c r="P74" t="inlineStr">
        <is>
          <t>pau</t>
        </is>
      </c>
      <c r="Q74" t="inlineStr">
        <is>
          <t>Clinics in sports medicine, 0278-5919 ; v. 20, no. 3</t>
        </is>
      </c>
      <c r="R74" t="inlineStr">
        <is>
          <t xml:space="preserve">RC </t>
        </is>
      </c>
      <c r="S74" t="n">
        <v>4</v>
      </c>
      <c r="T74" t="n">
        <v>4</v>
      </c>
      <c r="U74" t="inlineStr">
        <is>
          <t>2001-08-30</t>
        </is>
      </c>
      <c r="V74" t="inlineStr">
        <is>
          <t>2001-08-30</t>
        </is>
      </c>
      <c r="W74" t="inlineStr">
        <is>
          <t>2001-08-30</t>
        </is>
      </c>
      <c r="X74" t="inlineStr">
        <is>
          <t>2001-08-30</t>
        </is>
      </c>
      <c r="Y74" t="n">
        <v>54</v>
      </c>
      <c r="Z74" t="n">
        <v>46</v>
      </c>
      <c r="AA74" t="n">
        <v>46</v>
      </c>
      <c r="AB74" t="n">
        <v>2</v>
      </c>
      <c r="AC74" t="n">
        <v>2</v>
      </c>
      <c r="AD74" t="n">
        <v>5</v>
      </c>
      <c r="AE74" t="n">
        <v>5</v>
      </c>
      <c r="AF74" t="n">
        <v>2</v>
      </c>
      <c r="AG74" t="n">
        <v>2</v>
      </c>
      <c r="AH74" t="n">
        <v>1</v>
      </c>
      <c r="AI74" t="n">
        <v>1</v>
      </c>
      <c r="AJ74" t="n">
        <v>1</v>
      </c>
      <c r="AK74" t="n">
        <v>1</v>
      </c>
      <c r="AL74" t="n">
        <v>1</v>
      </c>
      <c r="AM74" t="n">
        <v>1</v>
      </c>
      <c r="AN74" t="n">
        <v>0</v>
      </c>
      <c r="AO74" t="n">
        <v>0</v>
      </c>
      <c r="AP74" t="inlineStr">
        <is>
          <t>No</t>
        </is>
      </c>
      <c r="AQ74" t="inlineStr">
        <is>
          <t>No</t>
        </is>
      </c>
      <c r="AS74">
        <f>HYPERLINK("https://creighton-primo.hosted.exlibrisgroup.com/primo-explore/search?tab=default_tab&amp;search_scope=EVERYTHING&amp;vid=01CRU&amp;lang=en_US&amp;offset=0&amp;query=any,contains,991003615229702656","Catalog Record")</f>
        <v/>
      </c>
      <c r="AT74">
        <f>HYPERLINK("http://www.worldcat.org/oclc/47673376","WorldCat Record")</f>
        <v/>
      </c>
      <c r="AU74" t="inlineStr">
        <is>
          <t>36810090:eng</t>
        </is>
      </c>
      <c r="AV74" t="inlineStr">
        <is>
          <t>47673376</t>
        </is>
      </c>
      <c r="AW74" t="inlineStr">
        <is>
          <t>991003615229702656</t>
        </is>
      </c>
      <c r="AX74" t="inlineStr">
        <is>
          <t>991003615229702656</t>
        </is>
      </c>
      <c r="AY74" t="inlineStr">
        <is>
          <t>2261376740002656</t>
        </is>
      </c>
      <c r="AZ74" t="inlineStr">
        <is>
          <t>BOOK</t>
        </is>
      </c>
      <c r="BC74" t="inlineStr">
        <is>
          <t>32285004383385</t>
        </is>
      </c>
      <c r="BD74" t="inlineStr">
        <is>
          <t>893900175</t>
        </is>
      </c>
    </row>
    <row r="75">
      <c r="A75" t="inlineStr">
        <is>
          <t>No</t>
        </is>
      </c>
      <c r="B75" t="inlineStr">
        <is>
          <t>RC1200 .C34 2001 v.20 no.4</t>
        </is>
      </c>
      <c r="C75" t="inlineStr">
        <is>
          <t>0                      RC 1200000C  34          2001                                        v.20 no.4</t>
        </is>
      </c>
      <c r="D75" t="inlineStr">
        <is>
          <t>Hip arthroscopy / J. W. Thomas Byrd, guest editor.</t>
        </is>
      </c>
      <c r="E75" t="inlineStr">
        <is>
          <t>V. 20 NO. 4</t>
        </is>
      </c>
      <c r="F75" t="inlineStr">
        <is>
          <t>No</t>
        </is>
      </c>
      <c r="G75" t="inlineStr">
        <is>
          <t>1</t>
        </is>
      </c>
      <c r="H75" t="inlineStr">
        <is>
          <t>No</t>
        </is>
      </c>
      <c r="I75" t="inlineStr">
        <is>
          <t>No</t>
        </is>
      </c>
      <c r="J75" t="inlineStr">
        <is>
          <t>0</t>
        </is>
      </c>
      <c r="L75" t="inlineStr">
        <is>
          <t>Philadelphia : W.B. Saunders, 2001.</t>
        </is>
      </c>
      <c r="M75" t="inlineStr">
        <is>
          <t>2001</t>
        </is>
      </c>
      <c r="O75" t="inlineStr">
        <is>
          <t>eng</t>
        </is>
      </c>
      <c r="P75" t="inlineStr">
        <is>
          <t>pau</t>
        </is>
      </c>
      <c r="Q75" t="inlineStr">
        <is>
          <t>Clinics in sports medicine, 0278-5919 ; vol. 20, no. 4</t>
        </is>
      </c>
      <c r="R75" t="inlineStr">
        <is>
          <t xml:space="preserve">RC </t>
        </is>
      </c>
      <c r="S75" t="n">
        <v>2</v>
      </c>
      <c r="T75" t="n">
        <v>2</v>
      </c>
      <c r="U75" t="inlineStr">
        <is>
          <t>2001-11-06</t>
        </is>
      </c>
      <c r="V75" t="inlineStr">
        <is>
          <t>2001-11-06</t>
        </is>
      </c>
      <c r="W75" t="inlineStr">
        <is>
          <t>2001-11-05</t>
        </is>
      </c>
      <c r="X75" t="inlineStr">
        <is>
          <t>2001-11-05</t>
        </is>
      </c>
      <c r="Y75" t="n">
        <v>54</v>
      </c>
      <c r="Z75" t="n">
        <v>46</v>
      </c>
      <c r="AA75" t="n">
        <v>69</v>
      </c>
      <c r="AB75" t="n">
        <v>2</v>
      </c>
      <c r="AC75" t="n">
        <v>2</v>
      </c>
      <c r="AD75" t="n">
        <v>5</v>
      </c>
      <c r="AE75" t="n">
        <v>5</v>
      </c>
      <c r="AF75" t="n">
        <v>2</v>
      </c>
      <c r="AG75" t="n">
        <v>2</v>
      </c>
      <c r="AH75" t="n">
        <v>1</v>
      </c>
      <c r="AI75" t="n">
        <v>1</v>
      </c>
      <c r="AJ75" t="n">
        <v>1</v>
      </c>
      <c r="AK75" t="n">
        <v>1</v>
      </c>
      <c r="AL75" t="n">
        <v>1</v>
      </c>
      <c r="AM75" t="n">
        <v>1</v>
      </c>
      <c r="AN75" t="n">
        <v>0</v>
      </c>
      <c r="AO75" t="n">
        <v>0</v>
      </c>
      <c r="AP75" t="inlineStr">
        <is>
          <t>No</t>
        </is>
      </c>
      <c r="AQ75" t="inlineStr">
        <is>
          <t>No</t>
        </is>
      </c>
      <c r="AS75">
        <f>HYPERLINK("https://creighton-primo.hosted.exlibrisgroup.com/primo-explore/search?tab=default_tab&amp;search_scope=EVERYTHING&amp;vid=01CRU&amp;lang=en_US&amp;offset=0&amp;query=any,contains,991003670009702656","Catalog Record")</f>
        <v/>
      </c>
      <c r="AT75">
        <f>HYPERLINK("http://www.worldcat.org/oclc/48135061","WorldCat Record")</f>
        <v/>
      </c>
      <c r="AU75" t="inlineStr">
        <is>
          <t>2760543077:eng</t>
        </is>
      </c>
      <c r="AV75" t="inlineStr">
        <is>
          <t>48135061</t>
        </is>
      </c>
      <c r="AW75" t="inlineStr">
        <is>
          <t>991003670009702656</t>
        </is>
      </c>
      <c r="AX75" t="inlineStr">
        <is>
          <t>991003670009702656</t>
        </is>
      </c>
      <c r="AY75" t="inlineStr">
        <is>
          <t>2257690880002656</t>
        </is>
      </c>
      <c r="AZ75" t="inlineStr">
        <is>
          <t>BOOK</t>
        </is>
      </c>
      <c r="BC75" t="inlineStr">
        <is>
          <t>32285004417951</t>
        </is>
      </c>
      <c r="BD75" t="inlineStr">
        <is>
          <t>893717955</t>
        </is>
      </c>
    </row>
    <row r="76">
      <c r="A76" t="inlineStr">
        <is>
          <t>No</t>
        </is>
      </c>
      <c r="B76" t="inlineStr">
        <is>
          <t>RC1200 .C34 2002 v. 21 no. 1</t>
        </is>
      </c>
      <c r="C76" t="inlineStr">
        <is>
          <t>0                      RC 1200000C  34          2002                                        v. 21 no. 1</t>
        </is>
      </c>
      <c r="D76" t="inlineStr">
        <is>
          <t>The spine and sports / William C. Lauerman, guest editor.</t>
        </is>
      </c>
      <c r="E76" t="inlineStr">
        <is>
          <t>V. 21 NO. 1</t>
        </is>
      </c>
      <c r="F76" t="inlineStr">
        <is>
          <t>No</t>
        </is>
      </c>
      <c r="G76" t="inlineStr">
        <is>
          <t>1</t>
        </is>
      </c>
      <c r="H76" t="inlineStr">
        <is>
          <t>No</t>
        </is>
      </c>
      <c r="I76" t="inlineStr">
        <is>
          <t>No</t>
        </is>
      </c>
      <c r="J76" t="inlineStr">
        <is>
          <t>0</t>
        </is>
      </c>
      <c r="L76" t="inlineStr">
        <is>
          <t>Philadelphia : W.B. Saunders, 2001.</t>
        </is>
      </c>
      <c r="M76" t="inlineStr">
        <is>
          <t>2001</t>
        </is>
      </c>
      <c r="O76" t="inlineStr">
        <is>
          <t>eng</t>
        </is>
      </c>
      <c r="P76" t="inlineStr">
        <is>
          <t>pau</t>
        </is>
      </c>
      <c r="Q76" t="inlineStr">
        <is>
          <t>Clinics in sports medicine, 0278-5919 ; vol. 21, no. 1</t>
        </is>
      </c>
      <c r="R76" t="inlineStr">
        <is>
          <t xml:space="preserve">RC </t>
        </is>
      </c>
      <c r="S76" t="n">
        <v>2</v>
      </c>
      <c r="T76" t="n">
        <v>2</v>
      </c>
      <c r="U76" t="inlineStr">
        <is>
          <t>2003-02-08</t>
        </is>
      </c>
      <c r="V76" t="inlineStr">
        <is>
          <t>2003-02-08</t>
        </is>
      </c>
      <c r="W76" t="inlineStr">
        <is>
          <t>2002-05-16</t>
        </is>
      </c>
      <c r="X76" t="inlineStr">
        <is>
          <t>2002-05-16</t>
        </is>
      </c>
      <c r="Y76" t="n">
        <v>50</v>
      </c>
      <c r="Z76" t="n">
        <v>48</v>
      </c>
      <c r="AA76" t="n">
        <v>53</v>
      </c>
      <c r="AB76" t="n">
        <v>1</v>
      </c>
      <c r="AC76" t="n">
        <v>2</v>
      </c>
      <c r="AD76" t="n">
        <v>4</v>
      </c>
      <c r="AE76" t="n">
        <v>5</v>
      </c>
      <c r="AF76" t="n">
        <v>2</v>
      </c>
      <c r="AG76" t="n">
        <v>2</v>
      </c>
      <c r="AH76" t="n">
        <v>1</v>
      </c>
      <c r="AI76" t="n">
        <v>1</v>
      </c>
      <c r="AJ76" t="n">
        <v>1</v>
      </c>
      <c r="AK76" t="n">
        <v>1</v>
      </c>
      <c r="AL76" t="n">
        <v>0</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HYPERLINK("https://creighton-primo.hosted.exlibrisgroup.com/primo-explore/search?tab=default_tab&amp;search_scope=EVERYTHING&amp;vid=01CRU&amp;lang=en_US&amp;offset=0&amp;query=any,contains,991003811089702656","Catalog Record")</f>
        <v/>
      </c>
      <c r="AT76">
        <f>HYPERLINK("http://www.worldcat.org/oclc/49215185","WorldCat Record")</f>
        <v/>
      </c>
      <c r="AU76" t="inlineStr">
        <is>
          <t>38355209:eng</t>
        </is>
      </c>
      <c r="AV76" t="inlineStr">
        <is>
          <t>49215185</t>
        </is>
      </c>
      <c r="AW76" t="inlineStr">
        <is>
          <t>991003811089702656</t>
        </is>
      </c>
      <c r="AX76" t="inlineStr">
        <is>
          <t>991003811089702656</t>
        </is>
      </c>
      <c r="AY76" t="inlineStr">
        <is>
          <t>2266497980002656</t>
        </is>
      </c>
      <c r="AZ76" t="inlineStr">
        <is>
          <t>BOOK</t>
        </is>
      </c>
      <c r="BC76" t="inlineStr">
        <is>
          <t>32285004458773</t>
        </is>
      </c>
      <c r="BD76" t="inlineStr">
        <is>
          <t>893228496</t>
        </is>
      </c>
    </row>
    <row r="77">
      <c r="A77" t="inlineStr">
        <is>
          <t>No</t>
        </is>
      </c>
      <c r="B77" t="inlineStr">
        <is>
          <t>RC1200 .C34 2002 v. 21 no. 2</t>
        </is>
      </c>
      <c r="C77" t="inlineStr">
        <is>
          <t>0                      RC 1200000C  34          2002                                        v. 21 no. 2</t>
        </is>
      </c>
      <c r="D77" t="inlineStr">
        <is>
          <t>Practice management / Jack M. Bert, guest editor.</t>
        </is>
      </c>
      <c r="E77" t="inlineStr">
        <is>
          <t>V. 21 NO. 2</t>
        </is>
      </c>
      <c r="F77" t="inlineStr">
        <is>
          <t>No</t>
        </is>
      </c>
      <c r="G77" t="inlineStr">
        <is>
          <t>1</t>
        </is>
      </c>
      <c r="H77" t="inlineStr">
        <is>
          <t>No</t>
        </is>
      </c>
      <c r="I77" t="inlineStr">
        <is>
          <t>No</t>
        </is>
      </c>
      <c r="J77" t="inlineStr">
        <is>
          <t>0</t>
        </is>
      </c>
      <c r="L77" t="inlineStr">
        <is>
          <t>Philadelphia : W.B. Saunders Co., c2002.</t>
        </is>
      </c>
      <c r="M77" t="inlineStr">
        <is>
          <t>2002</t>
        </is>
      </c>
      <c r="O77" t="inlineStr">
        <is>
          <t>eng</t>
        </is>
      </c>
      <c r="P77" t="inlineStr">
        <is>
          <t>pau</t>
        </is>
      </c>
      <c r="Q77" t="inlineStr">
        <is>
          <t>Clinics in sports medicine, 0278-5919 ; v. 21, no. 2</t>
        </is>
      </c>
      <c r="R77" t="inlineStr">
        <is>
          <t xml:space="preserve">RC </t>
        </is>
      </c>
      <c r="S77" t="n">
        <v>2</v>
      </c>
      <c r="T77" t="n">
        <v>2</v>
      </c>
      <c r="U77" t="inlineStr">
        <is>
          <t>2002-09-30</t>
        </is>
      </c>
      <c r="V77" t="inlineStr">
        <is>
          <t>2002-09-30</t>
        </is>
      </c>
      <c r="W77" t="inlineStr">
        <is>
          <t>2002-09-30</t>
        </is>
      </c>
      <c r="X77" t="inlineStr">
        <is>
          <t>2002-09-30</t>
        </is>
      </c>
      <c r="Y77" t="n">
        <v>57</v>
      </c>
      <c r="Z77" t="n">
        <v>51</v>
      </c>
      <c r="AA77" t="n">
        <v>51</v>
      </c>
      <c r="AB77" t="n">
        <v>2</v>
      </c>
      <c r="AC77" t="n">
        <v>2</v>
      </c>
      <c r="AD77" t="n">
        <v>5</v>
      </c>
      <c r="AE77" t="n">
        <v>5</v>
      </c>
      <c r="AF77" t="n">
        <v>2</v>
      </c>
      <c r="AG77" t="n">
        <v>2</v>
      </c>
      <c r="AH77" t="n">
        <v>1</v>
      </c>
      <c r="AI77" t="n">
        <v>1</v>
      </c>
      <c r="AJ77" t="n">
        <v>1</v>
      </c>
      <c r="AK77" t="n">
        <v>1</v>
      </c>
      <c r="AL77" t="n">
        <v>1</v>
      </c>
      <c r="AM77" t="n">
        <v>1</v>
      </c>
      <c r="AN77" t="n">
        <v>0</v>
      </c>
      <c r="AO77" t="n">
        <v>0</v>
      </c>
      <c r="AP77" t="inlineStr">
        <is>
          <t>No</t>
        </is>
      </c>
      <c r="AQ77" t="inlineStr">
        <is>
          <t>No</t>
        </is>
      </c>
      <c r="AS77">
        <f>HYPERLINK("https://creighton-primo.hosted.exlibrisgroup.com/primo-explore/search?tab=default_tab&amp;search_scope=EVERYTHING&amp;vid=01CRU&amp;lang=en_US&amp;offset=0&amp;query=any,contains,991003900549702656","Catalog Record")</f>
        <v/>
      </c>
      <c r="AT77">
        <f>HYPERLINK("http://www.worldcat.org/oclc/50142182","WorldCat Record")</f>
        <v/>
      </c>
      <c r="AU77" t="inlineStr">
        <is>
          <t>56834664:eng</t>
        </is>
      </c>
      <c r="AV77" t="inlineStr">
        <is>
          <t>50142182</t>
        </is>
      </c>
      <c r="AW77" t="inlineStr">
        <is>
          <t>991003900549702656</t>
        </is>
      </c>
      <c r="AX77" t="inlineStr">
        <is>
          <t>991003900549702656</t>
        </is>
      </c>
      <c r="AY77" t="inlineStr">
        <is>
          <t>2269150140002656</t>
        </is>
      </c>
      <c r="AZ77" t="inlineStr">
        <is>
          <t>BOOK</t>
        </is>
      </c>
      <c r="BC77" t="inlineStr">
        <is>
          <t>32285004640552</t>
        </is>
      </c>
      <c r="BD77" t="inlineStr">
        <is>
          <t>893605376</t>
        </is>
      </c>
    </row>
    <row r="78">
      <c r="A78" t="inlineStr">
        <is>
          <t>No</t>
        </is>
      </c>
      <c r="B78" t="inlineStr">
        <is>
          <t>RC1200 .C34 2002 v. 21 no. 3</t>
        </is>
      </c>
      <c r="C78" t="inlineStr">
        <is>
          <t>0                      RC 1200000C  34          2002                                        v. 21 no. 3</t>
        </is>
      </c>
      <c r="D78" t="inlineStr">
        <is>
          <t>Injuries to the extensor mechanism of the knee / Donald C. Fithian, guest editor ; Mark D. Miller, consulting editor.</t>
        </is>
      </c>
      <c r="E78" t="inlineStr">
        <is>
          <t>V. 21 NO. 3</t>
        </is>
      </c>
      <c r="F78" t="inlineStr">
        <is>
          <t>No</t>
        </is>
      </c>
      <c r="G78" t="inlineStr">
        <is>
          <t>1</t>
        </is>
      </c>
      <c r="H78" t="inlineStr">
        <is>
          <t>No</t>
        </is>
      </c>
      <c r="I78" t="inlineStr">
        <is>
          <t>No</t>
        </is>
      </c>
      <c r="J78" t="inlineStr">
        <is>
          <t>0</t>
        </is>
      </c>
      <c r="L78" t="inlineStr">
        <is>
          <t>Philadelphia : W.B. Saunders Co., c2002.</t>
        </is>
      </c>
      <c r="M78" t="inlineStr">
        <is>
          <t>2002</t>
        </is>
      </c>
      <c r="O78" t="inlineStr">
        <is>
          <t>eng</t>
        </is>
      </c>
      <c r="P78" t="inlineStr">
        <is>
          <t>pau</t>
        </is>
      </c>
      <c r="Q78" t="inlineStr">
        <is>
          <t>Clinics in sports medicine, 0278-5919 ; v. 21, no. 3</t>
        </is>
      </c>
      <c r="R78" t="inlineStr">
        <is>
          <t xml:space="preserve">RC </t>
        </is>
      </c>
      <c r="S78" t="n">
        <v>3</v>
      </c>
      <c r="T78" t="n">
        <v>3</v>
      </c>
      <c r="U78" t="inlineStr">
        <is>
          <t>2007-07-09</t>
        </is>
      </c>
      <c r="V78" t="inlineStr">
        <is>
          <t>2007-07-09</t>
        </is>
      </c>
      <c r="W78" t="inlineStr">
        <is>
          <t>2002-11-20</t>
        </is>
      </c>
      <c r="X78" t="inlineStr">
        <is>
          <t>2002-11-20</t>
        </is>
      </c>
      <c r="Y78" t="n">
        <v>58</v>
      </c>
      <c r="Z78" t="n">
        <v>50</v>
      </c>
      <c r="AA78" t="n">
        <v>50</v>
      </c>
      <c r="AB78" t="n">
        <v>1</v>
      </c>
      <c r="AC78" t="n">
        <v>1</v>
      </c>
      <c r="AD78" t="n">
        <v>4</v>
      </c>
      <c r="AE78" t="n">
        <v>4</v>
      </c>
      <c r="AF78" t="n">
        <v>2</v>
      </c>
      <c r="AG78" t="n">
        <v>2</v>
      </c>
      <c r="AH78" t="n">
        <v>1</v>
      </c>
      <c r="AI78" t="n">
        <v>1</v>
      </c>
      <c r="AJ78" t="n">
        <v>1</v>
      </c>
      <c r="AK78" t="n">
        <v>1</v>
      </c>
      <c r="AL78" t="n">
        <v>0</v>
      </c>
      <c r="AM78" t="n">
        <v>0</v>
      </c>
      <c r="AN78" t="n">
        <v>0</v>
      </c>
      <c r="AO78" t="n">
        <v>0</v>
      </c>
      <c r="AP78" t="inlineStr">
        <is>
          <t>No</t>
        </is>
      </c>
      <c r="AQ78" t="inlineStr">
        <is>
          <t>No</t>
        </is>
      </c>
      <c r="AS78">
        <f>HYPERLINK("https://creighton-primo.hosted.exlibrisgroup.com/primo-explore/search?tab=default_tab&amp;search_scope=EVERYTHING&amp;vid=01CRU&amp;lang=en_US&amp;offset=0&amp;query=any,contains,991003948899702656","Catalog Record")</f>
        <v/>
      </c>
      <c r="AT78">
        <f>HYPERLINK("http://www.worldcat.org/oclc/50688561","WorldCat Record")</f>
        <v/>
      </c>
      <c r="AU78" t="inlineStr">
        <is>
          <t>6602737:eng</t>
        </is>
      </c>
      <c r="AV78" t="inlineStr">
        <is>
          <t>50688561</t>
        </is>
      </c>
      <c r="AW78" t="inlineStr">
        <is>
          <t>991003948899702656</t>
        </is>
      </c>
      <c r="AX78" t="inlineStr">
        <is>
          <t>991003948899702656</t>
        </is>
      </c>
      <c r="AY78" t="inlineStr">
        <is>
          <t>2270316990002656</t>
        </is>
      </c>
      <c r="AZ78" t="inlineStr">
        <is>
          <t>BOOK</t>
        </is>
      </c>
      <c r="BC78" t="inlineStr">
        <is>
          <t>32285004652755</t>
        </is>
      </c>
      <c r="BD78" t="inlineStr">
        <is>
          <t>893253057</t>
        </is>
      </c>
    </row>
    <row r="79">
      <c r="A79" t="inlineStr">
        <is>
          <t>No</t>
        </is>
      </c>
      <c r="B79" t="inlineStr">
        <is>
          <t>RC1200 .C34 2002 v. 21 no. 4</t>
        </is>
      </c>
      <c r="C79" t="inlineStr">
        <is>
          <t>0                      RC 1200000C  34          2002                                        v. 21 no. 4</t>
        </is>
      </c>
      <c r="D79" t="inlineStr">
        <is>
          <t>Thermal energy / Orrin H. Sherman, guest editor ; Mark D. Miller, consulting editor.</t>
        </is>
      </c>
      <c r="E79" t="inlineStr">
        <is>
          <t>V. 21 NO. 4</t>
        </is>
      </c>
      <c r="F79" t="inlineStr">
        <is>
          <t>No</t>
        </is>
      </c>
      <c r="G79" t="inlineStr">
        <is>
          <t>1</t>
        </is>
      </c>
      <c r="H79" t="inlineStr">
        <is>
          <t>No</t>
        </is>
      </c>
      <c r="I79" t="inlineStr">
        <is>
          <t>No</t>
        </is>
      </c>
      <c r="J79" t="inlineStr">
        <is>
          <t>0</t>
        </is>
      </c>
      <c r="L79" t="inlineStr">
        <is>
          <t>Philadelphia : W.B. Saunders Co., c2002.</t>
        </is>
      </c>
      <c r="M79" t="inlineStr">
        <is>
          <t>2002</t>
        </is>
      </c>
      <c r="O79" t="inlineStr">
        <is>
          <t>eng</t>
        </is>
      </c>
      <c r="P79" t="inlineStr">
        <is>
          <t>pau</t>
        </is>
      </c>
      <c r="Q79" t="inlineStr">
        <is>
          <t>Clinics in sports medicine, 0278-5919 ; v. 21, no. 4</t>
        </is>
      </c>
      <c r="R79" t="inlineStr">
        <is>
          <t xml:space="preserve">RC </t>
        </is>
      </c>
      <c r="S79" t="n">
        <v>2</v>
      </c>
      <c r="T79" t="n">
        <v>2</v>
      </c>
      <c r="U79" t="inlineStr">
        <is>
          <t>2009-02-25</t>
        </is>
      </c>
      <c r="V79" t="inlineStr">
        <is>
          <t>2009-02-25</t>
        </is>
      </c>
      <c r="W79" t="inlineStr">
        <is>
          <t>2003-02-03</t>
        </is>
      </c>
      <c r="X79" t="inlineStr">
        <is>
          <t>2003-02-03</t>
        </is>
      </c>
      <c r="Y79" t="n">
        <v>58</v>
      </c>
      <c r="Z79" t="n">
        <v>50</v>
      </c>
      <c r="AA79" t="n">
        <v>50</v>
      </c>
      <c r="AB79" t="n">
        <v>2</v>
      </c>
      <c r="AC79" t="n">
        <v>2</v>
      </c>
      <c r="AD79" t="n">
        <v>5</v>
      </c>
      <c r="AE79" t="n">
        <v>5</v>
      </c>
      <c r="AF79" t="n">
        <v>2</v>
      </c>
      <c r="AG79" t="n">
        <v>2</v>
      </c>
      <c r="AH79" t="n">
        <v>1</v>
      </c>
      <c r="AI79" t="n">
        <v>1</v>
      </c>
      <c r="AJ79" t="n">
        <v>1</v>
      </c>
      <c r="AK79" t="n">
        <v>1</v>
      </c>
      <c r="AL79" t="n">
        <v>1</v>
      </c>
      <c r="AM79" t="n">
        <v>1</v>
      </c>
      <c r="AN79" t="n">
        <v>0</v>
      </c>
      <c r="AO79" t="n">
        <v>0</v>
      </c>
      <c r="AP79" t="inlineStr">
        <is>
          <t>No</t>
        </is>
      </c>
      <c r="AQ79" t="inlineStr">
        <is>
          <t>No</t>
        </is>
      </c>
      <c r="AS79">
        <f>HYPERLINK("https://creighton-primo.hosted.exlibrisgroup.com/primo-explore/search?tab=default_tab&amp;search_scope=EVERYTHING&amp;vid=01CRU&amp;lang=en_US&amp;offset=0&amp;query=any,contains,991003986649702656","Catalog Record")</f>
        <v/>
      </c>
      <c r="AT79">
        <f>HYPERLINK("http://www.worldcat.org/oclc/51103432","WorldCat Record")</f>
        <v/>
      </c>
      <c r="AU79" t="inlineStr">
        <is>
          <t>6864163:eng</t>
        </is>
      </c>
      <c r="AV79" t="inlineStr">
        <is>
          <t>51103432</t>
        </is>
      </c>
      <c r="AW79" t="inlineStr">
        <is>
          <t>991003986649702656</t>
        </is>
      </c>
      <c r="AX79" t="inlineStr">
        <is>
          <t>991003986649702656</t>
        </is>
      </c>
      <c r="AY79" t="inlineStr">
        <is>
          <t>2265165090002656</t>
        </is>
      </c>
      <c r="AZ79" t="inlineStr">
        <is>
          <t>BOOK</t>
        </is>
      </c>
      <c r="BC79" t="inlineStr">
        <is>
          <t>32285004690201</t>
        </is>
      </c>
      <c r="BD79" t="inlineStr">
        <is>
          <t>893318667</t>
        </is>
      </c>
    </row>
    <row r="80">
      <c r="A80" t="inlineStr">
        <is>
          <t>No</t>
        </is>
      </c>
      <c r="B80" t="inlineStr">
        <is>
          <t>RC1200 .C34 2003 v. 22 no. 1</t>
        </is>
      </c>
      <c r="C80" t="inlineStr">
        <is>
          <t>0                      RC 1200000C  34          2003                                        v. 22 no. 1</t>
        </is>
      </c>
      <c r="D80" t="inlineStr">
        <is>
          <t>Cardiopulmonary issues in athletes / Johm [sic] M. MacKnight, guest editor ; Mark D. Miller, consulting editor.</t>
        </is>
      </c>
      <c r="E80" t="inlineStr">
        <is>
          <t>V. 22 NO. 1</t>
        </is>
      </c>
      <c r="F80" t="inlineStr">
        <is>
          <t>No</t>
        </is>
      </c>
      <c r="G80" t="inlineStr">
        <is>
          <t>1</t>
        </is>
      </c>
      <c r="H80" t="inlineStr">
        <is>
          <t>No</t>
        </is>
      </c>
      <c r="I80" t="inlineStr">
        <is>
          <t>No</t>
        </is>
      </c>
      <c r="J80" t="inlineStr">
        <is>
          <t>0</t>
        </is>
      </c>
      <c r="L80" t="inlineStr">
        <is>
          <t>Philadelphia : W.B. Saunders Company, c2003.</t>
        </is>
      </c>
      <c r="M80" t="inlineStr">
        <is>
          <t>2003</t>
        </is>
      </c>
      <c r="O80" t="inlineStr">
        <is>
          <t>eng</t>
        </is>
      </c>
      <c r="P80" t="inlineStr">
        <is>
          <t>pau</t>
        </is>
      </c>
      <c r="Q80" t="inlineStr">
        <is>
          <t>Clinics in sports medicine, 0278-5919 ; v. 22, no. 1</t>
        </is>
      </c>
      <c r="R80" t="inlineStr">
        <is>
          <t xml:space="preserve">RC </t>
        </is>
      </c>
      <c r="S80" t="n">
        <v>3</v>
      </c>
      <c r="T80" t="n">
        <v>3</v>
      </c>
      <c r="U80" t="inlineStr">
        <is>
          <t>2008-02-24</t>
        </is>
      </c>
      <c r="V80" t="inlineStr">
        <is>
          <t>2008-02-24</t>
        </is>
      </c>
      <c r="W80" t="inlineStr">
        <is>
          <t>2003-02-25</t>
        </is>
      </c>
      <c r="X80" t="inlineStr">
        <is>
          <t>2003-02-25</t>
        </is>
      </c>
      <c r="Y80" t="n">
        <v>63</v>
      </c>
      <c r="Z80" t="n">
        <v>53</v>
      </c>
      <c r="AA80" t="n">
        <v>53</v>
      </c>
      <c r="AB80" t="n">
        <v>2</v>
      </c>
      <c r="AC80" t="n">
        <v>2</v>
      </c>
      <c r="AD80" t="n">
        <v>5</v>
      </c>
      <c r="AE80" t="n">
        <v>5</v>
      </c>
      <c r="AF80" t="n">
        <v>2</v>
      </c>
      <c r="AG80" t="n">
        <v>2</v>
      </c>
      <c r="AH80" t="n">
        <v>1</v>
      </c>
      <c r="AI80" t="n">
        <v>1</v>
      </c>
      <c r="AJ80" t="n">
        <v>1</v>
      </c>
      <c r="AK80" t="n">
        <v>1</v>
      </c>
      <c r="AL80" t="n">
        <v>1</v>
      </c>
      <c r="AM80" t="n">
        <v>1</v>
      </c>
      <c r="AN80" t="n">
        <v>0</v>
      </c>
      <c r="AO80" t="n">
        <v>0</v>
      </c>
      <c r="AP80" t="inlineStr">
        <is>
          <t>No</t>
        </is>
      </c>
      <c r="AQ80" t="inlineStr">
        <is>
          <t>No</t>
        </is>
      </c>
      <c r="AS80">
        <f>HYPERLINK("https://creighton-primo.hosted.exlibrisgroup.com/primo-explore/search?tab=default_tab&amp;search_scope=EVERYTHING&amp;vid=01CRU&amp;lang=en_US&amp;offset=0&amp;query=any,contains,991004008009702656","Catalog Record")</f>
        <v/>
      </c>
      <c r="AT80">
        <f>HYPERLINK("http://www.worldcat.org/oclc/51606582","WorldCat Record")</f>
        <v/>
      </c>
      <c r="AU80" t="inlineStr">
        <is>
          <t>8651028:eng</t>
        </is>
      </c>
      <c r="AV80" t="inlineStr">
        <is>
          <t>51606582</t>
        </is>
      </c>
      <c r="AW80" t="inlineStr">
        <is>
          <t>991004008009702656</t>
        </is>
      </c>
      <c r="AX80" t="inlineStr">
        <is>
          <t>991004008009702656</t>
        </is>
      </c>
      <c r="AY80" t="inlineStr">
        <is>
          <t>2267460350002656</t>
        </is>
      </c>
      <c r="AZ80" t="inlineStr">
        <is>
          <t>BOOK</t>
        </is>
      </c>
      <c r="BC80" t="inlineStr">
        <is>
          <t>32285004680459</t>
        </is>
      </c>
      <c r="BD80" t="inlineStr">
        <is>
          <t>893894465</t>
        </is>
      </c>
    </row>
    <row r="81">
      <c r="A81" t="inlineStr">
        <is>
          <t>No</t>
        </is>
      </c>
      <c r="B81" t="inlineStr">
        <is>
          <t>RC1200 .C34 2003 v. 22 no. 2</t>
        </is>
      </c>
      <c r="C81" t="inlineStr">
        <is>
          <t>0                      RC 1200000C  34          2003                                        v. 22 no. 2</t>
        </is>
      </c>
      <c r="D81" t="inlineStr">
        <is>
          <t>Acromioclavicular and sternoclavicular injuries / Mark K. Bowen and Gordon W. Nuber, guest editors ; Mark D. Miller, consulting editor.</t>
        </is>
      </c>
      <c r="E81" t="inlineStr">
        <is>
          <t>V. 22 NO. 2</t>
        </is>
      </c>
      <c r="F81" t="inlineStr">
        <is>
          <t>No</t>
        </is>
      </c>
      <c r="G81" t="inlineStr">
        <is>
          <t>1</t>
        </is>
      </c>
      <c r="H81" t="inlineStr">
        <is>
          <t>No</t>
        </is>
      </c>
      <c r="I81" t="inlineStr">
        <is>
          <t>No</t>
        </is>
      </c>
      <c r="J81" t="inlineStr">
        <is>
          <t>0</t>
        </is>
      </c>
      <c r="L81" t="inlineStr">
        <is>
          <t>Philadelphia : W.B. Saunders Co., c2003.</t>
        </is>
      </c>
      <c r="M81" t="inlineStr">
        <is>
          <t>2003</t>
        </is>
      </c>
      <c r="O81" t="inlineStr">
        <is>
          <t>eng</t>
        </is>
      </c>
      <c r="P81" t="inlineStr">
        <is>
          <t>pau</t>
        </is>
      </c>
      <c r="Q81" t="inlineStr">
        <is>
          <t>Clinics in sports medicine, 0278-5919 ; v. 22, no. 2</t>
        </is>
      </c>
      <c r="R81" t="inlineStr">
        <is>
          <t xml:space="preserve">RC </t>
        </is>
      </c>
      <c r="S81" t="n">
        <v>2</v>
      </c>
      <c r="T81" t="n">
        <v>2</v>
      </c>
      <c r="U81" t="inlineStr">
        <is>
          <t>2008-02-23</t>
        </is>
      </c>
      <c r="V81" t="inlineStr">
        <is>
          <t>2008-02-23</t>
        </is>
      </c>
      <c r="W81" t="inlineStr">
        <is>
          <t>2003-06-16</t>
        </is>
      </c>
      <c r="X81" t="inlineStr">
        <is>
          <t>2003-06-16</t>
        </is>
      </c>
      <c r="Y81" t="n">
        <v>60</v>
      </c>
      <c r="Z81" t="n">
        <v>52</v>
      </c>
      <c r="AA81" t="n">
        <v>52</v>
      </c>
      <c r="AB81" t="n">
        <v>2</v>
      </c>
      <c r="AC81" t="n">
        <v>2</v>
      </c>
      <c r="AD81" t="n">
        <v>5</v>
      </c>
      <c r="AE81" t="n">
        <v>5</v>
      </c>
      <c r="AF81" t="n">
        <v>2</v>
      </c>
      <c r="AG81" t="n">
        <v>2</v>
      </c>
      <c r="AH81" t="n">
        <v>1</v>
      </c>
      <c r="AI81" t="n">
        <v>1</v>
      </c>
      <c r="AJ81" t="n">
        <v>1</v>
      </c>
      <c r="AK81" t="n">
        <v>1</v>
      </c>
      <c r="AL81" t="n">
        <v>1</v>
      </c>
      <c r="AM81" t="n">
        <v>1</v>
      </c>
      <c r="AN81" t="n">
        <v>0</v>
      </c>
      <c r="AO81" t="n">
        <v>0</v>
      </c>
      <c r="AP81" t="inlineStr">
        <is>
          <t>No</t>
        </is>
      </c>
      <c r="AQ81" t="inlineStr">
        <is>
          <t>No</t>
        </is>
      </c>
      <c r="AS81">
        <f>HYPERLINK("https://creighton-primo.hosted.exlibrisgroup.com/primo-explore/search?tab=default_tab&amp;search_scope=EVERYTHING&amp;vid=01CRU&amp;lang=en_US&amp;offset=0&amp;query=any,contains,991004078769702656","Catalog Record")</f>
        <v/>
      </c>
      <c r="AT81">
        <f>HYPERLINK("http://www.worldcat.org/oclc/52354790","WorldCat Record")</f>
        <v/>
      </c>
      <c r="AU81" t="inlineStr">
        <is>
          <t>364496434:eng</t>
        </is>
      </c>
      <c r="AV81" t="inlineStr">
        <is>
          <t>52354790</t>
        </is>
      </c>
      <c r="AW81" t="inlineStr">
        <is>
          <t>991004078769702656</t>
        </is>
      </c>
      <c r="AX81" t="inlineStr">
        <is>
          <t>991004078769702656</t>
        </is>
      </c>
      <c r="AY81" t="inlineStr">
        <is>
          <t>2266957730002656</t>
        </is>
      </c>
      <c r="AZ81" t="inlineStr">
        <is>
          <t>BOOK</t>
        </is>
      </c>
      <c r="BC81" t="inlineStr">
        <is>
          <t>32285004753165</t>
        </is>
      </c>
      <c r="BD81" t="inlineStr">
        <is>
          <t>893705973</t>
        </is>
      </c>
    </row>
    <row r="82">
      <c r="A82" t="inlineStr">
        <is>
          <t>No</t>
        </is>
      </c>
      <c r="B82" t="inlineStr">
        <is>
          <t>RC1200 .C34 2003 v. 22 no. 4</t>
        </is>
      </c>
      <c r="C82" t="inlineStr">
        <is>
          <t>0                      RC 1200000C  34          2003                                        v. 22 no. 4</t>
        </is>
      </c>
      <c r="D82" t="inlineStr">
        <is>
          <t>Current concepts in tendinopathy / W. Ben Kibler, guest editor ; Mark D. Miller, consulting editor.</t>
        </is>
      </c>
      <c r="E82" t="inlineStr">
        <is>
          <t>V. 22 NO. 4</t>
        </is>
      </c>
      <c r="F82" t="inlineStr">
        <is>
          <t>No</t>
        </is>
      </c>
      <c r="G82" t="inlineStr">
        <is>
          <t>1</t>
        </is>
      </c>
      <c r="H82" t="inlineStr">
        <is>
          <t>No</t>
        </is>
      </c>
      <c r="I82" t="inlineStr">
        <is>
          <t>No</t>
        </is>
      </c>
      <c r="J82" t="inlineStr">
        <is>
          <t>0</t>
        </is>
      </c>
      <c r="L82" t="inlineStr">
        <is>
          <t>Philadelphia : W.B. Saunders Company, c2003.</t>
        </is>
      </c>
      <c r="M82" t="inlineStr">
        <is>
          <t>2003</t>
        </is>
      </c>
      <c r="O82" t="inlineStr">
        <is>
          <t>eng</t>
        </is>
      </c>
      <c r="P82" t="inlineStr">
        <is>
          <t>pau</t>
        </is>
      </c>
      <c r="Q82" t="inlineStr">
        <is>
          <t>Clinics in sports medicine, 0278-5919 ; v. 22, no. 4</t>
        </is>
      </c>
      <c r="R82" t="inlineStr">
        <is>
          <t xml:space="preserve">RC </t>
        </is>
      </c>
      <c r="S82" t="n">
        <v>1</v>
      </c>
      <c r="T82" t="n">
        <v>1</v>
      </c>
      <c r="U82" t="inlineStr">
        <is>
          <t>2003-12-17</t>
        </is>
      </c>
      <c r="V82" t="inlineStr">
        <is>
          <t>2003-12-17</t>
        </is>
      </c>
      <c r="W82" t="inlineStr">
        <is>
          <t>2003-12-17</t>
        </is>
      </c>
      <c r="X82" t="inlineStr">
        <is>
          <t>2003-12-17</t>
        </is>
      </c>
      <c r="Y82" t="n">
        <v>58</v>
      </c>
      <c r="Z82" t="n">
        <v>50</v>
      </c>
      <c r="AA82" t="n">
        <v>50</v>
      </c>
      <c r="AB82" t="n">
        <v>2</v>
      </c>
      <c r="AC82" t="n">
        <v>2</v>
      </c>
      <c r="AD82" t="n">
        <v>5</v>
      </c>
      <c r="AE82" t="n">
        <v>5</v>
      </c>
      <c r="AF82" t="n">
        <v>2</v>
      </c>
      <c r="AG82" t="n">
        <v>2</v>
      </c>
      <c r="AH82" t="n">
        <v>1</v>
      </c>
      <c r="AI82" t="n">
        <v>1</v>
      </c>
      <c r="AJ82" t="n">
        <v>1</v>
      </c>
      <c r="AK82" t="n">
        <v>1</v>
      </c>
      <c r="AL82" t="n">
        <v>1</v>
      </c>
      <c r="AM82" t="n">
        <v>1</v>
      </c>
      <c r="AN82" t="n">
        <v>0</v>
      </c>
      <c r="AO82" t="n">
        <v>0</v>
      </c>
      <c r="AP82" t="inlineStr">
        <is>
          <t>No</t>
        </is>
      </c>
      <c r="AQ82" t="inlineStr">
        <is>
          <t>No</t>
        </is>
      </c>
      <c r="AS82">
        <f>HYPERLINK("https://creighton-primo.hosted.exlibrisgroup.com/primo-explore/search?tab=default_tab&amp;search_scope=EVERYTHING&amp;vid=01CRU&amp;lang=en_US&amp;offset=0&amp;query=any,contains,991004207789702656","Catalog Record")</f>
        <v/>
      </c>
      <c r="AT82">
        <f>HYPERLINK("http://www.worldcat.org/oclc/53168958","WorldCat Record")</f>
        <v/>
      </c>
      <c r="AU82" t="inlineStr">
        <is>
          <t>2060905636:eng</t>
        </is>
      </c>
      <c r="AV82" t="inlineStr">
        <is>
          <t>53168958</t>
        </is>
      </c>
      <c r="AW82" t="inlineStr">
        <is>
          <t>991004207789702656</t>
        </is>
      </c>
      <c r="AX82" t="inlineStr">
        <is>
          <t>991004207789702656</t>
        </is>
      </c>
      <c r="AY82" t="inlineStr">
        <is>
          <t>2265861170002656</t>
        </is>
      </c>
      <c r="AZ82" t="inlineStr">
        <is>
          <t>BOOK</t>
        </is>
      </c>
      <c r="BC82" t="inlineStr">
        <is>
          <t>32285004787411</t>
        </is>
      </c>
      <c r="BD82" t="inlineStr">
        <is>
          <t>893343578</t>
        </is>
      </c>
    </row>
    <row r="83">
      <c r="A83" t="inlineStr">
        <is>
          <t>No</t>
        </is>
      </c>
      <c r="B83" t="inlineStr">
        <is>
          <t>RC1200 .C34 2004 v. 23 no. 1</t>
        </is>
      </c>
      <c r="C83" t="inlineStr">
        <is>
          <t>0                      RC 1200000C  34          2004                                        v. 23 no. 1</t>
        </is>
      </c>
      <c r="D83" t="inlineStr">
        <is>
          <t>Athletic foot and ankle injuries / guest editor, Shepard R. Hurwitz ; consulting editor, Mark D. Miller.</t>
        </is>
      </c>
      <c r="E83" t="inlineStr">
        <is>
          <t>V. 23 NO. 1</t>
        </is>
      </c>
      <c r="F83" t="inlineStr">
        <is>
          <t>No</t>
        </is>
      </c>
      <c r="G83" t="inlineStr">
        <is>
          <t>1</t>
        </is>
      </c>
      <c r="H83" t="inlineStr">
        <is>
          <t>No</t>
        </is>
      </c>
      <c r="I83" t="inlineStr">
        <is>
          <t>No</t>
        </is>
      </c>
      <c r="J83" t="inlineStr">
        <is>
          <t>0</t>
        </is>
      </c>
      <c r="L83" t="inlineStr">
        <is>
          <t>Philadelphia : Saunders, c2004.</t>
        </is>
      </c>
      <c r="M83" t="inlineStr">
        <is>
          <t>2004</t>
        </is>
      </c>
      <c r="O83" t="inlineStr">
        <is>
          <t>eng</t>
        </is>
      </c>
      <c r="P83" t="inlineStr">
        <is>
          <t>pau</t>
        </is>
      </c>
      <c r="Q83" t="inlineStr">
        <is>
          <t>Clinics in sports medicine, 0278-5919 ; v. 23, no. 1</t>
        </is>
      </c>
      <c r="R83" t="inlineStr">
        <is>
          <t xml:space="preserve">RC </t>
        </is>
      </c>
      <c r="S83" t="n">
        <v>3</v>
      </c>
      <c r="T83" t="n">
        <v>3</v>
      </c>
      <c r="U83" t="inlineStr">
        <is>
          <t>2005-02-14</t>
        </is>
      </c>
      <c r="V83" t="inlineStr">
        <is>
          <t>2005-02-14</t>
        </is>
      </c>
      <c r="W83" t="inlineStr">
        <is>
          <t>2004-04-13</t>
        </is>
      </c>
      <c r="X83" t="inlineStr">
        <is>
          <t>2004-04-13</t>
        </is>
      </c>
      <c r="Y83" t="n">
        <v>66</v>
      </c>
      <c r="Z83" t="n">
        <v>55</v>
      </c>
      <c r="AA83" t="n">
        <v>55</v>
      </c>
      <c r="AB83" t="n">
        <v>2</v>
      </c>
      <c r="AC83" t="n">
        <v>2</v>
      </c>
      <c r="AD83" t="n">
        <v>4</v>
      </c>
      <c r="AE83" t="n">
        <v>4</v>
      </c>
      <c r="AF83" t="n">
        <v>2</v>
      </c>
      <c r="AG83" t="n">
        <v>2</v>
      </c>
      <c r="AH83" t="n">
        <v>0</v>
      </c>
      <c r="AI83" t="n">
        <v>0</v>
      </c>
      <c r="AJ83" t="n">
        <v>1</v>
      </c>
      <c r="AK83" t="n">
        <v>1</v>
      </c>
      <c r="AL83" t="n">
        <v>1</v>
      </c>
      <c r="AM83" t="n">
        <v>1</v>
      </c>
      <c r="AN83" t="n">
        <v>0</v>
      </c>
      <c r="AO83" t="n">
        <v>0</v>
      </c>
      <c r="AP83" t="inlineStr">
        <is>
          <t>No</t>
        </is>
      </c>
      <c r="AQ83" t="inlineStr">
        <is>
          <t>No</t>
        </is>
      </c>
      <c r="AS83">
        <f>HYPERLINK("https://creighton-primo.hosted.exlibrisgroup.com/primo-explore/search?tab=default_tab&amp;search_scope=EVERYTHING&amp;vid=01CRU&amp;lang=en_US&amp;offset=0&amp;query=any,contains,991004281359702656","Catalog Record")</f>
        <v/>
      </c>
      <c r="AT83">
        <f>HYPERLINK("http://www.worldcat.org/oclc/54894275","WorldCat Record")</f>
        <v/>
      </c>
      <c r="AU83" t="inlineStr">
        <is>
          <t>14378509:eng</t>
        </is>
      </c>
      <c r="AV83" t="inlineStr">
        <is>
          <t>54894275</t>
        </is>
      </c>
      <c r="AW83" t="inlineStr">
        <is>
          <t>991004281359702656</t>
        </is>
      </c>
      <c r="AX83" t="inlineStr">
        <is>
          <t>991004281359702656</t>
        </is>
      </c>
      <c r="AY83" t="inlineStr">
        <is>
          <t>2257589730002656</t>
        </is>
      </c>
      <c r="AZ83" t="inlineStr">
        <is>
          <t>BOOK</t>
        </is>
      </c>
      <c r="BC83" t="inlineStr">
        <is>
          <t>32285004899356</t>
        </is>
      </c>
      <c r="BD83" t="inlineStr">
        <is>
          <t>893263174</t>
        </is>
      </c>
    </row>
    <row r="84">
      <c r="A84" t="inlineStr">
        <is>
          <t>No</t>
        </is>
      </c>
      <c r="B84" t="inlineStr">
        <is>
          <t>RC1200 .C34 2004 v. 23 no. 2</t>
        </is>
      </c>
      <c r="C84" t="inlineStr">
        <is>
          <t>0                      RC 1200000C  34          2004                                        v. 23 no. 2</t>
        </is>
      </c>
      <c r="D84" t="inlineStr">
        <is>
          <t>Ethics and legal issues / guest editor, Rob Johnson ; consulting editor, Mark D. Miller.</t>
        </is>
      </c>
      <c r="E84" t="inlineStr">
        <is>
          <t>V. 23 NO. 2</t>
        </is>
      </c>
      <c r="F84" t="inlineStr">
        <is>
          <t>No</t>
        </is>
      </c>
      <c r="G84" t="inlineStr">
        <is>
          <t>1</t>
        </is>
      </c>
      <c r="H84" t="inlineStr">
        <is>
          <t>No</t>
        </is>
      </c>
      <c r="I84" t="inlineStr">
        <is>
          <t>No</t>
        </is>
      </c>
      <c r="J84" t="inlineStr">
        <is>
          <t>0</t>
        </is>
      </c>
      <c r="L84" t="inlineStr">
        <is>
          <t>Philadelphia : Saunders, c2004.</t>
        </is>
      </c>
      <c r="M84" t="inlineStr">
        <is>
          <t>2004</t>
        </is>
      </c>
      <c r="O84" t="inlineStr">
        <is>
          <t>eng</t>
        </is>
      </c>
      <c r="P84" t="inlineStr">
        <is>
          <t>pau</t>
        </is>
      </c>
      <c r="Q84" t="inlineStr">
        <is>
          <t>Clinics in sports medicine, 0278-5919 ; v. 23, no. 2</t>
        </is>
      </c>
      <c r="R84" t="inlineStr">
        <is>
          <t xml:space="preserve">RC </t>
        </is>
      </c>
      <c r="S84" t="n">
        <v>3</v>
      </c>
      <c r="T84" t="n">
        <v>3</v>
      </c>
      <c r="U84" t="inlineStr">
        <is>
          <t>2008-08-02</t>
        </is>
      </c>
      <c r="V84" t="inlineStr">
        <is>
          <t>2008-08-02</t>
        </is>
      </c>
      <c r="W84" t="inlineStr">
        <is>
          <t>2004-07-14</t>
        </is>
      </c>
      <c r="X84" t="inlineStr">
        <is>
          <t>2004-07-14</t>
        </is>
      </c>
      <c r="Y84" t="n">
        <v>65</v>
      </c>
      <c r="Z84" t="n">
        <v>54</v>
      </c>
      <c r="AA84" t="n">
        <v>54</v>
      </c>
      <c r="AB84" t="n">
        <v>2</v>
      </c>
      <c r="AC84" t="n">
        <v>2</v>
      </c>
      <c r="AD84" t="n">
        <v>4</v>
      </c>
      <c r="AE84" t="n">
        <v>4</v>
      </c>
      <c r="AF84" t="n">
        <v>2</v>
      </c>
      <c r="AG84" t="n">
        <v>2</v>
      </c>
      <c r="AH84" t="n">
        <v>0</v>
      </c>
      <c r="AI84" t="n">
        <v>0</v>
      </c>
      <c r="AJ84" t="n">
        <v>1</v>
      </c>
      <c r="AK84" t="n">
        <v>1</v>
      </c>
      <c r="AL84" t="n">
        <v>1</v>
      </c>
      <c r="AM84" t="n">
        <v>1</v>
      </c>
      <c r="AN84" t="n">
        <v>0</v>
      </c>
      <c r="AO84" t="n">
        <v>0</v>
      </c>
      <c r="AP84" t="inlineStr">
        <is>
          <t>No</t>
        </is>
      </c>
      <c r="AQ84" t="inlineStr">
        <is>
          <t>No</t>
        </is>
      </c>
      <c r="AS84">
        <f>HYPERLINK("https://creighton-primo.hosted.exlibrisgroup.com/primo-explore/search?tab=default_tab&amp;search_scope=EVERYTHING&amp;vid=01CRU&amp;lang=en_US&amp;offset=0&amp;query=any,contains,991004322419702656","Catalog Record")</f>
        <v/>
      </c>
      <c r="AT84">
        <f>HYPERLINK("http://www.worldcat.org/oclc/55806187","WorldCat Record")</f>
        <v/>
      </c>
      <c r="AU84" t="inlineStr">
        <is>
          <t>364559894:eng</t>
        </is>
      </c>
      <c r="AV84" t="inlineStr">
        <is>
          <t>55806187</t>
        </is>
      </c>
      <c r="AW84" t="inlineStr">
        <is>
          <t>991004322419702656</t>
        </is>
      </c>
      <c r="AX84" t="inlineStr">
        <is>
          <t>991004322419702656</t>
        </is>
      </c>
      <c r="AY84" t="inlineStr">
        <is>
          <t>2260041030002656</t>
        </is>
      </c>
      <c r="AZ84" t="inlineStr">
        <is>
          <t>BOOK</t>
        </is>
      </c>
      <c r="BC84" t="inlineStr">
        <is>
          <t>32285004923396</t>
        </is>
      </c>
      <c r="BD84" t="inlineStr">
        <is>
          <t>893417486</t>
        </is>
      </c>
    </row>
    <row r="85">
      <c r="A85" t="inlineStr">
        <is>
          <t>No</t>
        </is>
      </c>
      <c r="B85" t="inlineStr">
        <is>
          <t>RC1200 .C34 2004 v. 23 no. 3</t>
        </is>
      </c>
      <c r="C85" t="inlineStr">
        <is>
          <t>0                      RC 1200000C  34          2004                                        v. 23 no. 3</t>
        </is>
      </c>
      <c r="D85" t="inlineStr">
        <is>
          <t>Return to play / guest editor, Edward G. McFarland ; consulting editor, Mark D. Miller.</t>
        </is>
      </c>
      <c r="E85" t="inlineStr">
        <is>
          <t>V. 23 NO. 3</t>
        </is>
      </c>
      <c r="F85" t="inlineStr">
        <is>
          <t>No</t>
        </is>
      </c>
      <c r="G85" t="inlineStr">
        <is>
          <t>1</t>
        </is>
      </c>
      <c r="H85" t="inlineStr">
        <is>
          <t>No</t>
        </is>
      </c>
      <c r="I85" t="inlineStr">
        <is>
          <t>No</t>
        </is>
      </c>
      <c r="J85" t="inlineStr">
        <is>
          <t>0</t>
        </is>
      </c>
      <c r="L85" t="inlineStr">
        <is>
          <t>Philadelphia : Saunders, c2004.</t>
        </is>
      </c>
      <c r="M85" t="inlineStr">
        <is>
          <t>2004</t>
        </is>
      </c>
      <c r="O85" t="inlineStr">
        <is>
          <t>eng</t>
        </is>
      </c>
      <c r="P85" t="inlineStr">
        <is>
          <t>pau</t>
        </is>
      </c>
      <c r="Q85" t="inlineStr">
        <is>
          <t>Clinics in sports medicine, 0278-5919 ; v. 23, no. 3</t>
        </is>
      </c>
      <c r="R85" t="inlineStr">
        <is>
          <t xml:space="preserve">RC </t>
        </is>
      </c>
      <c r="S85" t="n">
        <v>4</v>
      </c>
      <c r="T85" t="n">
        <v>4</v>
      </c>
      <c r="U85" t="inlineStr">
        <is>
          <t>2008-11-12</t>
        </is>
      </c>
      <c r="V85" t="inlineStr">
        <is>
          <t>2008-11-12</t>
        </is>
      </c>
      <c r="W85" t="inlineStr">
        <is>
          <t>2004-08-17</t>
        </is>
      </c>
      <c r="X85" t="inlineStr">
        <is>
          <t>2004-08-17</t>
        </is>
      </c>
      <c r="Y85" t="n">
        <v>59</v>
      </c>
      <c r="Z85" t="n">
        <v>53</v>
      </c>
      <c r="AA85" t="n">
        <v>53</v>
      </c>
      <c r="AB85" t="n">
        <v>2</v>
      </c>
      <c r="AC85" t="n">
        <v>2</v>
      </c>
      <c r="AD85" t="n">
        <v>4</v>
      </c>
      <c r="AE85" t="n">
        <v>4</v>
      </c>
      <c r="AF85" t="n">
        <v>2</v>
      </c>
      <c r="AG85" t="n">
        <v>2</v>
      </c>
      <c r="AH85" t="n">
        <v>0</v>
      </c>
      <c r="AI85" t="n">
        <v>0</v>
      </c>
      <c r="AJ85" t="n">
        <v>1</v>
      </c>
      <c r="AK85" t="n">
        <v>1</v>
      </c>
      <c r="AL85" t="n">
        <v>1</v>
      </c>
      <c r="AM85" t="n">
        <v>1</v>
      </c>
      <c r="AN85" t="n">
        <v>0</v>
      </c>
      <c r="AO85" t="n">
        <v>0</v>
      </c>
      <c r="AP85" t="inlineStr">
        <is>
          <t>No</t>
        </is>
      </c>
      <c r="AQ85" t="inlineStr">
        <is>
          <t>No</t>
        </is>
      </c>
      <c r="AS85">
        <f>HYPERLINK("https://creighton-primo.hosted.exlibrisgroup.com/primo-explore/search?tab=default_tab&amp;search_scope=EVERYTHING&amp;vid=01CRU&amp;lang=en_US&amp;offset=0&amp;query=any,contains,991004352119702656","Catalog Record")</f>
        <v/>
      </c>
      <c r="AT85">
        <f>HYPERLINK("http://www.worldcat.org/oclc/56120835","WorldCat Record")</f>
        <v/>
      </c>
      <c r="AU85" t="inlineStr">
        <is>
          <t>15939191:eng</t>
        </is>
      </c>
      <c r="AV85" t="inlineStr">
        <is>
          <t>56120835</t>
        </is>
      </c>
      <c r="AW85" t="inlineStr">
        <is>
          <t>991004352119702656</t>
        </is>
      </c>
      <c r="AX85" t="inlineStr">
        <is>
          <t>991004352119702656</t>
        </is>
      </c>
      <c r="AY85" t="inlineStr">
        <is>
          <t>2268481760002656</t>
        </is>
      </c>
      <c r="AZ85" t="inlineStr">
        <is>
          <t>BOOK</t>
        </is>
      </c>
      <c r="BC85" t="inlineStr">
        <is>
          <t>32285004982475</t>
        </is>
      </c>
      <c r="BD85" t="inlineStr">
        <is>
          <t>893618563</t>
        </is>
      </c>
    </row>
    <row r="86">
      <c r="A86" t="inlineStr">
        <is>
          <t>No</t>
        </is>
      </c>
      <c r="B86" t="inlineStr">
        <is>
          <t>RC1200 .C34 2004 v.23 no.4</t>
        </is>
      </c>
      <c r="C86" t="inlineStr">
        <is>
          <t>0                      RC 1200000C  34          2004                                        v.23 no.4</t>
        </is>
      </c>
      <c r="D86" t="inlineStr">
        <is>
          <t>Elbow injuries in athletes / guest editor, Marc R. Safran ; Consulting editor, Mark D. Miller.</t>
        </is>
      </c>
      <c r="E86" t="inlineStr">
        <is>
          <t>V. 23 NO. 4</t>
        </is>
      </c>
      <c r="F86" t="inlineStr">
        <is>
          <t>No</t>
        </is>
      </c>
      <c r="G86" t="inlineStr">
        <is>
          <t>1</t>
        </is>
      </c>
      <c r="H86" t="inlineStr">
        <is>
          <t>No</t>
        </is>
      </c>
      <c r="I86" t="inlineStr">
        <is>
          <t>No</t>
        </is>
      </c>
      <c r="J86" t="inlineStr">
        <is>
          <t>0</t>
        </is>
      </c>
      <c r="L86" t="inlineStr">
        <is>
          <t>Philadelphia : Saunders, c2004.</t>
        </is>
      </c>
      <c r="M86" t="inlineStr">
        <is>
          <t>2004</t>
        </is>
      </c>
      <c r="O86" t="inlineStr">
        <is>
          <t>eng</t>
        </is>
      </c>
      <c r="P86" t="inlineStr">
        <is>
          <t>pau</t>
        </is>
      </c>
      <c r="Q86" t="inlineStr">
        <is>
          <t>Clinics in sports medicine, 0278-5919 ; v. 23, no. 4</t>
        </is>
      </c>
      <c r="R86" t="inlineStr">
        <is>
          <t xml:space="preserve">RC </t>
        </is>
      </c>
      <c r="S86" t="n">
        <v>2</v>
      </c>
      <c r="T86" t="n">
        <v>2</v>
      </c>
      <c r="U86" t="inlineStr">
        <is>
          <t>2004-11-18</t>
        </is>
      </c>
      <c r="V86" t="inlineStr">
        <is>
          <t>2004-11-18</t>
        </is>
      </c>
      <c r="W86" t="inlineStr">
        <is>
          <t>2004-11-17</t>
        </is>
      </c>
      <c r="X86" t="inlineStr">
        <is>
          <t>2004-11-17</t>
        </is>
      </c>
      <c r="Y86" t="n">
        <v>61</v>
      </c>
      <c r="Z86" t="n">
        <v>53</v>
      </c>
      <c r="AA86" t="n">
        <v>53</v>
      </c>
      <c r="AB86" t="n">
        <v>2</v>
      </c>
      <c r="AC86" t="n">
        <v>2</v>
      </c>
      <c r="AD86" t="n">
        <v>4</v>
      </c>
      <c r="AE86" t="n">
        <v>4</v>
      </c>
      <c r="AF86" t="n">
        <v>2</v>
      </c>
      <c r="AG86" t="n">
        <v>2</v>
      </c>
      <c r="AH86" t="n">
        <v>0</v>
      </c>
      <c r="AI86" t="n">
        <v>0</v>
      </c>
      <c r="AJ86" t="n">
        <v>1</v>
      </c>
      <c r="AK86" t="n">
        <v>1</v>
      </c>
      <c r="AL86" t="n">
        <v>1</v>
      </c>
      <c r="AM86" t="n">
        <v>1</v>
      </c>
      <c r="AN86" t="n">
        <v>0</v>
      </c>
      <c r="AO86" t="n">
        <v>0</v>
      </c>
      <c r="AP86" t="inlineStr">
        <is>
          <t>No</t>
        </is>
      </c>
      <c r="AQ86" t="inlineStr">
        <is>
          <t>No</t>
        </is>
      </c>
      <c r="AS86">
        <f>HYPERLINK("https://creighton-primo.hosted.exlibrisgroup.com/primo-explore/search?tab=default_tab&amp;search_scope=EVERYTHING&amp;vid=01CRU&amp;lang=en_US&amp;offset=0&amp;query=any,contains,991004423989702656","Catalog Record")</f>
        <v/>
      </c>
      <c r="AT86">
        <f>HYPERLINK("http://www.worldcat.org/oclc/56797331","WorldCat Record")</f>
        <v/>
      </c>
      <c r="AU86" t="inlineStr">
        <is>
          <t>3862782847:eng</t>
        </is>
      </c>
      <c r="AV86" t="inlineStr">
        <is>
          <t>56797331</t>
        </is>
      </c>
      <c r="AW86" t="inlineStr">
        <is>
          <t>991004423989702656</t>
        </is>
      </c>
      <c r="AX86" t="inlineStr">
        <is>
          <t>991004423989702656</t>
        </is>
      </c>
      <c r="AY86" t="inlineStr">
        <is>
          <t>2255771780002656</t>
        </is>
      </c>
      <c r="AZ86" t="inlineStr">
        <is>
          <t>BOOK</t>
        </is>
      </c>
      <c r="BC86" t="inlineStr">
        <is>
          <t>32285005011308</t>
        </is>
      </c>
      <c r="BD86" t="inlineStr">
        <is>
          <t>893513224</t>
        </is>
      </c>
    </row>
    <row r="87">
      <c r="A87" t="inlineStr">
        <is>
          <t>No</t>
        </is>
      </c>
      <c r="B87" t="inlineStr">
        <is>
          <t>RC1200 .C34 2005 v. 24 no. 1</t>
        </is>
      </c>
      <c r="C87" t="inlineStr">
        <is>
          <t>0                      RC 1200000C  34          2005                                        v. 24 no. 1</t>
        </is>
      </c>
      <c r="D87" t="inlineStr">
        <is>
          <t>Osteoarthritis / guest editor, Eric C. McCarty ; consulting editor, Mark D. Miller.</t>
        </is>
      </c>
      <c r="E87" t="inlineStr">
        <is>
          <t>V. 24 NO. 1</t>
        </is>
      </c>
      <c r="F87" t="inlineStr">
        <is>
          <t>No</t>
        </is>
      </c>
      <c r="G87" t="inlineStr">
        <is>
          <t>1</t>
        </is>
      </c>
      <c r="H87" t="inlineStr">
        <is>
          <t>No</t>
        </is>
      </c>
      <c r="I87" t="inlineStr">
        <is>
          <t>No</t>
        </is>
      </c>
      <c r="J87" t="inlineStr">
        <is>
          <t>0</t>
        </is>
      </c>
      <c r="L87" t="inlineStr">
        <is>
          <t>Philadelphia : Saunders, c2005.</t>
        </is>
      </c>
      <c r="M87" t="inlineStr">
        <is>
          <t>2005</t>
        </is>
      </c>
      <c r="O87" t="inlineStr">
        <is>
          <t>eng</t>
        </is>
      </c>
      <c r="P87" t="inlineStr">
        <is>
          <t>pau</t>
        </is>
      </c>
      <c r="Q87" t="inlineStr">
        <is>
          <t>Clinics in sports medicine, 0278-5919 ; v. 24, no. 1</t>
        </is>
      </c>
      <c r="R87" t="inlineStr">
        <is>
          <t xml:space="preserve">RC </t>
        </is>
      </c>
      <c r="S87" t="n">
        <v>2</v>
      </c>
      <c r="T87" t="n">
        <v>2</v>
      </c>
      <c r="U87" t="inlineStr">
        <is>
          <t>2008-05-28</t>
        </is>
      </c>
      <c r="V87" t="inlineStr">
        <is>
          <t>2008-05-28</t>
        </is>
      </c>
      <c r="W87" t="inlineStr">
        <is>
          <t>2005-02-08</t>
        </is>
      </c>
      <c r="X87" t="inlineStr">
        <is>
          <t>2005-02-08</t>
        </is>
      </c>
      <c r="Y87" t="n">
        <v>71</v>
      </c>
      <c r="Z87" t="n">
        <v>57</v>
      </c>
      <c r="AA87" t="n">
        <v>57</v>
      </c>
      <c r="AB87" t="n">
        <v>2</v>
      </c>
      <c r="AC87" t="n">
        <v>2</v>
      </c>
      <c r="AD87" t="n">
        <v>4</v>
      </c>
      <c r="AE87" t="n">
        <v>4</v>
      </c>
      <c r="AF87" t="n">
        <v>2</v>
      </c>
      <c r="AG87" t="n">
        <v>2</v>
      </c>
      <c r="AH87" t="n">
        <v>0</v>
      </c>
      <c r="AI87" t="n">
        <v>0</v>
      </c>
      <c r="AJ87" t="n">
        <v>1</v>
      </c>
      <c r="AK87" t="n">
        <v>1</v>
      </c>
      <c r="AL87" t="n">
        <v>1</v>
      </c>
      <c r="AM87" t="n">
        <v>1</v>
      </c>
      <c r="AN87" t="n">
        <v>0</v>
      </c>
      <c r="AO87" t="n">
        <v>0</v>
      </c>
      <c r="AP87" t="inlineStr">
        <is>
          <t>No</t>
        </is>
      </c>
      <c r="AQ87" t="inlineStr">
        <is>
          <t>No</t>
        </is>
      </c>
      <c r="AS87">
        <f>HYPERLINK("https://creighton-primo.hosted.exlibrisgroup.com/primo-explore/search?tab=default_tab&amp;search_scope=EVERYTHING&amp;vid=01CRU&amp;lang=en_US&amp;offset=0&amp;query=any,contains,991004469889702656","Catalog Record")</f>
        <v/>
      </c>
      <c r="AT87">
        <f>HYPERLINK("http://www.worldcat.org/oclc/57555593","WorldCat Record")</f>
        <v/>
      </c>
      <c r="AU87" t="inlineStr">
        <is>
          <t>57134443:eng</t>
        </is>
      </c>
      <c r="AV87" t="inlineStr">
        <is>
          <t>57555593</t>
        </is>
      </c>
      <c r="AW87" t="inlineStr">
        <is>
          <t>991004469889702656</t>
        </is>
      </c>
      <c r="AX87" t="inlineStr">
        <is>
          <t>991004469889702656</t>
        </is>
      </c>
      <c r="AY87" t="inlineStr">
        <is>
          <t>2256291520002656</t>
        </is>
      </c>
      <c r="AZ87" t="inlineStr">
        <is>
          <t>BOOK</t>
        </is>
      </c>
      <c r="BC87" t="inlineStr">
        <is>
          <t>32285005024673</t>
        </is>
      </c>
      <c r="BD87" t="inlineStr">
        <is>
          <t>893901266</t>
        </is>
      </c>
    </row>
    <row r="88">
      <c r="A88" t="inlineStr">
        <is>
          <t>No</t>
        </is>
      </c>
      <c r="B88" t="inlineStr">
        <is>
          <t>RC1200 .C34 2005 v. 24 no. 2</t>
        </is>
      </c>
      <c r="C88" t="inlineStr">
        <is>
          <t>0                      RC 1200000C  34          2005                                        v. 24 no. 2</t>
        </is>
      </c>
      <c r="D88" t="inlineStr">
        <is>
          <t>Sports chronobiology / guest editor, Teodor T. Postolache ; consulting editor, Mark D. Miller.</t>
        </is>
      </c>
      <c r="E88" t="inlineStr">
        <is>
          <t>V. 24 NO. 2</t>
        </is>
      </c>
      <c r="F88" t="inlineStr">
        <is>
          <t>No</t>
        </is>
      </c>
      <c r="G88" t="inlineStr">
        <is>
          <t>1</t>
        </is>
      </c>
      <c r="H88" t="inlineStr">
        <is>
          <t>No</t>
        </is>
      </c>
      <c r="I88" t="inlineStr">
        <is>
          <t>No</t>
        </is>
      </c>
      <c r="J88" t="inlineStr">
        <is>
          <t>0</t>
        </is>
      </c>
      <c r="L88" t="inlineStr">
        <is>
          <t>Philadelphia : Saunders, c2005.</t>
        </is>
      </c>
      <c r="M88" t="inlineStr">
        <is>
          <t>2005</t>
        </is>
      </c>
      <c r="O88" t="inlineStr">
        <is>
          <t>eng</t>
        </is>
      </c>
      <c r="P88" t="inlineStr">
        <is>
          <t>pau</t>
        </is>
      </c>
      <c r="Q88" t="inlineStr">
        <is>
          <t>Clinics in sports medicine, 0278-5919 ; v. 24, no. 2</t>
        </is>
      </c>
      <c r="R88" t="inlineStr">
        <is>
          <t xml:space="preserve">RC </t>
        </is>
      </c>
      <c r="S88" t="n">
        <v>1</v>
      </c>
      <c r="T88" t="n">
        <v>1</v>
      </c>
      <c r="U88" t="inlineStr">
        <is>
          <t>2005-07-07</t>
        </is>
      </c>
      <c r="V88" t="inlineStr">
        <is>
          <t>2005-07-07</t>
        </is>
      </c>
      <c r="W88" t="inlineStr">
        <is>
          <t>2005-07-07</t>
        </is>
      </c>
      <c r="X88" t="inlineStr">
        <is>
          <t>2005-07-07</t>
        </is>
      </c>
      <c r="Y88" t="n">
        <v>69</v>
      </c>
      <c r="Z88" t="n">
        <v>55</v>
      </c>
      <c r="AA88" t="n">
        <v>55</v>
      </c>
      <c r="AB88" t="n">
        <v>2</v>
      </c>
      <c r="AC88" t="n">
        <v>2</v>
      </c>
      <c r="AD88" t="n">
        <v>4</v>
      </c>
      <c r="AE88" t="n">
        <v>4</v>
      </c>
      <c r="AF88" t="n">
        <v>2</v>
      </c>
      <c r="AG88" t="n">
        <v>2</v>
      </c>
      <c r="AH88" t="n">
        <v>0</v>
      </c>
      <c r="AI88" t="n">
        <v>0</v>
      </c>
      <c r="AJ88" t="n">
        <v>1</v>
      </c>
      <c r="AK88" t="n">
        <v>1</v>
      </c>
      <c r="AL88" t="n">
        <v>1</v>
      </c>
      <c r="AM88" t="n">
        <v>1</v>
      </c>
      <c r="AN88" t="n">
        <v>0</v>
      </c>
      <c r="AO88" t="n">
        <v>0</v>
      </c>
      <c r="AP88" t="inlineStr">
        <is>
          <t>No</t>
        </is>
      </c>
      <c r="AQ88" t="inlineStr">
        <is>
          <t>No</t>
        </is>
      </c>
      <c r="AS88">
        <f>HYPERLINK("https://creighton-primo.hosted.exlibrisgroup.com/primo-explore/search?tab=default_tab&amp;search_scope=EVERYTHING&amp;vid=01CRU&amp;lang=en_US&amp;offset=0&amp;query=any,contains,991004601339702656","Catalog Record")</f>
        <v/>
      </c>
      <c r="AT88">
        <f>HYPERLINK("http://www.worldcat.org/oclc/60569923","WorldCat Record")</f>
        <v/>
      </c>
      <c r="AU88" t="inlineStr">
        <is>
          <t>57210273:eng</t>
        </is>
      </c>
      <c r="AV88" t="inlineStr">
        <is>
          <t>60569923</t>
        </is>
      </c>
      <c r="AW88" t="inlineStr">
        <is>
          <t>991004601339702656</t>
        </is>
      </c>
      <c r="AX88" t="inlineStr">
        <is>
          <t>991004601339702656</t>
        </is>
      </c>
      <c r="AY88" t="inlineStr">
        <is>
          <t>2263294840002656</t>
        </is>
      </c>
      <c r="AZ88" t="inlineStr">
        <is>
          <t>BOOK</t>
        </is>
      </c>
      <c r="BB88" t="inlineStr">
        <is>
          <t>9781416027690</t>
        </is>
      </c>
      <c r="BC88" t="inlineStr">
        <is>
          <t>32285005094353</t>
        </is>
      </c>
      <c r="BD88" t="inlineStr">
        <is>
          <t>893807259</t>
        </is>
      </c>
    </row>
    <row r="89">
      <c r="A89" t="inlineStr">
        <is>
          <t>No</t>
        </is>
      </c>
      <c r="B89" t="inlineStr">
        <is>
          <t>RC1200 .C34 2005 v. 24 no. 3</t>
        </is>
      </c>
      <c r="C89" t="inlineStr">
        <is>
          <t>0                      RC 1200000C  34          2005                                        v. 24 no. 3</t>
        </is>
      </c>
      <c r="D89" t="inlineStr">
        <is>
          <t>Training room management of medical conditions / guest editor, John M. MacKnight ; consulting editor, Mark D. Miller.</t>
        </is>
      </c>
      <c r="E89" t="inlineStr">
        <is>
          <t>V. 24 NO. 3</t>
        </is>
      </c>
      <c r="F89" t="inlineStr">
        <is>
          <t>No</t>
        </is>
      </c>
      <c r="G89" t="inlineStr">
        <is>
          <t>1</t>
        </is>
      </c>
      <c r="H89" t="inlineStr">
        <is>
          <t>No</t>
        </is>
      </c>
      <c r="I89" t="inlineStr">
        <is>
          <t>No</t>
        </is>
      </c>
      <c r="J89" t="inlineStr">
        <is>
          <t>0</t>
        </is>
      </c>
      <c r="L89" t="inlineStr">
        <is>
          <t>Philadelphia : Saunders, c2005.</t>
        </is>
      </c>
      <c r="M89" t="inlineStr">
        <is>
          <t>2005</t>
        </is>
      </c>
      <c r="O89" t="inlineStr">
        <is>
          <t>eng</t>
        </is>
      </c>
      <c r="P89" t="inlineStr">
        <is>
          <t>pau</t>
        </is>
      </c>
      <c r="Q89" t="inlineStr">
        <is>
          <t>Clinics in sports medicine, 0278-5919 ; v. 24, no. 3</t>
        </is>
      </c>
      <c r="R89" t="inlineStr">
        <is>
          <t xml:space="preserve">RC </t>
        </is>
      </c>
      <c r="S89" t="n">
        <v>3</v>
      </c>
      <c r="T89" t="n">
        <v>3</v>
      </c>
      <c r="U89" t="inlineStr">
        <is>
          <t>2006-11-19</t>
        </is>
      </c>
      <c r="V89" t="inlineStr">
        <is>
          <t>2006-11-19</t>
        </is>
      </c>
      <c r="W89" t="inlineStr">
        <is>
          <t>2005-08-25</t>
        </is>
      </c>
      <c r="X89" t="inlineStr">
        <is>
          <t>2005-08-25</t>
        </is>
      </c>
      <c r="Y89" t="n">
        <v>79</v>
      </c>
      <c r="Z89" t="n">
        <v>62</v>
      </c>
      <c r="AA89" t="n">
        <v>62</v>
      </c>
      <c r="AB89" t="n">
        <v>2</v>
      </c>
      <c r="AC89" t="n">
        <v>2</v>
      </c>
      <c r="AD89" t="n">
        <v>4</v>
      </c>
      <c r="AE89" t="n">
        <v>4</v>
      </c>
      <c r="AF89" t="n">
        <v>2</v>
      </c>
      <c r="AG89" t="n">
        <v>2</v>
      </c>
      <c r="AH89" t="n">
        <v>0</v>
      </c>
      <c r="AI89" t="n">
        <v>0</v>
      </c>
      <c r="AJ89" t="n">
        <v>1</v>
      </c>
      <c r="AK89" t="n">
        <v>1</v>
      </c>
      <c r="AL89" t="n">
        <v>1</v>
      </c>
      <c r="AM89" t="n">
        <v>1</v>
      </c>
      <c r="AN89" t="n">
        <v>0</v>
      </c>
      <c r="AO89" t="n">
        <v>0</v>
      </c>
      <c r="AP89" t="inlineStr">
        <is>
          <t>No</t>
        </is>
      </c>
      <c r="AQ89" t="inlineStr">
        <is>
          <t>No</t>
        </is>
      </c>
      <c r="AS89">
        <f>HYPERLINK("https://creighton-primo.hosted.exlibrisgroup.com/primo-explore/search?tab=default_tab&amp;search_scope=EVERYTHING&amp;vid=01CRU&amp;lang=en_US&amp;offset=0&amp;query=any,contains,991004635009702656","Catalog Record")</f>
        <v/>
      </c>
      <c r="AT89">
        <f>HYPERLINK("http://www.worldcat.org/oclc/61187400","WorldCat Record")</f>
        <v/>
      </c>
      <c r="AU89" t="inlineStr">
        <is>
          <t>57222347:eng</t>
        </is>
      </c>
      <c r="AV89" t="inlineStr">
        <is>
          <t>61187400</t>
        </is>
      </c>
      <c r="AW89" t="inlineStr">
        <is>
          <t>991004635009702656</t>
        </is>
      </c>
      <c r="AX89" t="inlineStr">
        <is>
          <t>991004635009702656</t>
        </is>
      </c>
      <c r="AY89" t="inlineStr">
        <is>
          <t>2262346730002656</t>
        </is>
      </c>
      <c r="AZ89" t="inlineStr">
        <is>
          <t>BOOK</t>
        </is>
      </c>
      <c r="BB89" t="inlineStr">
        <is>
          <t>9781416027706</t>
        </is>
      </c>
      <c r="BC89" t="inlineStr">
        <is>
          <t>32285005081640</t>
        </is>
      </c>
      <c r="BD89" t="inlineStr">
        <is>
          <t>893628272</t>
        </is>
      </c>
    </row>
    <row r="90">
      <c r="A90" t="inlineStr">
        <is>
          <t>No</t>
        </is>
      </c>
      <c r="B90" t="inlineStr">
        <is>
          <t>RC1200 .C34 2005 v. 24 no. 4</t>
        </is>
      </c>
      <c r="C90" t="inlineStr">
        <is>
          <t>0                      RC 1200000C  34          2005                                        v. 24 no. 4</t>
        </is>
      </c>
      <c r="D90" t="inlineStr">
        <is>
          <t>The interface between sport psychiatry and sports medicine / guest editors, Ian R. Tofler, Eric D. Morse ; consulting editor, Mark D. Miller.</t>
        </is>
      </c>
      <c r="E90" t="inlineStr">
        <is>
          <t>V. 24 NO. 4</t>
        </is>
      </c>
      <c r="F90" t="inlineStr">
        <is>
          <t>No</t>
        </is>
      </c>
      <c r="G90" t="inlineStr">
        <is>
          <t>1</t>
        </is>
      </c>
      <c r="H90" t="inlineStr">
        <is>
          <t>No</t>
        </is>
      </c>
      <c r="I90" t="inlineStr">
        <is>
          <t>No</t>
        </is>
      </c>
      <c r="J90" t="inlineStr">
        <is>
          <t>0</t>
        </is>
      </c>
      <c r="L90" t="inlineStr">
        <is>
          <t>Philadelphia : Saunders, c2005.</t>
        </is>
      </c>
      <c r="M90" t="inlineStr">
        <is>
          <t>2005</t>
        </is>
      </c>
      <c r="O90" t="inlineStr">
        <is>
          <t>eng</t>
        </is>
      </c>
      <c r="P90" t="inlineStr">
        <is>
          <t>pau</t>
        </is>
      </c>
      <c r="Q90" t="inlineStr">
        <is>
          <t>Clinics in sports medicine, 0278-5919 ; v. 24, no. 4</t>
        </is>
      </c>
      <c r="R90" t="inlineStr">
        <is>
          <t xml:space="preserve">RC </t>
        </is>
      </c>
      <c r="S90" t="n">
        <v>2</v>
      </c>
      <c r="T90" t="n">
        <v>2</v>
      </c>
      <c r="U90" t="inlineStr">
        <is>
          <t>2008-07-20</t>
        </is>
      </c>
      <c r="V90" t="inlineStr">
        <is>
          <t>2008-07-20</t>
        </is>
      </c>
      <c r="W90" t="inlineStr">
        <is>
          <t>2005-10-31</t>
        </is>
      </c>
      <c r="X90" t="inlineStr">
        <is>
          <t>2005-10-31</t>
        </is>
      </c>
      <c r="Y90" t="n">
        <v>79</v>
      </c>
      <c r="Z90" t="n">
        <v>61</v>
      </c>
      <c r="AA90" t="n">
        <v>61</v>
      </c>
      <c r="AB90" t="n">
        <v>2</v>
      </c>
      <c r="AC90" t="n">
        <v>2</v>
      </c>
      <c r="AD90" t="n">
        <v>5</v>
      </c>
      <c r="AE90" t="n">
        <v>5</v>
      </c>
      <c r="AF90" t="n">
        <v>2</v>
      </c>
      <c r="AG90" t="n">
        <v>2</v>
      </c>
      <c r="AH90" t="n">
        <v>0</v>
      </c>
      <c r="AI90" t="n">
        <v>0</v>
      </c>
      <c r="AJ90" t="n">
        <v>2</v>
      </c>
      <c r="AK90" t="n">
        <v>2</v>
      </c>
      <c r="AL90" t="n">
        <v>1</v>
      </c>
      <c r="AM90" t="n">
        <v>1</v>
      </c>
      <c r="AN90" t="n">
        <v>0</v>
      </c>
      <c r="AO90" t="n">
        <v>0</v>
      </c>
      <c r="AP90" t="inlineStr">
        <is>
          <t>No</t>
        </is>
      </c>
      <c r="AQ90" t="inlineStr">
        <is>
          <t>No</t>
        </is>
      </c>
      <c r="AS90">
        <f>HYPERLINK("https://creighton-primo.hosted.exlibrisgroup.com/primo-explore/search?tab=default_tab&amp;search_scope=EVERYTHING&amp;vid=01CRU&amp;lang=en_US&amp;offset=0&amp;query=any,contains,991004686799702656","Catalog Record")</f>
        <v/>
      </c>
      <c r="AT90">
        <f>HYPERLINK("http://www.worldcat.org/oclc/62097340","WorldCat Record")</f>
        <v/>
      </c>
      <c r="AU90" t="inlineStr">
        <is>
          <t>5580113271:eng</t>
        </is>
      </c>
      <c r="AV90" t="inlineStr">
        <is>
          <t>62097340</t>
        </is>
      </c>
      <c r="AW90" t="inlineStr">
        <is>
          <t>991004686799702656</t>
        </is>
      </c>
      <c r="AX90" t="inlineStr">
        <is>
          <t>991004686799702656</t>
        </is>
      </c>
      <c r="AY90" t="inlineStr">
        <is>
          <t>2266805040002656</t>
        </is>
      </c>
      <c r="AZ90" t="inlineStr">
        <is>
          <t>BOOK</t>
        </is>
      </c>
      <c r="BB90" t="inlineStr">
        <is>
          <t>9781416027713</t>
        </is>
      </c>
      <c r="BC90" t="inlineStr">
        <is>
          <t>32285005143390</t>
        </is>
      </c>
      <c r="BD90" t="inlineStr">
        <is>
          <t>893235816</t>
        </is>
      </c>
    </row>
    <row r="91">
      <c r="A91" t="inlineStr">
        <is>
          <t>No</t>
        </is>
      </c>
      <c r="B91" t="inlineStr">
        <is>
          <t>RC1200 .C34 2006 v. 25 no. 1</t>
        </is>
      </c>
      <c r="C91" t="inlineStr">
        <is>
          <t>0                      RC 1200000C  34          2006                                        v. 25 no. 1</t>
        </is>
      </c>
      <c r="D91" t="inlineStr">
        <is>
          <t>Stress fractures / guest editor, Christopher C. Kaeding.</t>
        </is>
      </c>
      <c r="E91" t="inlineStr">
        <is>
          <t>V. 25 NO. 1</t>
        </is>
      </c>
      <c r="F91" t="inlineStr">
        <is>
          <t>No</t>
        </is>
      </c>
      <c r="G91" t="inlineStr">
        <is>
          <t>1</t>
        </is>
      </c>
      <c r="H91" t="inlineStr">
        <is>
          <t>No</t>
        </is>
      </c>
      <c r="I91" t="inlineStr">
        <is>
          <t>No</t>
        </is>
      </c>
      <c r="J91" t="inlineStr">
        <is>
          <t>0</t>
        </is>
      </c>
      <c r="L91" t="inlineStr">
        <is>
          <t>Philadelphis, PA : Saunders, c2005.</t>
        </is>
      </c>
      <c r="M91" t="inlineStr">
        <is>
          <t>2005</t>
        </is>
      </c>
      <c r="O91" t="inlineStr">
        <is>
          <t>eng</t>
        </is>
      </c>
      <c r="P91" t="inlineStr">
        <is>
          <t>pau</t>
        </is>
      </c>
      <c r="Q91" t="inlineStr">
        <is>
          <t>Clinics in sports medicine, 0278-5919 ; v. 25, no. 1</t>
        </is>
      </c>
      <c r="R91" t="inlineStr">
        <is>
          <t xml:space="preserve">RC </t>
        </is>
      </c>
      <c r="S91" t="n">
        <v>2</v>
      </c>
      <c r="T91" t="n">
        <v>2</v>
      </c>
      <c r="U91" t="inlineStr">
        <is>
          <t>2006-01-11</t>
        </is>
      </c>
      <c r="V91" t="inlineStr">
        <is>
          <t>2006-01-11</t>
        </is>
      </c>
      <c r="W91" t="inlineStr">
        <is>
          <t>2006-01-11</t>
        </is>
      </c>
      <c r="X91" t="inlineStr">
        <is>
          <t>2006-01-11</t>
        </is>
      </c>
      <c r="Y91" t="n">
        <v>68</v>
      </c>
      <c r="Z91" t="n">
        <v>57</v>
      </c>
      <c r="AA91" t="n">
        <v>57</v>
      </c>
      <c r="AB91" t="n">
        <v>1</v>
      </c>
      <c r="AC91" t="n">
        <v>1</v>
      </c>
      <c r="AD91" t="n">
        <v>3</v>
      </c>
      <c r="AE91" t="n">
        <v>3</v>
      </c>
      <c r="AF91" t="n">
        <v>2</v>
      </c>
      <c r="AG91" t="n">
        <v>2</v>
      </c>
      <c r="AH91" t="n">
        <v>0</v>
      </c>
      <c r="AI91" t="n">
        <v>0</v>
      </c>
      <c r="AJ91" t="n">
        <v>1</v>
      </c>
      <c r="AK91" t="n">
        <v>1</v>
      </c>
      <c r="AL91" t="n">
        <v>0</v>
      </c>
      <c r="AM91" t="n">
        <v>0</v>
      </c>
      <c r="AN91" t="n">
        <v>0</v>
      </c>
      <c r="AO91" t="n">
        <v>0</v>
      </c>
      <c r="AP91" t="inlineStr">
        <is>
          <t>No</t>
        </is>
      </c>
      <c r="AQ91" t="inlineStr">
        <is>
          <t>No</t>
        </is>
      </c>
      <c r="AS91">
        <f>HYPERLINK("https://creighton-primo.hosted.exlibrisgroup.com/primo-explore/search?tab=default_tab&amp;search_scope=EVERYTHING&amp;vid=01CRU&amp;lang=en_US&amp;offset=0&amp;query=any,contains,991004711169702656","Catalog Record")</f>
        <v/>
      </c>
      <c r="AT91">
        <f>HYPERLINK("http://www.worldcat.org/oclc/62793936","WorldCat Record")</f>
        <v/>
      </c>
      <c r="AU91" t="inlineStr">
        <is>
          <t>5578324140:eng</t>
        </is>
      </c>
      <c r="AV91" t="inlineStr">
        <is>
          <t>62793936</t>
        </is>
      </c>
      <c r="AW91" t="inlineStr">
        <is>
          <t>991004711169702656</t>
        </is>
      </c>
      <c r="AX91" t="inlineStr">
        <is>
          <t>991004711169702656</t>
        </is>
      </c>
      <c r="AY91" t="inlineStr">
        <is>
          <t>2261931620002656</t>
        </is>
      </c>
      <c r="AZ91" t="inlineStr">
        <is>
          <t>BOOK</t>
        </is>
      </c>
      <c r="BB91" t="inlineStr">
        <is>
          <t>9781416033813</t>
        </is>
      </c>
      <c r="BC91" t="inlineStr">
        <is>
          <t>32285005154660</t>
        </is>
      </c>
      <c r="BD91" t="inlineStr">
        <is>
          <t>893513571</t>
        </is>
      </c>
    </row>
    <row r="92">
      <c r="A92" t="inlineStr">
        <is>
          <t>No</t>
        </is>
      </c>
      <c r="B92" t="inlineStr">
        <is>
          <t>RC1200 .C34 2006 v. 25 no. 2</t>
        </is>
      </c>
      <c r="C92" t="inlineStr">
        <is>
          <t>0                      RC 1200000C  34          2006                                        v. 25 no. 2</t>
        </is>
      </c>
      <c r="D92" t="inlineStr">
        <is>
          <t>Hip injuries / guest editors, Srino Bharam, Marc J. Philippon.</t>
        </is>
      </c>
      <c r="E92" t="inlineStr">
        <is>
          <t>V. 25 NO. 2</t>
        </is>
      </c>
      <c r="F92" t="inlineStr">
        <is>
          <t>No</t>
        </is>
      </c>
      <c r="G92" t="inlineStr">
        <is>
          <t>1</t>
        </is>
      </c>
      <c r="H92" t="inlineStr">
        <is>
          <t>No</t>
        </is>
      </c>
      <c r="I92" t="inlineStr">
        <is>
          <t>No</t>
        </is>
      </c>
      <c r="J92" t="inlineStr">
        <is>
          <t>0</t>
        </is>
      </c>
      <c r="L92" t="inlineStr">
        <is>
          <t>Philadelphia, PA : Saunders, c2006.</t>
        </is>
      </c>
      <c r="M92" t="inlineStr">
        <is>
          <t>2006</t>
        </is>
      </c>
      <c r="O92" t="inlineStr">
        <is>
          <t>eng</t>
        </is>
      </c>
      <c r="P92" t="inlineStr">
        <is>
          <t>pau</t>
        </is>
      </c>
      <c r="Q92" t="inlineStr">
        <is>
          <t>Clinics in sports medicine, 0278-5919 ; v. 25, no. 2</t>
        </is>
      </c>
      <c r="R92" t="inlineStr">
        <is>
          <t xml:space="preserve">RC </t>
        </is>
      </c>
      <c r="S92" t="n">
        <v>1</v>
      </c>
      <c r="T92" t="n">
        <v>1</v>
      </c>
      <c r="U92" t="inlineStr">
        <is>
          <t>2006-05-24</t>
        </is>
      </c>
      <c r="V92" t="inlineStr">
        <is>
          <t>2006-05-24</t>
        </is>
      </c>
      <c r="W92" t="inlineStr">
        <is>
          <t>2006-05-24</t>
        </is>
      </c>
      <c r="X92" t="inlineStr">
        <is>
          <t>2006-05-24</t>
        </is>
      </c>
      <c r="Y92" t="n">
        <v>69</v>
      </c>
      <c r="Z92" t="n">
        <v>51</v>
      </c>
      <c r="AA92" t="n">
        <v>51</v>
      </c>
      <c r="AB92" t="n">
        <v>2</v>
      </c>
      <c r="AC92" t="n">
        <v>2</v>
      </c>
      <c r="AD92" t="n">
        <v>4</v>
      </c>
      <c r="AE92" t="n">
        <v>4</v>
      </c>
      <c r="AF92" t="n">
        <v>2</v>
      </c>
      <c r="AG92" t="n">
        <v>2</v>
      </c>
      <c r="AH92" t="n">
        <v>0</v>
      </c>
      <c r="AI92" t="n">
        <v>0</v>
      </c>
      <c r="AJ92" t="n">
        <v>1</v>
      </c>
      <c r="AK92" t="n">
        <v>1</v>
      </c>
      <c r="AL92" t="n">
        <v>1</v>
      </c>
      <c r="AM92" t="n">
        <v>1</v>
      </c>
      <c r="AN92" t="n">
        <v>0</v>
      </c>
      <c r="AO92" t="n">
        <v>0</v>
      </c>
      <c r="AP92" t="inlineStr">
        <is>
          <t>No</t>
        </is>
      </c>
      <c r="AQ92" t="inlineStr">
        <is>
          <t>No</t>
        </is>
      </c>
      <c r="AS92">
        <f>HYPERLINK("https://creighton-primo.hosted.exlibrisgroup.com/primo-explore/search?tab=default_tab&amp;search_scope=EVERYTHING&amp;vid=01CRU&amp;lang=en_US&amp;offset=0&amp;query=any,contains,991004821409702656","Catalog Record")</f>
        <v/>
      </c>
      <c r="AT92">
        <f>HYPERLINK("http://www.worldcat.org/oclc/68193249","WorldCat Record")</f>
        <v/>
      </c>
      <c r="AU92" t="inlineStr">
        <is>
          <t>364042044:eng</t>
        </is>
      </c>
      <c r="AV92" t="inlineStr">
        <is>
          <t>68193249</t>
        </is>
      </c>
      <c r="AW92" t="inlineStr">
        <is>
          <t>991004821409702656</t>
        </is>
      </c>
      <c r="AX92" t="inlineStr">
        <is>
          <t>991004821409702656</t>
        </is>
      </c>
      <c r="AY92" t="inlineStr">
        <is>
          <t>2269781940002656</t>
        </is>
      </c>
      <c r="AZ92" t="inlineStr">
        <is>
          <t>BOOK</t>
        </is>
      </c>
      <c r="BB92" t="inlineStr">
        <is>
          <t>9781416035480</t>
        </is>
      </c>
      <c r="BC92" t="inlineStr">
        <is>
          <t>32285005188189</t>
        </is>
      </c>
      <c r="BD92" t="inlineStr">
        <is>
          <t>893694379</t>
        </is>
      </c>
    </row>
    <row r="93">
      <c r="A93" t="inlineStr">
        <is>
          <t>No</t>
        </is>
      </c>
      <c r="B93" t="inlineStr">
        <is>
          <t>RC1200 .C34 2006 v. 25 no. 3</t>
        </is>
      </c>
      <c r="C93" t="inlineStr">
        <is>
          <t>0                      RC 1200000C  34          2006                                        v. 25 no. 3</t>
        </is>
      </c>
      <c r="D93" t="inlineStr">
        <is>
          <t>Imaging of upper extremities / guest editor, Timothy G. Sanders.</t>
        </is>
      </c>
      <c r="E93" t="inlineStr">
        <is>
          <t>V. 25 NO. 3</t>
        </is>
      </c>
      <c r="F93" t="inlineStr">
        <is>
          <t>No</t>
        </is>
      </c>
      <c r="G93" t="inlineStr">
        <is>
          <t>1</t>
        </is>
      </c>
      <c r="H93" t="inlineStr">
        <is>
          <t>No</t>
        </is>
      </c>
      <c r="I93" t="inlineStr">
        <is>
          <t>No</t>
        </is>
      </c>
      <c r="J93" t="inlineStr">
        <is>
          <t>0</t>
        </is>
      </c>
      <c r="L93" t="inlineStr">
        <is>
          <t>Philadelpha, PA : Saunders, c2006.</t>
        </is>
      </c>
      <c r="M93" t="inlineStr">
        <is>
          <t>2006</t>
        </is>
      </c>
      <c r="O93" t="inlineStr">
        <is>
          <t>pau</t>
        </is>
      </c>
      <c r="P93" t="inlineStr">
        <is>
          <t>pau</t>
        </is>
      </c>
      <c r="Q93" t="inlineStr">
        <is>
          <t>Clinics in sports medicine, 0278-5919 ; v. 25, no. 3</t>
        </is>
      </c>
      <c r="R93" t="inlineStr">
        <is>
          <t xml:space="preserve">RC </t>
        </is>
      </c>
      <c r="S93" t="n">
        <v>1</v>
      </c>
      <c r="T93" t="n">
        <v>1</v>
      </c>
      <c r="U93" t="inlineStr">
        <is>
          <t>2006-08-01</t>
        </is>
      </c>
      <c r="V93" t="inlineStr">
        <is>
          <t>2006-08-01</t>
        </is>
      </c>
      <c r="W93" t="inlineStr">
        <is>
          <t>2006-08-01</t>
        </is>
      </c>
      <c r="X93" t="inlineStr">
        <is>
          <t>2006-08-01</t>
        </is>
      </c>
      <c r="Y93" t="n">
        <v>61</v>
      </c>
      <c r="Z93" t="n">
        <v>49</v>
      </c>
      <c r="AA93" t="n">
        <v>49</v>
      </c>
      <c r="AB93" t="n">
        <v>2</v>
      </c>
      <c r="AC93" t="n">
        <v>2</v>
      </c>
      <c r="AD93" t="n">
        <v>4</v>
      </c>
      <c r="AE93" t="n">
        <v>4</v>
      </c>
      <c r="AF93" t="n">
        <v>2</v>
      </c>
      <c r="AG93" t="n">
        <v>2</v>
      </c>
      <c r="AH93" t="n">
        <v>0</v>
      </c>
      <c r="AI93" t="n">
        <v>0</v>
      </c>
      <c r="AJ93" t="n">
        <v>1</v>
      </c>
      <c r="AK93" t="n">
        <v>1</v>
      </c>
      <c r="AL93" t="n">
        <v>1</v>
      </c>
      <c r="AM93" t="n">
        <v>1</v>
      </c>
      <c r="AN93" t="n">
        <v>0</v>
      </c>
      <c r="AO93" t="n">
        <v>0</v>
      </c>
      <c r="AP93" t="inlineStr">
        <is>
          <t>No</t>
        </is>
      </c>
      <c r="AQ93" t="inlineStr">
        <is>
          <t>No</t>
        </is>
      </c>
      <c r="AS93">
        <f>HYPERLINK("https://creighton-primo.hosted.exlibrisgroup.com/primo-explore/search?tab=default_tab&amp;search_scope=EVERYTHING&amp;vid=01CRU&amp;lang=en_US&amp;offset=0&amp;query=any,contains,991004897249702656","Catalog Record")</f>
        <v/>
      </c>
      <c r="AT93">
        <f>HYPERLINK("http://www.worldcat.org/oclc/70714269","WorldCat Record")</f>
        <v/>
      </c>
      <c r="AU93" t="inlineStr">
        <is>
          <t>3770109352:eng</t>
        </is>
      </c>
      <c r="AV93" t="inlineStr">
        <is>
          <t>70714269</t>
        </is>
      </c>
      <c r="AW93" t="inlineStr">
        <is>
          <t>991004897249702656</t>
        </is>
      </c>
      <c r="AX93" t="inlineStr">
        <is>
          <t>991004897249702656</t>
        </is>
      </c>
      <c r="AY93" t="inlineStr">
        <is>
          <t>2257840710002656</t>
        </is>
      </c>
      <c r="AZ93" t="inlineStr">
        <is>
          <t>BOOK</t>
        </is>
      </c>
      <c r="BB93" t="inlineStr">
        <is>
          <t>9781416037989</t>
        </is>
      </c>
      <c r="BC93" t="inlineStr">
        <is>
          <t>32285005199129</t>
        </is>
      </c>
      <c r="BD93" t="inlineStr">
        <is>
          <t>893688323</t>
        </is>
      </c>
    </row>
    <row r="94">
      <c r="A94" t="inlineStr">
        <is>
          <t>No</t>
        </is>
      </c>
      <c r="B94" t="inlineStr">
        <is>
          <t>RC1200 .C34 2006 v. 25 no. 4</t>
        </is>
      </c>
      <c r="C94" t="inlineStr">
        <is>
          <t>0                      RC 1200000C  34          2006                                        v. 25 no. 4</t>
        </is>
      </c>
      <c r="D94" t="inlineStr">
        <is>
          <t>Imaging of lower extremities / guest editor, Timothy G. Sanders.</t>
        </is>
      </c>
      <c r="E94" t="inlineStr">
        <is>
          <t>V. 25 NO. 4</t>
        </is>
      </c>
      <c r="F94" t="inlineStr">
        <is>
          <t>No</t>
        </is>
      </c>
      <c r="G94" t="inlineStr">
        <is>
          <t>1</t>
        </is>
      </c>
      <c r="H94" t="inlineStr">
        <is>
          <t>No</t>
        </is>
      </c>
      <c r="I94" t="inlineStr">
        <is>
          <t>No</t>
        </is>
      </c>
      <c r="J94" t="inlineStr">
        <is>
          <t>0</t>
        </is>
      </c>
      <c r="L94" t="inlineStr">
        <is>
          <t>Philadelpha, PA : Saunders, c2006.</t>
        </is>
      </c>
      <c r="M94" t="inlineStr">
        <is>
          <t>2006</t>
        </is>
      </c>
      <c r="O94" t="inlineStr">
        <is>
          <t>eng</t>
        </is>
      </c>
      <c r="P94" t="inlineStr">
        <is>
          <t>pau</t>
        </is>
      </c>
      <c r="Q94" t="inlineStr">
        <is>
          <t>Clinics in sports medicine, 0278-5919 ; v. 25, no. 4</t>
        </is>
      </c>
      <c r="R94" t="inlineStr">
        <is>
          <t xml:space="preserve">RC </t>
        </is>
      </c>
      <c r="S94" t="n">
        <v>1</v>
      </c>
      <c r="T94" t="n">
        <v>1</v>
      </c>
      <c r="U94" t="inlineStr">
        <is>
          <t>2006-11-13</t>
        </is>
      </c>
      <c r="V94" t="inlineStr">
        <is>
          <t>2006-11-13</t>
        </is>
      </c>
      <c r="W94" t="inlineStr">
        <is>
          <t>2006-11-13</t>
        </is>
      </c>
      <c r="X94" t="inlineStr">
        <is>
          <t>2006-11-13</t>
        </is>
      </c>
      <c r="Y94" t="n">
        <v>66</v>
      </c>
      <c r="Z94" t="n">
        <v>53</v>
      </c>
      <c r="AA94" t="n">
        <v>53</v>
      </c>
      <c r="AB94" t="n">
        <v>2</v>
      </c>
      <c r="AC94" t="n">
        <v>2</v>
      </c>
      <c r="AD94" t="n">
        <v>4</v>
      </c>
      <c r="AE94" t="n">
        <v>4</v>
      </c>
      <c r="AF94" t="n">
        <v>2</v>
      </c>
      <c r="AG94" t="n">
        <v>2</v>
      </c>
      <c r="AH94" t="n">
        <v>0</v>
      </c>
      <c r="AI94" t="n">
        <v>0</v>
      </c>
      <c r="AJ94" t="n">
        <v>1</v>
      </c>
      <c r="AK94" t="n">
        <v>1</v>
      </c>
      <c r="AL94" t="n">
        <v>1</v>
      </c>
      <c r="AM94" t="n">
        <v>1</v>
      </c>
      <c r="AN94" t="n">
        <v>0</v>
      </c>
      <c r="AO94" t="n">
        <v>0</v>
      </c>
      <c r="AP94" t="inlineStr">
        <is>
          <t>No</t>
        </is>
      </c>
      <c r="AQ94" t="inlineStr">
        <is>
          <t>No</t>
        </is>
      </c>
      <c r="AS94">
        <f>HYPERLINK("https://creighton-primo.hosted.exlibrisgroup.com/primo-explore/search?tab=default_tab&amp;search_scope=EVERYTHING&amp;vid=01CRU&amp;lang=en_US&amp;offset=0&amp;query=any,contains,991004978319702656","Catalog Record")</f>
        <v/>
      </c>
      <c r="AT94">
        <f>HYPERLINK("http://www.worldcat.org/oclc/72522074","WorldCat Record")</f>
        <v/>
      </c>
      <c r="AU94" t="inlineStr">
        <is>
          <t>4918270134:eng</t>
        </is>
      </c>
      <c r="AV94" t="inlineStr">
        <is>
          <t>72522074</t>
        </is>
      </c>
      <c r="AW94" t="inlineStr">
        <is>
          <t>991004978319702656</t>
        </is>
      </c>
      <c r="AX94" t="inlineStr">
        <is>
          <t>991004978319702656</t>
        </is>
      </c>
      <c r="AY94" t="inlineStr">
        <is>
          <t>2262382720002656</t>
        </is>
      </c>
      <c r="AZ94" t="inlineStr">
        <is>
          <t>BOOK</t>
        </is>
      </c>
      <c r="BB94" t="inlineStr">
        <is>
          <t>9781416037996</t>
        </is>
      </c>
      <c r="BC94" t="inlineStr">
        <is>
          <t>32285005233308</t>
        </is>
      </c>
      <c r="BD94" t="inlineStr">
        <is>
          <t>893628442</t>
        </is>
      </c>
    </row>
    <row r="95">
      <c r="A95" t="inlineStr">
        <is>
          <t>No</t>
        </is>
      </c>
      <c r="B95" t="inlineStr">
        <is>
          <t>RC1200 .C34 2007 v. 26 no. 1</t>
        </is>
      </c>
      <c r="C95" t="inlineStr">
        <is>
          <t>0                      RC 1200000C  34          2007                                        v. 26 no. 1</t>
        </is>
      </c>
      <c r="D95" t="inlineStr">
        <is>
          <t>Sports nutrition update / guest editor, Leslie Bonci ; consulting editor, Mark D. Miller.</t>
        </is>
      </c>
      <c r="E95" t="inlineStr">
        <is>
          <t>V. 26 NO. 1</t>
        </is>
      </c>
      <c r="F95" t="inlineStr">
        <is>
          <t>No</t>
        </is>
      </c>
      <c r="G95" t="inlineStr">
        <is>
          <t>1</t>
        </is>
      </c>
      <c r="H95" t="inlineStr">
        <is>
          <t>No</t>
        </is>
      </c>
      <c r="I95" t="inlineStr">
        <is>
          <t>No</t>
        </is>
      </c>
      <c r="J95" t="inlineStr">
        <is>
          <t>0</t>
        </is>
      </c>
      <c r="L95" t="inlineStr">
        <is>
          <t>Philadelphia, PA : Saunders, c2007.</t>
        </is>
      </c>
      <c r="M95" t="inlineStr">
        <is>
          <t>2006</t>
        </is>
      </c>
      <c r="O95" t="inlineStr">
        <is>
          <t>eng</t>
        </is>
      </c>
      <c r="P95" t="inlineStr">
        <is>
          <t>pau</t>
        </is>
      </c>
      <c r="Q95" t="inlineStr">
        <is>
          <t>Clinics in sports medicine, 0278-5919 ; v. 26, no. 1</t>
        </is>
      </c>
      <c r="R95" t="inlineStr">
        <is>
          <t xml:space="preserve">RC </t>
        </is>
      </c>
      <c r="S95" t="n">
        <v>1</v>
      </c>
      <c r="T95" t="n">
        <v>1</v>
      </c>
      <c r="U95" t="inlineStr">
        <is>
          <t>2007-03-21</t>
        </is>
      </c>
      <c r="V95" t="inlineStr">
        <is>
          <t>2007-03-21</t>
        </is>
      </c>
      <c r="W95" t="inlineStr">
        <is>
          <t>2007-03-21</t>
        </is>
      </c>
      <c r="X95" t="inlineStr">
        <is>
          <t>2007-03-21</t>
        </is>
      </c>
      <c r="Y95" t="n">
        <v>66</v>
      </c>
      <c r="Z95" t="n">
        <v>55</v>
      </c>
      <c r="AA95" t="n">
        <v>55</v>
      </c>
      <c r="AB95" t="n">
        <v>1</v>
      </c>
      <c r="AC95" t="n">
        <v>1</v>
      </c>
      <c r="AD95" t="n">
        <v>3</v>
      </c>
      <c r="AE95" t="n">
        <v>3</v>
      </c>
      <c r="AF95" t="n">
        <v>2</v>
      </c>
      <c r="AG95" t="n">
        <v>2</v>
      </c>
      <c r="AH95" t="n">
        <v>0</v>
      </c>
      <c r="AI95" t="n">
        <v>0</v>
      </c>
      <c r="AJ95" t="n">
        <v>1</v>
      </c>
      <c r="AK95" t="n">
        <v>1</v>
      </c>
      <c r="AL95" t="n">
        <v>0</v>
      </c>
      <c r="AM95" t="n">
        <v>0</v>
      </c>
      <c r="AN95" t="n">
        <v>0</v>
      </c>
      <c r="AO95" t="n">
        <v>0</v>
      </c>
      <c r="AP95" t="inlineStr">
        <is>
          <t>No</t>
        </is>
      </c>
      <c r="AQ95" t="inlineStr">
        <is>
          <t>No</t>
        </is>
      </c>
      <c r="AS95">
        <f>HYPERLINK("https://creighton-primo.hosted.exlibrisgroup.com/primo-explore/search?tab=default_tab&amp;search_scope=EVERYTHING&amp;vid=01CRU&amp;lang=en_US&amp;offset=0&amp;query=any,contains,991005056909702656","Catalog Record")</f>
        <v/>
      </c>
      <c r="AT95">
        <f>HYPERLINK("http://www.worldcat.org/oclc/85836032","WorldCat Record")</f>
        <v/>
      </c>
      <c r="AU95" t="inlineStr">
        <is>
          <t>69738147:eng</t>
        </is>
      </c>
      <c r="AV95" t="inlineStr">
        <is>
          <t>85836032</t>
        </is>
      </c>
      <c r="AW95" t="inlineStr">
        <is>
          <t>991005056909702656</t>
        </is>
      </c>
      <c r="AX95" t="inlineStr">
        <is>
          <t>991005056909702656</t>
        </is>
      </c>
      <c r="AY95" t="inlineStr">
        <is>
          <t>2265736210002656</t>
        </is>
      </c>
      <c r="AZ95" t="inlineStr">
        <is>
          <t>BOOK</t>
        </is>
      </c>
      <c r="BB95" t="inlineStr">
        <is>
          <t>9781416042969</t>
        </is>
      </c>
      <c r="BC95" t="inlineStr">
        <is>
          <t>32285005280598</t>
        </is>
      </c>
      <c r="BD95" t="inlineStr">
        <is>
          <t>893619373</t>
        </is>
      </c>
    </row>
    <row r="96">
      <c r="A96" t="inlineStr">
        <is>
          <t>No</t>
        </is>
      </c>
      <c r="B96" t="inlineStr">
        <is>
          <t>RC1200 .C34 2007 V. 26 no. 2</t>
        </is>
      </c>
      <c r="C96" t="inlineStr">
        <is>
          <t>0                      RC 1200000C  34          2007                                        V. 26 no. 2</t>
        </is>
      </c>
      <c r="D96" t="inlineStr">
        <is>
          <t>Behind the scenes as a team physician : edited by Jeff G. Konin.</t>
        </is>
      </c>
      <c r="E96" t="inlineStr">
        <is>
          <t>V. 26 NO. 2</t>
        </is>
      </c>
      <c r="F96" t="inlineStr">
        <is>
          <t>No</t>
        </is>
      </c>
      <c r="G96" t="inlineStr">
        <is>
          <t>1</t>
        </is>
      </c>
      <c r="H96" t="inlineStr">
        <is>
          <t>No</t>
        </is>
      </c>
      <c r="I96" t="inlineStr">
        <is>
          <t>No</t>
        </is>
      </c>
      <c r="J96" t="inlineStr">
        <is>
          <t>0</t>
        </is>
      </c>
      <c r="K96" t="inlineStr">
        <is>
          <t>Konin, Jeff G.</t>
        </is>
      </c>
      <c r="L96" t="inlineStr">
        <is>
          <t>Philadelphia, Pa. ; Edinburgh : Elsevier Saunders, 2007.</t>
        </is>
      </c>
      <c r="M96" t="inlineStr">
        <is>
          <t>2007</t>
        </is>
      </c>
      <c r="O96" t="inlineStr">
        <is>
          <t>eng</t>
        </is>
      </c>
      <c r="P96" t="inlineStr">
        <is>
          <t>pau</t>
        </is>
      </c>
      <c r="Q96" t="inlineStr">
        <is>
          <t>Clinics in sports medicine, ISSN0278-5919 ; v. 26, no. 2</t>
        </is>
      </c>
      <c r="R96" t="inlineStr">
        <is>
          <t xml:space="preserve">RC </t>
        </is>
      </c>
      <c r="S96" t="n">
        <v>2</v>
      </c>
      <c r="T96" t="n">
        <v>2</v>
      </c>
      <c r="U96" t="inlineStr">
        <is>
          <t>2008-07-20</t>
        </is>
      </c>
      <c r="V96" t="inlineStr">
        <is>
          <t>2008-07-20</t>
        </is>
      </c>
      <c r="W96" t="inlineStr">
        <is>
          <t>2007-06-14</t>
        </is>
      </c>
      <c r="X96" t="inlineStr">
        <is>
          <t>2007-06-14</t>
        </is>
      </c>
      <c r="Y96" t="n">
        <v>63</v>
      </c>
      <c r="Z96" t="n">
        <v>51</v>
      </c>
      <c r="AA96" t="n">
        <v>51</v>
      </c>
      <c r="AB96" t="n">
        <v>1</v>
      </c>
      <c r="AC96" t="n">
        <v>1</v>
      </c>
      <c r="AD96" t="n">
        <v>3</v>
      </c>
      <c r="AE96" t="n">
        <v>3</v>
      </c>
      <c r="AF96" t="n">
        <v>2</v>
      </c>
      <c r="AG96" t="n">
        <v>2</v>
      </c>
      <c r="AH96" t="n">
        <v>0</v>
      </c>
      <c r="AI96" t="n">
        <v>0</v>
      </c>
      <c r="AJ96" t="n">
        <v>1</v>
      </c>
      <c r="AK96" t="n">
        <v>1</v>
      </c>
      <c r="AL96" t="n">
        <v>0</v>
      </c>
      <c r="AM96" t="n">
        <v>0</v>
      </c>
      <c r="AN96" t="n">
        <v>0</v>
      </c>
      <c r="AO96" t="n">
        <v>0</v>
      </c>
      <c r="AP96" t="inlineStr">
        <is>
          <t>No</t>
        </is>
      </c>
      <c r="AQ96" t="inlineStr">
        <is>
          <t>No</t>
        </is>
      </c>
      <c r="AS96">
        <f>HYPERLINK("https://creighton-primo.hosted.exlibrisgroup.com/primo-explore/search?tab=default_tab&amp;search_scope=EVERYTHING&amp;vid=01CRU&amp;lang=en_US&amp;offset=0&amp;query=any,contains,991005093919702656","Catalog Record")</f>
        <v/>
      </c>
      <c r="AT96">
        <f>HYPERLINK("http://www.worldcat.org/oclc/144453102","WorldCat Record")</f>
        <v/>
      </c>
      <c r="AU96" t="inlineStr">
        <is>
          <t>103218111:eng</t>
        </is>
      </c>
      <c r="AV96" t="inlineStr">
        <is>
          <t>144453102</t>
        </is>
      </c>
      <c r="AW96" t="inlineStr">
        <is>
          <t>991005093919702656</t>
        </is>
      </c>
      <c r="AX96" t="inlineStr">
        <is>
          <t>991005093919702656</t>
        </is>
      </c>
      <c r="AY96" t="inlineStr">
        <is>
          <t>2265978980002656</t>
        </is>
      </c>
      <c r="AZ96" t="inlineStr">
        <is>
          <t>BOOK</t>
        </is>
      </c>
      <c r="BB96" t="inlineStr">
        <is>
          <t>9781416042976</t>
        </is>
      </c>
      <c r="BC96" t="inlineStr">
        <is>
          <t>32285005317648</t>
        </is>
      </c>
      <c r="BD96" t="inlineStr">
        <is>
          <t>893883326</t>
        </is>
      </c>
    </row>
    <row r="97">
      <c r="A97" t="inlineStr">
        <is>
          <t>No</t>
        </is>
      </c>
      <c r="B97" t="inlineStr">
        <is>
          <t>RC1200 .C34 2007 v. 26 no. 3</t>
        </is>
      </c>
      <c r="C97" t="inlineStr">
        <is>
          <t>0                      RC 1200000C  34          2007                                        v. 26 no. 3</t>
        </is>
      </c>
      <c r="D97" t="inlineStr">
        <is>
          <t>Infectious disease and sports medicine / guest editors, James R. Borchers, Thomas M. Best ; consulting editor, Mark D. Miller.</t>
        </is>
      </c>
      <c r="E97" t="inlineStr">
        <is>
          <t>V. 26 NO. 3</t>
        </is>
      </c>
      <c r="F97" t="inlineStr">
        <is>
          <t>No</t>
        </is>
      </c>
      <c r="G97" t="inlineStr">
        <is>
          <t>1</t>
        </is>
      </c>
      <c r="H97" t="inlineStr">
        <is>
          <t>No</t>
        </is>
      </c>
      <c r="I97" t="inlineStr">
        <is>
          <t>No</t>
        </is>
      </c>
      <c r="J97" t="inlineStr">
        <is>
          <t>0</t>
        </is>
      </c>
      <c r="L97" t="inlineStr">
        <is>
          <t>Philadelphia, Pa. : Saunders, c2007.</t>
        </is>
      </c>
      <c r="M97" t="inlineStr">
        <is>
          <t>2007</t>
        </is>
      </c>
      <c r="O97" t="inlineStr">
        <is>
          <t>eng</t>
        </is>
      </c>
      <c r="P97" t="inlineStr">
        <is>
          <t>pau</t>
        </is>
      </c>
      <c r="Q97" t="inlineStr">
        <is>
          <t>Clinics in sports medicine, 0278-5919 ; v. 26, no. 3</t>
        </is>
      </c>
      <c r="R97" t="inlineStr">
        <is>
          <t xml:space="preserve">RC </t>
        </is>
      </c>
      <c r="S97" t="n">
        <v>1</v>
      </c>
      <c r="T97" t="n">
        <v>1</v>
      </c>
      <c r="U97" t="inlineStr">
        <is>
          <t>2007-11-12</t>
        </is>
      </c>
      <c r="V97" t="inlineStr">
        <is>
          <t>2007-11-12</t>
        </is>
      </c>
      <c r="W97" t="inlineStr">
        <is>
          <t>2007-11-12</t>
        </is>
      </c>
      <c r="X97" t="inlineStr">
        <is>
          <t>2007-11-12</t>
        </is>
      </c>
      <c r="Y97" t="n">
        <v>61</v>
      </c>
      <c r="Z97" t="n">
        <v>50</v>
      </c>
      <c r="AA97" t="n">
        <v>50</v>
      </c>
      <c r="AB97" t="n">
        <v>1</v>
      </c>
      <c r="AC97" t="n">
        <v>1</v>
      </c>
      <c r="AD97" t="n">
        <v>3</v>
      </c>
      <c r="AE97" t="n">
        <v>3</v>
      </c>
      <c r="AF97" t="n">
        <v>2</v>
      </c>
      <c r="AG97" t="n">
        <v>2</v>
      </c>
      <c r="AH97" t="n">
        <v>0</v>
      </c>
      <c r="AI97" t="n">
        <v>0</v>
      </c>
      <c r="AJ97" t="n">
        <v>1</v>
      </c>
      <c r="AK97" t="n">
        <v>1</v>
      </c>
      <c r="AL97" t="n">
        <v>0</v>
      </c>
      <c r="AM97" t="n">
        <v>0</v>
      </c>
      <c r="AN97" t="n">
        <v>0</v>
      </c>
      <c r="AO97" t="n">
        <v>0</v>
      </c>
      <c r="AP97" t="inlineStr">
        <is>
          <t>No</t>
        </is>
      </c>
      <c r="AQ97" t="inlineStr">
        <is>
          <t>No</t>
        </is>
      </c>
      <c r="AS97">
        <f>HYPERLINK("https://creighton-primo.hosted.exlibrisgroup.com/primo-explore/search?tab=default_tab&amp;search_scope=EVERYTHING&amp;vid=01CRU&amp;lang=en_US&amp;offset=0&amp;query=any,contains,991005146159702656","Catalog Record")</f>
        <v/>
      </c>
      <c r="AT97">
        <f>HYPERLINK("http://www.worldcat.org/oclc/173964077","WorldCat Record")</f>
        <v/>
      </c>
      <c r="AU97" t="inlineStr">
        <is>
          <t>364075543:eng</t>
        </is>
      </c>
      <c r="AV97" t="inlineStr">
        <is>
          <t>173964077</t>
        </is>
      </c>
      <c r="AW97" t="inlineStr">
        <is>
          <t>991005146159702656</t>
        </is>
      </c>
      <c r="AX97" t="inlineStr">
        <is>
          <t>991005146159702656</t>
        </is>
      </c>
      <c r="AY97" t="inlineStr">
        <is>
          <t>2267368060002656</t>
        </is>
      </c>
      <c r="AZ97" t="inlineStr">
        <is>
          <t>BOOK</t>
        </is>
      </c>
      <c r="BB97" t="inlineStr">
        <is>
          <t>9781416050568</t>
        </is>
      </c>
      <c r="BC97" t="inlineStr">
        <is>
          <t>32285005364699</t>
        </is>
      </c>
      <c r="BD97" t="inlineStr">
        <is>
          <t>893320105</t>
        </is>
      </c>
    </row>
    <row r="98">
      <c r="A98" t="inlineStr">
        <is>
          <t>No</t>
        </is>
      </c>
      <c r="B98" t="inlineStr">
        <is>
          <t>RC1200 .C34 2007 v. 26, no. 4</t>
        </is>
      </c>
      <c r="C98" t="inlineStr">
        <is>
          <t>0                      RC 1200000C  34          2007                                        v. 26, no. 4</t>
        </is>
      </c>
      <c r="D98" t="inlineStr">
        <is>
          <t>ACL graft and fixation choices / guest editors, Jon K. Sekiya, Steven B. Cohen.</t>
        </is>
      </c>
      <c r="E98" t="inlineStr">
        <is>
          <t>V. 26 NO. 4</t>
        </is>
      </c>
      <c r="F98" t="inlineStr">
        <is>
          <t>No</t>
        </is>
      </c>
      <c r="G98" t="inlineStr">
        <is>
          <t>1</t>
        </is>
      </c>
      <c r="H98" t="inlineStr">
        <is>
          <t>No</t>
        </is>
      </c>
      <c r="I98" t="inlineStr">
        <is>
          <t>No</t>
        </is>
      </c>
      <c r="J98" t="inlineStr">
        <is>
          <t>0</t>
        </is>
      </c>
      <c r="L98" t="inlineStr">
        <is>
          <t>Philadelphia, Pa. : Saunders, c2007.</t>
        </is>
      </c>
      <c r="M98" t="inlineStr">
        <is>
          <t>2007</t>
        </is>
      </c>
      <c r="O98" t="inlineStr">
        <is>
          <t>eng</t>
        </is>
      </c>
      <c r="P98" t="inlineStr">
        <is>
          <t>pau</t>
        </is>
      </c>
      <c r="Q98" t="inlineStr">
        <is>
          <t>Clinics in sports medicine, 0278-5919 ; v. 26, no. 4</t>
        </is>
      </c>
      <c r="R98" t="inlineStr">
        <is>
          <t xml:space="preserve">RC </t>
        </is>
      </c>
      <c r="S98" t="n">
        <v>2</v>
      </c>
      <c r="T98" t="n">
        <v>2</v>
      </c>
      <c r="U98" t="inlineStr">
        <is>
          <t>2010-12-01</t>
        </is>
      </c>
      <c r="V98" t="inlineStr">
        <is>
          <t>2010-12-01</t>
        </is>
      </c>
      <c r="W98" t="inlineStr">
        <is>
          <t>2008-02-27</t>
        </is>
      </c>
      <c r="X98" t="inlineStr">
        <is>
          <t>2008-02-27</t>
        </is>
      </c>
      <c r="Y98" t="n">
        <v>58</v>
      </c>
      <c r="Z98" t="n">
        <v>48</v>
      </c>
      <c r="AA98" t="n">
        <v>48</v>
      </c>
      <c r="AB98" t="n">
        <v>1</v>
      </c>
      <c r="AC98" t="n">
        <v>1</v>
      </c>
      <c r="AD98" t="n">
        <v>3</v>
      </c>
      <c r="AE98" t="n">
        <v>3</v>
      </c>
      <c r="AF98" t="n">
        <v>2</v>
      </c>
      <c r="AG98" t="n">
        <v>2</v>
      </c>
      <c r="AH98" t="n">
        <v>0</v>
      </c>
      <c r="AI98" t="n">
        <v>0</v>
      </c>
      <c r="AJ98" t="n">
        <v>1</v>
      </c>
      <c r="AK98" t="n">
        <v>1</v>
      </c>
      <c r="AL98" t="n">
        <v>0</v>
      </c>
      <c r="AM98" t="n">
        <v>0</v>
      </c>
      <c r="AN98" t="n">
        <v>0</v>
      </c>
      <c r="AO98" t="n">
        <v>0</v>
      </c>
      <c r="AP98" t="inlineStr">
        <is>
          <t>No</t>
        </is>
      </c>
      <c r="AQ98" t="inlineStr">
        <is>
          <t>No</t>
        </is>
      </c>
      <c r="AS98">
        <f>HYPERLINK("https://creighton-primo.hosted.exlibrisgroup.com/primo-explore/search?tab=default_tab&amp;search_scope=EVERYTHING&amp;vid=01CRU&amp;lang=en_US&amp;offset=0&amp;query=any,contains,991005187059702656","Catalog Record")</f>
        <v/>
      </c>
      <c r="AT98">
        <f>HYPERLINK("http://www.worldcat.org/oclc/181099422","WorldCat Record")</f>
        <v/>
      </c>
      <c r="AU98" t="inlineStr">
        <is>
          <t>364201007:eng</t>
        </is>
      </c>
      <c r="AV98" t="inlineStr">
        <is>
          <t>181099422</t>
        </is>
      </c>
      <c r="AW98" t="inlineStr">
        <is>
          <t>991005187059702656</t>
        </is>
      </c>
      <c r="AX98" t="inlineStr">
        <is>
          <t>991005187059702656</t>
        </is>
      </c>
      <c r="AY98" t="inlineStr">
        <is>
          <t>2270829470002656</t>
        </is>
      </c>
      <c r="AZ98" t="inlineStr">
        <is>
          <t>BOOK</t>
        </is>
      </c>
      <c r="BB98" t="inlineStr">
        <is>
          <t>9781416050575</t>
        </is>
      </c>
      <c r="BC98" t="inlineStr">
        <is>
          <t>32285005366454</t>
        </is>
      </c>
      <c r="BD98" t="inlineStr">
        <is>
          <t>893600773</t>
        </is>
      </c>
    </row>
    <row r="99">
      <c r="A99" t="inlineStr">
        <is>
          <t>No</t>
        </is>
      </c>
      <c r="B99" t="inlineStr">
        <is>
          <t>RC1200 .C34 2008 v. 27 no. 1</t>
        </is>
      </c>
      <c r="C99" t="inlineStr">
        <is>
          <t>0                      RC 1200000C  34          2008                                        v. 27 no. 1</t>
        </is>
      </c>
      <c r="D99" t="inlineStr">
        <is>
          <t>International perspectives / guest editor, Lyle J. Micheli.</t>
        </is>
      </c>
      <c r="E99" t="inlineStr">
        <is>
          <t>V. 27 NO. 1</t>
        </is>
      </c>
      <c r="F99" t="inlineStr">
        <is>
          <t>No</t>
        </is>
      </c>
      <c r="G99" t="inlineStr">
        <is>
          <t>1</t>
        </is>
      </c>
      <c r="H99" t="inlineStr">
        <is>
          <t>No</t>
        </is>
      </c>
      <c r="I99" t="inlineStr">
        <is>
          <t>No</t>
        </is>
      </c>
      <c r="J99" t="inlineStr">
        <is>
          <t>0</t>
        </is>
      </c>
      <c r="L99" t="inlineStr">
        <is>
          <t>Philadelphia, Pa. : Saunders, c2008.</t>
        </is>
      </c>
      <c r="M99" t="inlineStr">
        <is>
          <t>2008</t>
        </is>
      </c>
      <c r="O99" t="inlineStr">
        <is>
          <t>eng</t>
        </is>
      </c>
      <c r="P99" t="inlineStr">
        <is>
          <t>pau</t>
        </is>
      </c>
      <c r="Q99" t="inlineStr">
        <is>
          <t>Clinics in sports medicine, 0278-5919 ; v. 27, no. 1</t>
        </is>
      </c>
      <c r="R99" t="inlineStr">
        <is>
          <t xml:space="preserve">RC </t>
        </is>
      </c>
      <c r="S99" t="n">
        <v>1</v>
      </c>
      <c r="T99" t="n">
        <v>1</v>
      </c>
      <c r="U99" t="inlineStr">
        <is>
          <t>2008-05-21</t>
        </is>
      </c>
      <c r="V99" t="inlineStr">
        <is>
          <t>2008-05-21</t>
        </is>
      </c>
      <c r="W99" t="inlineStr">
        <is>
          <t>2008-03-06</t>
        </is>
      </c>
      <c r="X99" t="inlineStr">
        <is>
          <t>2008-03-06</t>
        </is>
      </c>
      <c r="Y99" t="n">
        <v>65</v>
      </c>
      <c r="Z99" t="n">
        <v>52</v>
      </c>
      <c r="AA99" t="n">
        <v>52</v>
      </c>
      <c r="AB99" t="n">
        <v>1</v>
      </c>
      <c r="AC99" t="n">
        <v>1</v>
      </c>
      <c r="AD99" t="n">
        <v>3</v>
      </c>
      <c r="AE99" t="n">
        <v>3</v>
      </c>
      <c r="AF99" t="n">
        <v>2</v>
      </c>
      <c r="AG99" t="n">
        <v>2</v>
      </c>
      <c r="AH99" t="n">
        <v>0</v>
      </c>
      <c r="AI99" t="n">
        <v>0</v>
      </c>
      <c r="AJ99" t="n">
        <v>1</v>
      </c>
      <c r="AK99" t="n">
        <v>1</v>
      </c>
      <c r="AL99" t="n">
        <v>0</v>
      </c>
      <c r="AM99" t="n">
        <v>0</v>
      </c>
      <c r="AN99" t="n">
        <v>0</v>
      </c>
      <c r="AO99" t="n">
        <v>0</v>
      </c>
      <c r="AP99" t="inlineStr">
        <is>
          <t>No</t>
        </is>
      </c>
      <c r="AQ99" t="inlineStr">
        <is>
          <t>No</t>
        </is>
      </c>
      <c r="AS99">
        <f>HYPERLINK("https://creighton-primo.hosted.exlibrisgroup.com/primo-explore/search?tab=default_tab&amp;search_scope=EVERYTHING&amp;vid=01CRU&amp;lang=en_US&amp;offset=0&amp;query=any,contains,991005189979702656","Catalog Record")</f>
        <v/>
      </c>
      <c r="AT99">
        <f>HYPERLINK("http://www.worldcat.org/oclc/206287426","WorldCat Record")</f>
        <v/>
      </c>
      <c r="AU99" t="inlineStr">
        <is>
          <t>127972509:eng</t>
        </is>
      </c>
      <c r="AV99" t="inlineStr">
        <is>
          <t>206287426</t>
        </is>
      </c>
      <c r="AW99" t="inlineStr">
        <is>
          <t>991005189979702656</t>
        </is>
      </c>
      <c r="AX99" t="inlineStr">
        <is>
          <t>991005189979702656</t>
        </is>
      </c>
      <c r="AY99" t="inlineStr">
        <is>
          <t>2269563190002656</t>
        </is>
      </c>
      <c r="AZ99" t="inlineStr">
        <is>
          <t>BOOK</t>
        </is>
      </c>
      <c r="BB99" t="inlineStr">
        <is>
          <t>9781416058106</t>
        </is>
      </c>
      <c r="BC99" t="inlineStr">
        <is>
          <t>32285005395685</t>
        </is>
      </c>
      <c r="BD99" t="inlineStr">
        <is>
          <t>893527071</t>
        </is>
      </c>
    </row>
    <row r="100">
      <c r="A100" t="inlineStr">
        <is>
          <t>No</t>
        </is>
      </c>
      <c r="B100" t="inlineStr">
        <is>
          <t>RC1200 .C34 2008 v. 27 no. 3</t>
        </is>
      </c>
      <c r="C100" t="inlineStr">
        <is>
          <t>0                      RC 1200000C  34          2008                                        v. 27 no. 3</t>
        </is>
      </c>
      <c r="D100" t="inlineStr">
        <is>
          <t>Sports injury outcomes and prevention / guest editor, Joseph M. Hart.</t>
        </is>
      </c>
      <c r="E100" t="inlineStr">
        <is>
          <t>V. 27 NO. 3</t>
        </is>
      </c>
      <c r="F100" t="inlineStr">
        <is>
          <t>No</t>
        </is>
      </c>
      <c r="G100" t="inlineStr">
        <is>
          <t>1</t>
        </is>
      </c>
      <c r="H100" t="inlineStr">
        <is>
          <t>No</t>
        </is>
      </c>
      <c r="I100" t="inlineStr">
        <is>
          <t>No</t>
        </is>
      </c>
      <c r="J100" t="inlineStr">
        <is>
          <t>0</t>
        </is>
      </c>
      <c r="L100" t="inlineStr">
        <is>
          <t>Philadelphia : W.B. Saunders, 2008.</t>
        </is>
      </c>
      <c r="M100" t="inlineStr">
        <is>
          <t>2008</t>
        </is>
      </c>
      <c r="O100" t="inlineStr">
        <is>
          <t>eng</t>
        </is>
      </c>
      <c r="P100" t="inlineStr">
        <is>
          <t>pau</t>
        </is>
      </c>
      <c r="Q100" t="inlineStr">
        <is>
          <t>Clinics in sports medicine, 0278-5919 ; v. 27, no. 3</t>
        </is>
      </c>
      <c r="R100" t="inlineStr">
        <is>
          <t xml:space="preserve">RC </t>
        </is>
      </c>
      <c r="S100" t="n">
        <v>2</v>
      </c>
      <c r="T100" t="n">
        <v>2</v>
      </c>
      <c r="U100" t="inlineStr">
        <is>
          <t>2009-09-29</t>
        </is>
      </c>
      <c r="V100" t="inlineStr">
        <is>
          <t>2009-09-29</t>
        </is>
      </c>
      <c r="W100" t="inlineStr">
        <is>
          <t>2008-08-18</t>
        </is>
      </c>
      <c r="X100" t="inlineStr">
        <is>
          <t>2008-08-18</t>
        </is>
      </c>
      <c r="Y100" t="n">
        <v>65</v>
      </c>
      <c r="Z100" t="n">
        <v>50</v>
      </c>
      <c r="AA100" t="n">
        <v>50</v>
      </c>
      <c r="AB100" t="n">
        <v>1</v>
      </c>
      <c r="AC100" t="n">
        <v>1</v>
      </c>
      <c r="AD100" t="n">
        <v>3</v>
      </c>
      <c r="AE100" t="n">
        <v>3</v>
      </c>
      <c r="AF100" t="n">
        <v>2</v>
      </c>
      <c r="AG100" t="n">
        <v>2</v>
      </c>
      <c r="AH100" t="n">
        <v>0</v>
      </c>
      <c r="AI100" t="n">
        <v>0</v>
      </c>
      <c r="AJ100" t="n">
        <v>1</v>
      </c>
      <c r="AK100" t="n">
        <v>1</v>
      </c>
      <c r="AL100" t="n">
        <v>0</v>
      </c>
      <c r="AM100" t="n">
        <v>0</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HYPERLINK("https://creighton-primo.hosted.exlibrisgroup.com/primo-explore/search?tab=default_tab&amp;search_scope=EVERYTHING&amp;vid=01CRU&amp;lang=en_US&amp;offset=0&amp;query=any,contains,991005259759702656","Catalog Record")</f>
        <v/>
      </c>
      <c r="AT100">
        <f>HYPERLINK("http://www.worldcat.org/oclc/225874430","WorldCat Record")</f>
        <v/>
      </c>
      <c r="AU100" t="inlineStr">
        <is>
          <t>135829963:eng</t>
        </is>
      </c>
      <c r="AV100" t="inlineStr">
        <is>
          <t>225874430</t>
        </is>
      </c>
      <c r="AW100" t="inlineStr">
        <is>
          <t>991005259759702656</t>
        </is>
      </c>
      <c r="AX100" t="inlineStr">
        <is>
          <t>991005259759702656</t>
        </is>
      </c>
      <c r="AY100" t="inlineStr">
        <is>
          <t>2267873410002656</t>
        </is>
      </c>
      <c r="AZ100" t="inlineStr">
        <is>
          <t>BOOK</t>
        </is>
      </c>
      <c r="BB100" t="inlineStr">
        <is>
          <t>9781416063544</t>
        </is>
      </c>
      <c r="BC100" t="inlineStr">
        <is>
          <t>32285005454912</t>
        </is>
      </c>
      <c r="BD100" t="inlineStr">
        <is>
          <t>893619701</t>
        </is>
      </c>
    </row>
    <row r="101">
      <c r="A101" t="inlineStr">
        <is>
          <t>No</t>
        </is>
      </c>
      <c r="B101" t="inlineStr">
        <is>
          <t>RC1200 .C34 2008 v. 27 no. 4</t>
        </is>
      </c>
      <c r="C101" t="inlineStr">
        <is>
          <t>0                      RC 1200000C  34          2008                                        v. 27 no. 4</t>
        </is>
      </c>
      <c r="D101" t="inlineStr">
        <is>
          <t>Shoulder problems in athletes / guest editor, Benjamin Shaffer ; consulting editor, Mark D. Miller.</t>
        </is>
      </c>
      <c r="E101" t="inlineStr">
        <is>
          <t>V. 27 NO. 4</t>
        </is>
      </c>
      <c r="F101" t="inlineStr">
        <is>
          <t>No</t>
        </is>
      </c>
      <c r="G101" t="inlineStr">
        <is>
          <t>1</t>
        </is>
      </c>
      <c r="H101" t="inlineStr">
        <is>
          <t>No</t>
        </is>
      </c>
      <c r="I101" t="inlineStr">
        <is>
          <t>No</t>
        </is>
      </c>
      <c r="J101" t="inlineStr">
        <is>
          <t>0</t>
        </is>
      </c>
      <c r="L101" t="inlineStr">
        <is>
          <t>Philadelphia, Pa. : Saunders, 2008.</t>
        </is>
      </c>
      <c r="M101" t="inlineStr">
        <is>
          <t>2008</t>
        </is>
      </c>
      <c r="O101" t="inlineStr">
        <is>
          <t>eng</t>
        </is>
      </c>
      <c r="P101" t="inlineStr">
        <is>
          <t>pau</t>
        </is>
      </c>
      <c r="Q101" t="inlineStr">
        <is>
          <t>Clinics in sports medicine, 0278-5919 ; v. 27, no. 4</t>
        </is>
      </c>
      <c r="R101" t="inlineStr">
        <is>
          <t xml:space="preserve">RC </t>
        </is>
      </c>
      <c r="S101" t="n">
        <v>1</v>
      </c>
      <c r="T101" t="n">
        <v>1</v>
      </c>
      <c r="U101" t="inlineStr">
        <is>
          <t>2009-01-19</t>
        </is>
      </c>
      <c r="V101" t="inlineStr">
        <is>
          <t>2009-01-19</t>
        </is>
      </c>
      <c r="W101" t="inlineStr">
        <is>
          <t>2009-01-19</t>
        </is>
      </c>
      <c r="X101" t="inlineStr">
        <is>
          <t>2009-01-19</t>
        </is>
      </c>
      <c r="Y101" t="n">
        <v>59</v>
      </c>
      <c r="Z101" t="n">
        <v>46</v>
      </c>
      <c r="AA101" t="n">
        <v>46</v>
      </c>
      <c r="AB101" t="n">
        <v>1</v>
      </c>
      <c r="AC101" t="n">
        <v>1</v>
      </c>
      <c r="AD101" t="n">
        <v>4</v>
      </c>
      <c r="AE101" t="n">
        <v>4</v>
      </c>
      <c r="AF101" t="n">
        <v>3</v>
      </c>
      <c r="AG101" t="n">
        <v>3</v>
      </c>
      <c r="AH101" t="n">
        <v>0</v>
      </c>
      <c r="AI101" t="n">
        <v>0</v>
      </c>
      <c r="AJ101" t="n">
        <v>2</v>
      </c>
      <c r="AK101" t="n">
        <v>2</v>
      </c>
      <c r="AL101" t="n">
        <v>0</v>
      </c>
      <c r="AM101" t="n">
        <v>0</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HYPERLINK("https://creighton-primo.hosted.exlibrisgroup.com/primo-explore/search?tab=default_tab&amp;search_scope=EVERYTHING&amp;vid=01CRU&amp;lang=en_US&amp;offset=0&amp;query=any,contains,991005290929702656","Catalog Record")</f>
        <v/>
      </c>
      <c r="AT101">
        <f>HYPERLINK("http://www.worldcat.org/oclc/244653172","WorldCat Record")</f>
        <v/>
      </c>
      <c r="AU101" t="inlineStr">
        <is>
          <t>2615466421:eng</t>
        </is>
      </c>
      <c r="AV101" t="inlineStr">
        <is>
          <t>244653172</t>
        </is>
      </c>
      <c r="AW101" t="inlineStr">
        <is>
          <t>991005290929702656</t>
        </is>
      </c>
      <c r="AX101" t="inlineStr">
        <is>
          <t>991005290929702656</t>
        </is>
      </c>
      <c r="AY101" t="inlineStr">
        <is>
          <t>2258770360002656</t>
        </is>
      </c>
      <c r="AZ101" t="inlineStr">
        <is>
          <t>BOOK</t>
        </is>
      </c>
      <c r="BB101" t="inlineStr">
        <is>
          <t>9781416063551</t>
        </is>
      </c>
      <c r="BC101" t="inlineStr">
        <is>
          <t>32285005479489</t>
        </is>
      </c>
      <c r="BD101" t="inlineStr">
        <is>
          <t>893344979</t>
        </is>
      </c>
    </row>
    <row r="102">
      <c r="A102" t="inlineStr">
        <is>
          <t>No</t>
        </is>
      </c>
      <c r="B102" t="inlineStr">
        <is>
          <t>RC1200 .C34 2009 v. 28 no. 1</t>
        </is>
      </c>
      <c r="C102" t="inlineStr">
        <is>
          <t>0                      RC 1200000C  34          2009                                        v. 28 no. 1</t>
        </is>
      </c>
      <c r="D102" t="inlineStr">
        <is>
          <t>Future trends in sports medicine / guest editor, Scott A. Rodeo.</t>
        </is>
      </c>
      <c r="E102" t="inlineStr">
        <is>
          <t>V. 28 NO. 1</t>
        </is>
      </c>
      <c r="F102" t="inlineStr">
        <is>
          <t>No</t>
        </is>
      </c>
      <c r="G102" t="inlineStr">
        <is>
          <t>1</t>
        </is>
      </c>
      <c r="H102" t="inlineStr">
        <is>
          <t>No</t>
        </is>
      </c>
      <c r="I102" t="inlineStr">
        <is>
          <t>No</t>
        </is>
      </c>
      <c r="J102" t="inlineStr">
        <is>
          <t>0</t>
        </is>
      </c>
      <c r="L102" t="inlineStr">
        <is>
          <t>Philadephia, Penn. : W.B. Saunders, 2009.</t>
        </is>
      </c>
      <c r="M102" t="inlineStr">
        <is>
          <t>2009</t>
        </is>
      </c>
      <c r="O102" t="inlineStr">
        <is>
          <t>eng</t>
        </is>
      </c>
      <c r="P102" t="inlineStr">
        <is>
          <t>pau</t>
        </is>
      </c>
      <c r="Q102" t="inlineStr">
        <is>
          <t>Clinics in sports medicine, 0278-5919; v. 28, no. 1</t>
        </is>
      </c>
      <c r="R102" t="inlineStr">
        <is>
          <t xml:space="preserve">RC </t>
        </is>
      </c>
      <c r="S102" t="n">
        <v>1</v>
      </c>
      <c r="T102" t="n">
        <v>1</v>
      </c>
      <c r="U102" t="inlineStr">
        <is>
          <t>2009-04-22</t>
        </is>
      </c>
      <c r="V102" t="inlineStr">
        <is>
          <t>2009-04-22</t>
        </is>
      </c>
      <c r="W102" t="inlineStr">
        <is>
          <t>2009-04-22</t>
        </is>
      </c>
      <c r="X102" t="inlineStr">
        <is>
          <t>2009-04-22</t>
        </is>
      </c>
      <c r="Y102" t="n">
        <v>58</v>
      </c>
      <c r="Z102" t="n">
        <v>47</v>
      </c>
      <c r="AA102" t="n">
        <v>47</v>
      </c>
      <c r="AB102" t="n">
        <v>1</v>
      </c>
      <c r="AC102" t="n">
        <v>1</v>
      </c>
      <c r="AD102" t="n">
        <v>3</v>
      </c>
      <c r="AE102" t="n">
        <v>3</v>
      </c>
      <c r="AF102" t="n">
        <v>2</v>
      </c>
      <c r="AG102" t="n">
        <v>2</v>
      </c>
      <c r="AH102" t="n">
        <v>0</v>
      </c>
      <c r="AI102" t="n">
        <v>0</v>
      </c>
      <c r="AJ102" t="n">
        <v>1</v>
      </c>
      <c r="AK102" t="n">
        <v>1</v>
      </c>
      <c r="AL102" t="n">
        <v>0</v>
      </c>
      <c r="AM102" t="n">
        <v>0</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HYPERLINK("https://creighton-primo.hosted.exlibrisgroup.com/primo-explore/search?tab=default_tab&amp;search_scope=EVERYTHING&amp;vid=01CRU&amp;lang=en_US&amp;offset=0&amp;query=any,contains,991005312419702656","Catalog Record")</f>
        <v/>
      </c>
      <c r="AT102">
        <f>HYPERLINK("http://www.worldcat.org/oclc/262883001","WorldCat Record")</f>
        <v/>
      </c>
      <c r="AU102" t="inlineStr">
        <is>
          <t>3769354266:eng</t>
        </is>
      </c>
      <c r="AV102" t="inlineStr">
        <is>
          <t>262883001</t>
        </is>
      </c>
      <c r="AW102" t="inlineStr">
        <is>
          <t>991005312419702656</t>
        </is>
      </c>
      <c r="AX102" t="inlineStr">
        <is>
          <t>991005312419702656</t>
        </is>
      </c>
      <c r="AY102" t="inlineStr">
        <is>
          <t>2257882900002656</t>
        </is>
      </c>
      <c r="AZ102" t="inlineStr">
        <is>
          <t>BOOK</t>
        </is>
      </c>
      <c r="BB102" t="inlineStr">
        <is>
          <t>9781437705423</t>
        </is>
      </c>
      <c r="BC102" t="inlineStr">
        <is>
          <t>32285005479471</t>
        </is>
      </c>
      <c r="BD102" t="inlineStr">
        <is>
          <t>893507960</t>
        </is>
      </c>
    </row>
    <row r="103">
      <c r="A103" t="inlineStr">
        <is>
          <t>No</t>
        </is>
      </c>
      <c r="B103" t="inlineStr">
        <is>
          <t>RC1200 .C34 2009 v. 28 no. 2</t>
        </is>
      </c>
      <c r="C103" t="inlineStr">
        <is>
          <t>0                      RC 1200000C  34          2009                                        v. 28 no. 2</t>
        </is>
      </c>
      <c r="D103" t="inlineStr">
        <is>
          <t>Allografts / guest editor, Darren L. Johnson ; consulting editor Mark D. Miller.</t>
        </is>
      </c>
      <c r="E103" t="inlineStr">
        <is>
          <t>V. 28 NO. 2</t>
        </is>
      </c>
      <c r="F103" t="inlineStr">
        <is>
          <t>No</t>
        </is>
      </c>
      <c r="G103" t="inlineStr">
        <is>
          <t>1</t>
        </is>
      </c>
      <c r="H103" t="inlineStr">
        <is>
          <t>No</t>
        </is>
      </c>
      <c r="I103" t="inlineStr">
        <is>
          <t>No</t>
        </is>
      </c>
      <c r="J103" t="inlineStr">
        <is>
          <t>0</t>
        </is>
      </c>
      <c r="L103" t="inlineStr">
        <is>
          <t>Philadelphia, Pa. : Saunders, 2009.</t>
        </is>
      </c>
      <c r="M103" t="inlineStr">
        <is>
          <t>2009</t>
        </is>
      </c>
      <c r="O103" t="inlineStr">
        <is>
          <t>eng</t>
        </is>
      </c>
      <c r="P103" t="inlineStr">
        <is>
          <t>pau</t>
        </is>
      </c>
      <c r="Q103" t="inlineStr">
        <is>
          <t>Clinics in sports medicine, 0278-5919 ; v. 28, no. 2</t>
        </is>
      </c>
      <c r="R103" t="inlineStr">
        <is>
          <t xml:space="preserve">RC </t>
        </is>
      </c>
      <c r="S103" t="n">
        <v>1</v>
      </c>
      <c r="T103" t="n">
        <v>1</v>
      </c>
      <c r="U103" t="inlineStr">
        <is>
          <t>2009-05-28</t>
        </is>
      </c>
      <c r="V103" t="inlineStr">
        <is>
          <t>2009-05-28</t>
        </is>
      </c>
      <c r="W103" t="inlineStr">
        <is>
          <t>2009-05-28</t>
        </is>
      </c>
      <c r="X103" t="inlineStr">
        <is>
          <t>2009-05-28</t>
        </is>
      </c>
      <c r="Y103" t="n">
        <v>48</v>
      </c>
      <c r="Z103" t="n">
        <v>35</v>
      </c>
      <c r="AA103" t="n">
        <v>35</v>
      </c>
      <c r="AB103" t="n">
        <v>1</v>
      </c>
      <c r="AC103" t="n">
        <v>1</v>
      </c>
      <c r="AD103" t="n">
        <v>2</v>
      </c>
      <c r="AE103" t="n">
        <v>2</v>
      </c>
      <c r="AF103" t="n">
        <v>2</v>
      </c>
      <c r="AG103" t="n">
        <v>2</v>
      </c>
      <c r="AH103" t="n">
        <v>0</v>
      </c>
      <c r="AI103" t="n">
        <v>0</v>
      </c>
      <c r="AJ103" t="n">
        <v>0</v>
      </c>
      <c r="AK103" t="n">
        <v>0</v>
      </c>
      <c r="AL103" t="n">
        <v>0</v>
      </c>
      <c r="AM103" t="n">
        <v>0</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HYPERLINK("https://creighton-primo.hosted.exlibrisgroup.com/primo-explore/search?tab=default_tab&amp;search_scope=EVERYTHING&amp;vid=01CRU&amp;lang=en_US&amp;offset=0&amp;query=any,contains,991005319739702656","Catalog Record")</f>
        <v/>
      </c>
      <c r="AT103">
        <f>HYPERLINK("http://www.worldcat.org/oclc/312626525","WorldCat Record")</f>
        <v/>
      </c>
      <c r="AU103" t="inlineStr">
        <is>
          <t>1778069566:eng</t>
        </is>
      </c>
      <c r="AV103" t="inlineStr">
        <is>
          <t>312626525</t>
        </is>
      </c>
      <c r="AW103" t="inlineStr">
        <is>
          <t>991005319739702656</t>
        </is>
      </c>
      <c r="AX103" t="inlineStr">
        <is>
          <t>991005319739702656</t>
        </is>
      </c>
      <c r="AY103" t="inlineStr">
        <is>
          <t>2260796990002656</t>
        </is>
      </c>
      <c r="AZ103" t="inlineStr">
        <is>
          <t>BOOK</t>
        </is>
      </c>
      <c r="BB103" t="inlineStr">
        <is>
          <t>9781437705430</t>
        </is>
      </c>
      <c r="BC103" t="inlineStr">
        <is>
          <t>32285005533178</t>
        </is>
      </c>
      <c r="BD103" t="inlineStr">
        <is>
          <t>893338912</t>
        </is>
      </c>
    </row>
    <row r="104">
      <c r="A104" t="inlineStr">
        <is>
          <t>No</t>
        </is>
      </c>
      <c r="B104" t="inlineStr">
        <is>
          <t>RC1200 .C34 2009 v. 28 no. 3</t>
        </is>
      </c>
      <c r="C104" t="inlineStr">
        <is>
          <t>0                      RC 1200000C  34          2009                                        v. 28 no. 3</t>
        </is>
      </c>
      <c r="D104" t="inlineStr">
        <is>
          <t>Obesity and diabetes in sports medicine / guest editors, Susan E. Kirk, Dilaawar J. Mistry.</t>
        </is>
      </c>
      <c r="E104" t="inlineStr">
        <is>
          <t>V. 28 NO. 3</t>
        </is>
      </c>
      <c r="F104" t="inlineStr">
        <is>
          <t>No</t>
        </is>
      </c>
      <c r="G104" t="inlineStr">
        <is>
          <t>1</t>
        </is>
      </c>
      <c r="H104" t="inlineStr">
        <is>
          <t>No</t>
        </is>
      </c>
      <c r="I104" t="inlineStr">
        <is>
          <t>No</t>
        </is>
      </c>
      <c r="J104" t="inlineStr">
        <is>
          <t>0</t>
        </is>
      </c>
      <c r="L104" t="inlineStr">
        <is>
          <t>Philadelphia, PA : W.B. Saunders Co., c2009.</t>
        </is>
      </c>
      <c r="M104" t="inlineStr">
        <is>
          <t>2009</t>
        </is>
      </c>
      <c r="O104" t="inlineStr">
        <is>
          <t>eng</t>
        </is>
      </c>
      <c r="P104" t="inlineStr">
        <is>
          <t>pau</t>
        </is>
      </c>
      <c r="Q104" t="inlineStr">
        <is>
          <t>Clinics in sports medicine, 0278-5919 ; v. 28, no. 3, July 2009</t>
        </is>
      </c>
      <c r="R104" t="inlineStr">
        <is>
          <t xml:space="preserve">RC </t>
        </is>
      </c>
      <c r="S104" t="n">
        <v>1</v>
      </c>
      <c r="T104" t="n">
        <v>1</v>
      </c>
      <c r="U104" t="inlineStr">
        <is>
          <t>2010-03-16</t>
        </is>
      </c>
      <c r="V104" t="inlineStr">
        <is>
          <t>2010-03-16</t>
        </is>
      </c>
      <c r="W104" t="inlineStr">
        <is>
          <t>2009-07-20</t>
        </is>
      </c>
      <c r="X104" t="inlineStr">
        <is>
          <t>2009-07-20</t>
        </is>
      </c>
      <c r="Y104" t="n">
        <v>63</v>
      </c>
      <c r="Z104" t="n">
        <v>47</v>
      </c>
      <c r="AA104" t="n">
        <v>47</v>
      </c>
      <c r="AB104" t="n">
        <v>1</v>
      </c>
      <c r="AC104" t="n">
        <v>1</v>
      </c>
      <c r="AD104" t="n">
        <v>3</v>
      </c>
      <c r="AE104" t="n">
        <v>3</v>
      </c>
      <c r="AF104" t="n">
        <v>3</v>
      </c>
      <c r="AG104" t="n">
        <v>3</v>
      </c>
      <c r="AH104" t="n">
        <v>0</v>
      </c>
      <c r="AI104" t="n">
        <v>0</v>
      </c>
      <c r="AJ104" t="n">
        <v>0</v>
      </c>
      <c r="AK104" t="n">
        <v>0</v>
      </c>
      <c r="AL104" t="n">
        <v>0</v>
      </c>
      <c r="AM104" t="n">
        <v>0</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HYPERLINK("https://creighton-primo.hosted.exlibrisgroup.com/primo-explore/search?tab=default_tab&amp;search_scope=EVERYTHING&amp;vid=01CRU&amp;lang=en_US&amp;offset=0&amp;query=any,contains,991005327529702656","Catalog Record")</f>
        <v/>
      </c>
      <c r="AT104">
        <f>HYPERLINK("http://www.worldcat.org/oclc/317917872","WorldCat Record")</f>
        <v/>
      </c>
      <c r="AU104" t="inlineStr">
        <is>
          <t>195187046:eng</t>
        </is>
      </c>
      <c r="AV104" t="inlineStr">
        <is>
          <t>317917872</t>
        </is>
      </c>
      <c r="AW104" t="inlineStr">
        <is>
          <t>991005327529702656</t>
        </is>
      </c>
      <c r="AX104" t="inlineStr">
        <is>
          <t>991005327529702656</t>
        </is>
      </c>
      <c r="AY104" t="inlineStr">
        <is>
          <t>2266197790002656</t>
        </is>
      </c>
      <c r="AZ104" t="inlineStr">
        <is>
          <t>BOOK</t>
        </is>
      </c>
      <c r="BB104" t="inlineStr">
        <is>
          <t>9781437712759</t>
        </is>
      </c>
      <c r="BC104" t="inlineStr">
        <is>
          <t>32285005538391</t>
        </is>
      </c>
      <c r="BD104" t="inlineStr">
        <is>
          <t>893254823</t>
        </is>
      </c>
    </row>
    <row r="105">
      <c r="A105" t="inlineStr">
        <is>
          <t>No</t>
        </is>
      </c>
      <c r="B105" t="inlineStr">
        <is>
          <t>RC1200 .C34 2009 v. 28 no. 4</t>
        </is>
      </c>
      <c r="C105" t="inlineStr">
        <is>
          <t>0                      RC 1200000C  34          2009                                        v. 28 no. 4</t>
        </is>
      </c>
      <c r="D105" t="inlineStr">
        <is>
          <t>Medical issues in boxing / guest editors, Gerard P. Varlotta, Barry D. Jordan.</t>
        </is>
      </c>
      <c r="E105" t="inlineStr">
        <is>
          <t>V. 28 NO. 4</t>
        </is>
      </c>
      <c r="F105" t="inlineStr">
        <is>
          <t>No</t>
        </is>
      </c>
      <c r="G105" t="inlineStr">
        <is>
          <t>1</t>
        </is>
      </c>
      <c r="H105" t="inlineStr">
        <is>
          <t>No</t>
        </is>
      </c>
      <c r="I105" t="inlineStr">
        <is>
          <t>No</t>
        </is>
      </c>
      <c r="J105" t="inlineStr">
        <is>
          <t>0</t>
        </is>
      </c>
      <c r="L105" t="inlineStr">
        <is>
          <t>Philadelphia, Penn. : W.B. Saunders, 2009.</t>
        </is>
      </c>
      <c r="M105" t="inlineStr">
        <is>
          <t>2009</t>
        </is>
      </c>
      <c r="O105" t="inlineStr">
        <is>
          <t>eng</t>
        </is>
      </c>
      <c r="P105" t="inlineStr">
        <is>
          <t>pau</t>
        </is>
      </c>
      <c r="Q105" t="inlineStr">
        <is>
          <t>Clinics in sports medicine, 0278-5919 ; v. 28, no. 4, Oct. 2009</t>
        </is>
      </c>
      <c r="R105" t="inlineStr">
        <is>
          <t xml:space="preserve">RC </t>
        </is>
      </c>
      <c r="S105" t="n">
        <v>1</v>
      </c>
      <c r="T105" t="n">
        <v>1</v>
      </c>
      <c r="U105" t="inlineStr">
        <is>
          <t>2010-01-28</t>
        </is>
      </c>
      <c r="V105" t="inlineStr">
        <is>
          <t>2010-01-28</t>
        </is>
      </c>
      <c r="W105" t="inlineStr">
        <is>
          <t>2010-01-28</t>
        </is>
      </c>
      <c r="X105" t="inlineStr">
        <is>
          <t>2010-01-28</t>
        </is>
      </c>
      <c r="Y105" t="n">
        <v>41</v>
      </c>
      <c r="Z105" t="n">
        <v>33</v>
      </c>
      <c r="AA105" t="n">
        <v>33</v>
      </c>
      <c r="AB105" t="n">
        <v>1</v>
      </c>
      <c r="AC105" t="n">
        <v>1</v>
      </c>
      <c r="AD105" t="n">
        <v>2</v>
      </c>
      <c r="AE105" t="n">
        <v>2</v>
      </c>
      <c r="AF105" t="n">
        <v>2</v>
      </c>
      <c r="AG105" t="n">
        <v>2</v>
      </c>
      <c r="AH105" t="n">
        <v>0</v>
      </c>
      <c r="AI105" t="n">
        <v>0</v>
      </c>
      <c r="AJ105" t="n">
        <v>0</v>
      </c>
      <c r="AK105" t="n">
        <v>0</v>
      </c>
      <c r="AL105" t="n">
        <v>0</v>
      </c>
      <c r="AM105" t="n">
        <v>0</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HYPERLINK("https://creighton-primo.hosted.exlibrisgroup.com/primo-explore/search?tab=default_tab&amp;search_scope=EVERYTHING&amp;vid=01CRU&amp;lang=en_US&amp;offset=0&amp;query=any,contains,991005360789702656","Catalog Record")</f>
        <v/>
      </c>
      <c r="AT105">
        <f>HYPERLINK("http://www.worldcat.org/oclc/319493112","WorldCat Record")</f>
        <v/>
      </c>
      <c r="AU105" t="inlineStr">
        <is>
          <t>196414884:eng</t>
        </is>
      </c>
      <c r="AV105" t="inlineStr">
        <is>
          <t>319493112</t>
        </is>
      </c>
      <c r="AW105" t="inlineStr">
        <is>
          <t>991005360789702656</t>
        </is>
      </c>
      <c r="AX105" t="inlineStr">
        <is>
          <t>991005360789702656</t>
        </is>
      </c>
      <c r="AY105" t="inlineStr">
        <is>
          <t>2256454520002656</t>
        </is>
      </c>
      <c r="AZ105" t="inlineStr">
        <is>
          <t>BOOK</t>
        </is>
      </c>
      <c r="BB105" t="inlineStr">
        <is>
          <t>9781437712766</t>
        </is>
      </c>
      <c r="BC105" t="inlineStr">
        <is>
          <t>32285005550800</t>
        </is>
      </c>
      <c r="BD105" t="inlineStr">
        <is>
          <t>893796043</t>
        </is>
      </c>
    </row>
    <row r="106">
      <c r="A106" t="inlineStr">
        <is>
          <t>No</t>
        </is>
      </c>
      <c r="B106" t="inlineStr">
        <is>
          <t>RC1200 .C34 2010 v. 29 no. 1</t>
        </is>
      </c>
      <c r="C106" t="inlineStr">
        <is>
          <t>0                      RC 1200000C  34          2010                                        v. 29 no. 1</t>
        </is>
      </c>
      <c r="D106" t="inlineStr">
        <is>
          <t>Rehabiliation from the perspective of the athletic trainer/physical trainer / guest editor, Jeff G. Konin.</t>
        </is>
      </c>
      <c r="E106" t="inlineStr">
        <is>
          <t>V. 29 NO. 1</t>
        </is>
      </c>
      <c r="F106" t="inlineStr">
        <is>
          <t>No</t>
        </is>
      </c>
      <c r="G106" t="inlineStr">
        <is>
          <t>1</t>
        </is>
      </c>
      <c r="H106" t="inlineStr">
        <is>
          <t>No</t>
        </is>
      </c>
      <c r="I106" t="inlineStr">
        <is>
          <t>No</t>
        </is>
      </c>
      <c r="J106" t="inlineStr">
        <is>
          <t>0</t>
        </is>
      </c>
      <c r="L106" t="inlineStr">
        <is>
          <t>Philadelphia, Pa. ; London : Saunders, 2010.</t>
        </is>
      </c>
      <c r="M106" t="inlineStr">
        <is>
          <t>2010</t>
        </is>
      </c>
      <c r="O106" t="inlineStr">
        <is>
          <t>eng</t>
        </is>
      </c>
      <c r="P106" t="inlineStr">
        <is>
          <t>pau</t>
        </is>
      </c>
      <c r="Q106" t="inlineStr">
        <is>
          <t>Clinics in sports medicine ; v. 29, no. 1, January 2010</t>
        </is>
      </c>
      <c r="R106" t="inlineStr">
        <is>
          <t xml:space="preserve">RC </t>
        </is>
      </c>
      <c r="S106" t="n">
        <v>1</v>
      </c>
      <c r="T106" t="n">
        <v>1</v>
      </c>
      <c r="U106" t="inlineStr">
        <is>
          <t>2010-01-28</t>
        </is>
      </c>
      <c r="V106" t="inlineStr">
        <is>
          <t>2010-01-28</t>
        </is>
      </c>
      <c r="W106" t="inlineStr">
        <is>
          <t>2010-01-28</t>
        </is>
      </c>
      <c r="X106" t="inlineStr">
        <is>
          <t>2010-01-28</t>
        </is>
      </c>
      <c r="Y106" t="n">
        <v>8</v>
      </c>
      <c r="Z106" t="n">
        <v>6</v>
      </c>
      <c r="AA106" t="n">
        <v>6</v>
      </c>
      <c r="AB106" t="n">
        <v>1</v>
      </c>
      <c r="AC106" t="n">
        <v>1</v>
      </c>
      <c r="AD106" t="n">
        <v>0</v>
      </c>
      <c r="AE106" t="n">
        <v>0</v>
      </c>
      <c r="AF106" t="n">
        <v>0</v>
      </c>
      <c r="AG106" t="n">
        <v>0</v>
      </c>
      <c r="AH106" t="n">
        <v>0</v>
      </c>
      <c r="AI106" t="n">
        <v>0</v>
      </c>
      <c r="AJ106" t="n">
        <v>0</v>
      </c>
      <c r="AK106" t="n">
        <v>0</v>
      </c>
      <c r="AL106" t="n">
        <v>0</v>
      </c>
      <c r="AM106" t="n">
        <v>0</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HYPERLINK("https://creighton-primo.hosted.exlibrisgroup.com/primo-explore/search?tab=default_tab&amp;search_scope=EVERYTHING&amp;vid=01CRU&amp;lang=en_US&amp;offset=0&amp;query=any,contains,991005360799702656","Catalog Record")</f>
        <v/>
      </c>
      <c r="AT106">
        <f>HYPERLINK("http://www.worldcat.org/oclc/473464437","WorldCat Record")</f>
        <v/>
      </c>
      <c r="AU106" t="inlineStr">
        <is>
          <t>3858683169:eng</t>
        </is>
      </c>
      <c r="AV106" t="inlineStr">
        <is>
          <t>473464437</t>
        </is>
      </c>
      <c r="AW106" t="inlineStr">
        <is>
          <t>991005360799702656</t>
        </is>
      </c>
      <c r="AX106" t="inlineStr">
        <is>
          <t>991005360799702656</t>
        </is>
      </c>
      <c r="AY106" t="inlineStr">
        <is>
          <t>2259732090002656</t>
        </is>
      </c>
      <c r="AZ106" t="inlineStr">
        <is>
          <t>BOOK</t>
        </is>
      </c>
      <c r="BB106" t="inlineStr">
        <is>
          <t>9781437718737</t>
        </is>
      </c>
      <c r="BC106" t="inlineStr">
        <is>
          <t>32285005570139</t>
        </is>
      </c>
      <c r="BD106" t="inlineStr">
        <is>
          <t>893412745</t>
        </is>
      </c>
    </row>
    <row r="107">
      <c r="A107" t="inlineStr">
        <is>
          <t>No</t>
        </is>
      </c>
      <c r="B107" t="inlineStr">
        <is>
          <t>RC1200 .C34 2010 v. 29 no. 2</t>
        </is>
      </c>
      <c r="C107" t="inlineStr">
        <is>
          <t>0                      RC 1200000C  34          2010                                        v. 29 no. 2</t>
        </is>
      </c>
      <c r="D107" t="inlineStr">
        <is>
          <t>Post-operative rehabilitation controversies in athletes / guest editor, Claude T. Moorman III ; consulting editor, Mark D. Miller.</t>
        </is>
      </c>
      <c r="E107" t="inlineStr">
        <is>
          <t>V. 29 NO. 2</t>
        </is>
      </c>
      <c r="F107" t="inlineStr">
        <is>
          <t>No</t>
        </is>
      </c>
      <c r="G107" t="inlineStr">
        <is>
          <t>1</t>
        </is>
      </c>
      <c r="H107" t="inlineStr">
        <is>
          <t>No</t>
        </is>
      </c>
      <c r="I107" t="inlineStr">
        <is>
          <t>No</t>
        </is>
      </c>
      <c r="J107" t="inlineStr">
        <is>
          <t>0</t>
        </is>
      </c>
      <c r="L107" t="inlineStr">
        <is>
          <t>Philadelphia, Pa. : Saunders, 2010.</t>
        </is>
      </c>
      <c r="M107" t="inlineStr">
        <is>
          <t>2010</t>
        </is>
      </c>
      <c r="O107" t="inlineStr">
        <is>
          <t>eng</t>
        </is>
      </c>
      <c r="P107" t="inlineStr">
        <is>
          <t>pau</t>
        </is>
      </c>
      <c r="Q107" t="inlineStr">
        <is>
          <t>Clinics in sports medicine, 0278-5919 ; v. 29, no. 2</t>
        </is>
      </c>
      <c r="R107" t="inlineStr">
        <is>
          <t xml:space="preserve">RC </t>
        </is>
      </c>
      <c r="S107" t="n">
        <v>1</v>
      </c>
      <c r="T107" t="n">
        <v>1</v>
      </c>
      <c r="U107" t="inlineStr">
        <is>
          <t>2010-04-19</t>
        </is>
      </c>
      <c r="V107" t="inlineStr">
        <is>
          <t>2010-04-19</t>
        </is>
      </c>
      <c r="W107" t="inlineStr">
        <is>
          <t>2010-04-19</t>
        </is>
      </c>
      <c r="X107" t="inlineStr">
        <is>
          <t>2010-04-19</t>
        </is>
      </c>
      <c r="Y107" t="n">
        <v>42</v>
      </c>
      <c r="Z107" t="n">
        <v>33</v>
      </c>
      <c r="AA107" t="n">
        <v>33</v>
      </c>
      <c r="AB107" t="n">
        <v>1</v>
      </c>
      <c r="AC107" t="n">
        <v>1</v>
      </c>
      <c r="AD107" t="n">
        <v>2</v>
      </c>
      <c r="AE107" t="n">
        <v>2</v>
      </c>
      <c r="AF107" t="n">
        <v>2</v>
      </c>
      <c r="AG107" t="n">
        <v>2</v>
      </c>
      <c r="AH107" t="n">
        <v>0</v>
      </c>
      <c r="AI107" t="n">
        <v>0</v>
      </c>
      <c r="AJ107" t="n">
        <v>0</v>
      </c>
      <c r="AK107" t="n">
        <v>0</v>
      </c>
      <c r="AL107" t="n">
        <v>0</v>
      </c>
      <c r="AM107" t="n">
        <v>0</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HYPERLINK("https://creighton-primo.hosted.exlibrisgroup.com/primo-explore/search?tab=default_tab&amp;search_scope=EVERYTHING&amp;vid=01CRU&amp;lang=en_US&amp;offset=0&amp;query=any,contains,991005387189702656","Catalog Record")</f>
        <v/>
      </c>
      <c r="AT107">
        <f>HYPERLINK("http://www.worldcat.org/oclc/607301958","WorldCat Record")</f>
        <v/>
      </c>
      <c r="AU107" t="inlineStr">
        <is>
          <t>2615478862:eng</t>
        </is>
      </c>
      <c r="AV107" t="inlineStr">
        <is>
          <t>607301958</t>
        </is>
      </c>
      <c r="AW107" t="inlineStr">
        <is>
          <t>991005387189702656</t>
        </is>
      </c>
      <c r="AX107" t="inlineStr">
        <is>
          <t>991005387189702656</t>
        </is>
      </c>
      <c r="AY107" t="inlineStr">
        <is>
          <t>2258204240002656</t>
        </is>
      </c>
      <c r="AZ107" t="inlineStr">
        <is>
          <t>BOOK</t>
        </is>
      </c>
      <c r="BB107" t="inlineStr">
        <is>
          <t>9781437718744</t>
        </is>
      </c>
      <c r="BC107" t="inlineStr">
        <is>
          <t>32285005565469</t>
        </is>
      </c>
      <c r="BD107" t="inlineStr">
        <is>
          <t>893689124</t>
        </is>
      </c>
    </row>
    <row r="108">
      <c r="A108" t="inlineStr">
        <is>
          <t>No</t>
        </is>
      </c>
      <c r="B108" t="inlineStr">
        <is>
          <t>RC1200 .C34 2010 v. 29 no. 3</t>
        </is>
      </c>
      <c r="C108" t="inlineStr">
        <is>
          <t>0                      RC 1200000C  34          2010                                        v. 29 no. 3</t>
        </is>
      </c>
      <c r="D108" t="inlineStr">
        <is>
          <t>The runner / guest editor, Robert P. Wilder.</t>
        </is>
      </c>
      <c r="E108" t="inlineStr">
        <is>
          <t>v. 29 no. 3*</t>
        </is>
      </c>
      <c r="F108" t="inlineStr">
        <is>
          <t>No</t>
        </is>
      </c>
      <c r="G108" t="inlineStr">
        <is>
          <t>1</t>
        </is>
      </c>
      <c r="H108" t="inlineStr">
        <is>
          <t>No</t>
        </is>
      </c>
      <c r="I108" t="inlineStr">
        <is>
          <t>No</t>
        </is>
      </c>
      <c r="J108" t="inlineStr">
        <is>
          <t>0</t>
        </is>
      </c>
      <c r="K108" t="inlineStr">
        <is>
          <t>Wilder, Robert P.</t>
        </is>
      </c>
      <c r="L108" t="inlineStr">
        <is>
          <t>Philadelphia, Pa. ; London : Saunders, c2010.</t>
        </is>
      </c>
      <c r="M108" t="inlineStr">
        <is>
          <t>2010</t>
        </is>
      </c>
      <c r="O108" t="inlineStr">
        <is>
          <t>eng</t>
        </is>
      </c>
      <c r="P108" t="inlineStr">
        <is>
          <t>pau</t>
        </is>
      </c>
      <c r="Q108" t="inlineStr">
        <is>
          <t>Clinics in sports medicine, 0278-5919 ; v. 29, no. 3</t>
        </is>
      </c>
      <c r="R108" t="inlineStr">
        <is>
          <t xml:space="preserve">RC </t>
        </is>
      </c>
      <c r="S108" t="n">
        <v>1</v>
      </c>
      <c r="T108" t="n">
        <v>1</v>
      </c>
      <c r="U108" t="inlineStr">
        <is>
          <t>2010-08-16</t>
        </is>
      </c>
      <c r="V108" t="inlineStr">
        <is>
          <t>2010-08-16</t>
        </is>
      </c>
      <c r="W108" t="inlineStr">
        <is>
          <t>2010-08-16</t>
        </is>
      </c>
      <c r="X108" t="inlineStr">
        <is>
          <t>2010-08-16</t>
        </is>
      </c>
      <c r="Y108" t="n">
        <v>47</v>
      </c>
      <c r="Z108" t="n">
        <v>32</v>
      </c>
      <c r="AA108" t="n">
        <v>54</v>
      </c>
      <c r="AB108" t="n">
        <v>1</v>
      </c>
      <c r="AC108" t="n">
        <v>1</v>
      </c>
      <c r="AD108" t="n">
        <v>2</v>
      </c>
      <c r="AE108" t="n">
        <v>2</v>
      </c>
      <c r="AF108" t="n">
        <v>2</v>
      </c>
      <c r="AG108" t="n">
        <v>2</v>
      </c>
      <c r="AH108" t="n">
        <v>0</v>
      </c>
      <c r="AI108" t="n">
        <v>0</v>
      </c>
      <c r="AJ108" t="n">
        <v>0</v>
      </c>
      <c r="AK108" t="n">
        <v>0</v>
      </c>
      <c r="AL108" t="n">
        <v>0</v>
      </c>
      <c r="AM108" t="n">
        <v>0</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HYPERLINK("https://creighton-primo.hosted.exlibrisgroup.com/primo-explore/search?tab=default_tab&amp;search_scope=EVERYTHING&amp;vid=01CRU&amp;lang=en_US&amp;offset=0&amp;query=any,contains,991000059929702656","Catalog Record")</f>
        <v/>
      </c>
      <c r="AT108">
        <f>HYPERLINK("http://www.worldcat.org/oclc/636915685","WorldCat Record")</f>
        <v/>
      </c>
      <c r="AU108" t="inlineStr">
        <is>
          <t>892206279:eng</t>
        </is>
      </c>
      <c r="AV108" t="inlineStr">
        <is>
          <t>636915685</t>
        </is>
      </c>
      <c r="AW108" t="inlineStr">
        <is>
          <t>991000059929702656</t>
        </is>
      </c>
      <c r="AX108" t="inlineStr">
        <is>
          <t>991000059929702656</t>
        </is>
      </c>
      <c r="AY108" t="inlineStr">
        <is>
          <t>2264335970002656</t>
        </is>
      </c>
      <c r="AZ108" t="inlineStr">
        <is>
          <t>BOOK</t>
        </is>
      </c>
      <c r="BB108" t="inlineStr">
        <is>
          <t>9781437724974</t>
        </is>
      </c>
      <c r="BC108" t="inlineStr">
        <is>
          <t>32285005592984</t>
        </is>
      </c>
      <c r="BD108" t="inlineStr">
        <is>
          <t>893877760</t>
        </is>
      </c>
    </row>
    <row r="109">
      <c r="A109" t="inlineStr">
        <is>
          <t>No</t>
        </is>
      </c>
      <c r="B109" t="inlineStr">
        <is>
          <t>RC1200 .C34 2010 v. 29 no. 4</t>
        </is>
      </c>
      <c r="C109" t="inlineStr">
        <is>
          <t>0                      RC 1200000C  34          2010                                        v. 29 no. 4</t>
        </is>
      </c>
      <c r="D109" t="inlineStr">
        <is>
          <t>The athlete's elbow / guest editor, Marc R. Safran.</t>
        </is>
      </c>
      <c r="E109" t="inlineStr">
        <is>
          <t>v. 29 no. 4*</t>
        </is>
      </c>
      <c r="F109" t="inlineStr">
        <is>
          <t>No</t>
        </is>
      </c>
      <c r="G109" t="inlineStr">
        <is>
          <t>1</t>
        </is>
      </c>
      <c r="H109" t="inlineStr">
        <is>
          <t>No</t>
        </is>
      </c>
      <c r="I109" t="inlineStr">
        <is>
          <t>No</t>
        </is>
      </c>
      <c r="J109" t="inlineStr">
        <is>
          <t>0</t>
        </is>
      </c>
      <c r="L109" t="inlineStr">
        <is>
          <t>Philadelphia, PA : W.B. Saunders Co., c2010.</t>
        </is>
      </c>
      <c r="M109" t="inlineStr">
        <is>
          <t>2010</t>
        </is>
      </c>
      <c r="O109" t="inlineStr">
        <is>
          <t>eng</t>
        </is>
      </c>
      <c r="P109" t="inlineStr">
        <is>
          <t>pau</t>
        </is>
      </c>
      <c r="Q109" t="inlineStr">
        <is>
          <t>Clinics in sports medicine, 0278-5919 ; v. 29, no. 4</t>
        </is>
      </c>
      <c r="R109" t="inlineStr">
        <is>
          <t xml:space="preserve">RC </t>
        </is>
      </c>
      <c r="S109" t="n">
        <v>1</v>
      </c>
      <c r="T109" t="n">
        <v>1</v>
      </c>
      <c r="U109" t="inlineStr">
        <is>
          <t>2010-11-17</t>
        </is>
      </c>
      <c r="V109" t="inlineStr">
        <is>
          <t>2010-11-17</t>
        </is>
      </c>
      <c r="W109" t="inlineStr">
        <is>
          <t>2010-11-17</t>
        </is>
      </c>
      <c r="X109" t="inlineStr">
        <is>
          <t>2010-11-17</t>
        </is>
      </c>
      <c r="Y109" t="n">
        <v>44</v>
      </c>
      <c r="Z109" t="n">
        <v>32</v>
      </c>
      <c r="AA109" t="n">
        <v>32</v>
      </c>
      <c r="AB109" t="n">
        <v>1</v>
      </c>
      <c r="AC109" t="n">
        <v>1</v>
      </c>
      <c r="AD109" t="n">
        <v>2</v>
      </c>
      <c r="AE109" t="n">
        <v>2</v>
      </c>
      <c r="AF109" t="n">
        <v>2</v>
      </c>
      <c r="AG109" t="n">
        <v>2</v>
      </c>
      <c r="AH109" t="n">
        <v>0</v>
      </c>
      <c r="AI109" t="n">
        <v>0</v>
      </c>
      <c r="AJ109" t="n">
        <v>0</v>
      </c>
      <c r="AK109" t="n">
        <v>0</v>
      </c>
      <c r="AL109" t="n">
        <v>0</v>
      </c>
      <c r="AM109" t="n">
        <v>0</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HYPERLINK("https://creighton-primo.hosted.exlibrisgroup.com/primo-explore/search?tab=default_tab&amp;search_scope=EVERYTHING&amp;vid=01CRU&amp;lang=en_US&amp;offset=0&amp;query=any,contains,991000368199702656","Catalog Record")</f>
        <v/>
      </c>
      <c r="AT109">
        <f>HYPERLINK("http://www.worldcat.org/oclc/630452437","WorldCat Record")</f>
        <v/>
      </c>
      <c r="AU109" t="inlineStr">
        <is>
          <t>553524701:eng</t>
        </is>
      </c>
      <c r="AV109" t="inlineStr">
        <is>
          <t>630452437</t>
        </is>
      </c>
      <c r="AW109" t="inlineStr">
        <is>
          <t>991000368199702656</t>
        </is>
      </c>
      <c r="AX109" t="inlineStr">
        <is>
          <t>991000368199702656</t>
        </is>
      </c>
      <c r="AY109" t="inlineStr">
        <is>
          <t>2265730990002656</t>
        </is>
      </c>
      <c r="AZ109" t="inlineStr">
        <is>
          <t>BOOK</t>
        </is>
      </c>
      <c r="BB109" t="inlineStr">
        <is>
          <t>9781437724981</t>
        </is>
      </c>
      <c r="BC109" t="inlineStr">
        <is>
          <t>32285005606628</t>
        </is>
      </c>
      <c r="BD109" t="inlineStr">
        <is>
          <t>893521595</t>
        </is>
      </c>
    </row>
    <row r="110">
      <c r="A110" t="inlineStr">
        <is>
          <t>No</t>
        </is>
      </c>
      <c r="B110" t="inlineStr">
        <is>
          <t>RC1201 .C57 1984</t>
        </is>
      </c>
      <c r="C110" t="inlineStr">
        <is>
          <t>0                      RC 1201000C  57          1984</t>
        </is>
      </c>
      <c r="D110" t="inlineStr">
        <is>
          <t>Clinical sports medicine / edited by Robert C. Cantu.</t>
        </is>
      </c>
      <c r="F110" t="inlineStr">
        <is>
          <t>No</t>
        </is>
      </c>
      <c r="G110" t="inlineStr">
        <is>
          <t>1</t>
        </is>
      </c>
      <c r="H110" t="inlineStr">
        <is>
          <t>No</t>
        </is>
      </c>
      <c r="I110" t="inlineStr">
        <is>
          <t>No</t>
        </is>
      </c>
      <c r="J110" t="inlineStr">
        <is>
          <t>0</t>
        </is>
      </c>
      <c r="L110" t="inlineStr">
        <is>
          <t>Lexington, Mass. : Collamore Press, c1984.</t>
        </is>
      </c>
      <c r="M110" t="inlineStr">
        <is>
          <t>1984</t>
        </is>
      </c>
      <c r="O110" t="inlineStr">
        <is>
          <t>eng</t>
        </is>
      </c>
      <c r="P110" t="inlineStr">
        <is>
          <t>mau</t>
        </is>
      </c>
      <c r="R110" t="inlineStr">
        <is>
          <t xml:space="preserve">RC </t>
        </is>
      </c>
      <c r="S110" t="n">
        <v>6</v>
      </c>
      <c r="T110" t="n">
        <v>6</v>
      </c>
      <c r="U110" t="inlineStr">
        <is>
          <t>1993-11-27</t>
        </is>
      </c>
      <c r="V110" t="inlineStr">
        <is>
          <t>1993-11-27</t>
        </is>
      </c>
      <c r="W110" t="inlineStr">
        <is>
          <t>1993-03-24</t>
        </is>
      </c>
      <c r="X110" t="inlineStr">
        <is>
          <t>1993-03-24</t>
        </is>
      </c>
      <c r="Y110" t="n">
        <v>184</v>
      </c>
      <c r="Z110" t="n">
        <v>158</v>
      </c>
      <c r="AA110" t="n">
        <v>160</v>
      </c>
      <c r="AB110" t="n">
        <v>3</v>
      </c>
      <c r="AC110" t="n">
        <v>3</v>
      </c>
      <c r="AD110" t="n">
        <v>4</v>
      </c>
      <c r="AE110" t="n">
        <v>4</v>
      </c>
      <c r="AF110" t="n">
        <v>1</v>
      </c>
      <c r="AG110" t="n">
        <v>1</v>
      </c>
      <c r="AH110" t="n">
        <v>1</v>
      </c>
      <c r="AI110" t="n">
        <v>1</v>
      </c>
      <c r="AJ110" t="n">
        <v>0</v>
      </c>
      <c r="AK110" t="n">
        <v>0</v>
      </c>
      <c r="AL110" t="n">
        <v>2</v>
      </c>
      <c r="AM110" t="n">
        <v>2</v>
      </c>
      <c r="AN110" t="n">
        <v>0</v>
      </c>
      <c r="AO110" t="n">
        <v>0</v>
      </c>
      <c r="AP110" t="inlineStr">
        <is>
          <t>No</t>
        </is>
      </c>
      <c r="AQ110" t="inlineStr">
        <is>
          <t>Yes</t>
        </is>
      </c>
      <c r="AR110">
        <f>HYPERLINK("http://catalog.hathitrust.org/Record/000204159","HathiTrust Record")</f>
        <v/>
      </c>
      <c r="AS110">
        <f>HYPERLINK("https://creighton-primo.hosted.exlibrisgroup.com/primo-explore/search?tab=default_tab&amp;search_scope=EVERYTHING&amp;vid=01CRU&amp;lang=en_US&amp;offset=0&amp;query=any,contains,991000299549702656","Catalog Record")</f>
        <v/>
      </c>
      <c r="AT110">
        <f>HYPERLINK("http://www.worldcat.org/oclc/10020630","WorldCat Record")</f>
        <v/>
      </c>
      <c r="AU110" t="inlineStr">
        <is>
          <t>428153328:eng</t>
        </is>
      </c>
      <c r="AV110" t="inlineStr">
        <is>
          <t>10020630</t>
        </is>
      </c>
      <c r="AW110" t="inlineStr">
        <is>
          <t>991000299549702656</t>
        </is>
      </c>
      <c r="AX110" t="inlineStr">
        <is>
          <t>991000299549702656</t>
        </is>
      </c>
      <c r="AY110" t="inlineStr">
        <is>
          <t>2265328890002656</t>
        </is>
      </c>
      <c r="AZ110" t="inlineStr">
        <is>
          <t>BOOK</t>
        </is>
      </c>
      <c r="BB110" t="inlineStr">
        <is>
          <t>9780669068429</t>
        </is>
      </c>
      <c r="BC110" t="inlineStr">
        <is>
          <t>32285001608271</t>
        </is>
      </c>
      <c r="BD110" t="inlineStr">
        <is>
          <t>893508676</t>
        </is>
      </c>
    </row>
    <row r="111">
      <c r="A111" t="inlineStr">
        <is>
          <t>No</t>
        </is>
      </c>
      <c r="B111" t="inlineStr">
        <is>
          <t>RC1201 .E93</t>
        </is>
      </c>
      <c r="C111" t="inlineStr">
        <is>
          <t>0                      RC 1201000E  93</t>
        </is>
      </c>
      <c r="D111" t="inlineStr">
        <is>
          <t>The Exercising adult / editor Robert C. Cantu.</t>
        </is>
      </c>
      <c r="F111" t="inlineStr">
        <is>
          <t>No</t>
        </is>
      </c>
      <c r="G111" t="inlineStr">
        <is>
          <t>1</t>
        </is>
      </c>
      <c r="H111" t="inlineStr">
        <is>
          <t>No</t>
        </is>
      </c>
      <c r="I111" t="inlineStr">
        <is>
          <t>No</t>
        </is>
      </c>
      <c r="J111" t="inlineStr">
        <is>
          <t>0</t>
        </is>
      </c>
      <c r="L111" t="inlineStr">
        <is>
          <t>Lexington, MA : Collamore Press, c1982.</t>
        </is>
      </c>
      <c r="M111" t="inlineStr">
        <is>
          <t>1982</t>
        </is>
      </c>
      <c r="O111" t="inlineStr">
        <is>
          <t>eng</t>
        </is>
      </c>
      <c r="P111" t="inlineStr">
        <is>
          <t>mau</t>
        </is>
      </c>
      <c r="R111" t="inlineStr">
        <is>
          <t xml:space="preserve">RC </t>
        </is>
      </c>
      <c r="S111" t="n">
        <v>14</v>
      </c>
      <c r="T111" t="n">
        <v>14</v>
      </c>
      <c r="U111" t="inlineStr">
        <is>
          <t>1998-04-01</t>
        </is>
      </c>
      <c r="V111" t="inlineStr">
        <is>
          <t>1998-04-01</t>
        </is>
      </c>
      <c r="W111" t="inlineStr">
        <is>
          <t>1990-06-13</t>
        </is>
      </c>
      <c r="X111" t="inlineStr">
        <is>
          <t>1990-06-13</t>
        </is>
      </c>
      <c r="Y111" t="n">
        <v>279</v>
      </c>
      <c r="Z111" t="n">
        <v>229</v>
      </c>
      <c r="AA111" t="n">
        <v>296</v>
      </c>
      <c r="AB111" t="n">
        <v>2</v>
      </c>
      <c r="AC111" t="n">
        <v>2</v>
      </c>
      <c r="AD111" t="n">
        <v>5</v>
      </c>
      <c r="AE111" t="n">
        <v>7</v>
      </c>
      <c r="AF111" t="n">
        <v>2</v>
      </c>
      <c r="AG111" t="n">
        <v>2</v>
      </c>
      <c r="AH111" t="n">
        <v>2</v>
      </c>
      <c r="AI111" t="n">
        <v>2</v>
      </c>
      <c r="AJ111" t="n">
        <v>1</v>
      </c>
      <c r="AK111" t="n">
        <v>3</v>
      </c>
      <c r="AL111" t="n">
        <v>1</v>
      </c>
      <c r="AM111" t="n">
        <v>1</v>
      </c>
      <c r="AN111" t="n">
        <v>0</v>
      </c>
      <c r="AO111" t="n">
        <v>0</v>
      </c>
      <c r="AP111" t="inlineStr">
        <is>
          <t>No</t>
        </is>
      </c>
      <c r="AQ111" t="inlineStr">
        <is>
          <t>Yes</t>
        </is>
      </c>
      <c r="AR111">
        <f>HYPERLINK("http://catalog.hathitrust.org/Record/000224529","HathiTrust Record")</f>
        <v/>
      </c>
      <c r="AS111">
        <f>HYPERLINK("https://creighton-primo.hosted.exlibrisgroup.com/primo-explore/search?tab=default_tab&amp;search_scope=EVERYTHING&amp;vid=01CRU&amp;lang=en_US&amp;offset=0&amp;query=any,contains,991005141279702656","Catalog Record")</f>
        <v/>
      </c>
      <c r="AT111">
        <f>HYPERLINK("http://www.worldcat.org/oclc/7614508","WorldCat Record")</f>
        <v/>
      </c>
      <c r="AU111" t="inlineStr">
        <is>
          <t>54914070:eng</t>
        </is>
      </c>
      <c r="AV111" t="inlineStr">
        <is>
          <t>7614508</t>
        </is>
      </c>
      <c r="AW111" t="inlineStr">
        <is>
          <t>991005141279702656</t>
        </is>
      </c>
      <c r="AX111" t="inlineStr">
        <is>
          <t>991005141279702656</t>
        </is>
      </c>
      <c r="AY111" t="inlineStr">
        <is>
          <t>2264293490002656</t>
        </is>
      </c>
      <c r="AZ111" t="inlineStr">
        <is>
          <t>BOOK</t>
        </is>
      </c>
      <c r="BB111" t="inlineStr">
        <is>
          <t>9780669045093</t>
        </is>
      </c>
      <c r="BC111" t="inlineStr">
        <is>
          <t>32285000191667</t>
        </is>
      </c>
      <c r="BD111" t="inlineStr">
        <is>
          <t>893713503</t>
        </is>
      </c>
    </row>
    <row r="112">
      <c r="A112" t="inlineStr">
        <is>
          <t>No</t>
        </is>
      </c>
      <c r="B112" t="inlineStr">
        <is>
          <t>RC1210 .A44 1991</t>
        </is>
      </c>
      <c r="C112" t="inlineStr">
        <is>
          <t>0                      RC 1210000A  44          1991</t>
        </is>
      </c>
      <c r="D112" t="inlineStr">
        <is>
          <t>ACSM's guidelines for the team physician / edited by Robert C. Cantu, Lyle J. Micheli.</t>
        </is>
      </c>
      <c r="F112" t="inlineStr">
        <is>
          <t>No</t>
        </is>
      </c>
      <c r="G112" t="inlineStr">
        <is>
          <t>1</t>
        </is>
      </c>
      <c r="H112" t="inlineStr">
        <is>
          <t>No</t>
        </is>
      </c>
      <c r="I112" t="inlineStr">
        <is>
          <t>No</t>
        </is>
      </c>
      <c r="J112" t="inlineStr">
        <is>
          <t>0</t>
        </is>
      </c>
      <c r="K112" t="inlineStr">
        <is>
          <t>American College of Sports Medicine.</t>
        </is>
      </c>
      <c r="L112" t="inlineStr">
        <is>
          <t>Philadelphia : Lea &amp; Febiger, 1991.</t>
        </is>
      </c>
      <c r="M112" t="inlineStr">
        <is>
          <t>1991</t>
        </is>
      </c>
      <c r="O112" t="inlineStr">
        <is>
          <t>eng</t>
        </is>
      </c>
      <c r="P112" t="inlineStr">
        <is>
          <t>pau</t>
        </is>
      </c>
      <c r="R112" t="inlineStr">
        <is>
          <t xml:space="preserve">RC </t>
        </is>
      </c>
      <c r="S112" t="n">
        <v>9</v>
      </c>
      <c r="T112" t="n">
        <v>9</v>
      </c>
      <c r="U112" t="inlineStr">
        <is>
          <t>2008-07-20</t>
        </is>
      </c>
      <c r="V112" t="inlineStr">
        <is>
          <t>2008-07-20</t>
        </is>
      </c>
      <c r="W112" t="inlineStr">
        <is>
          <t>1992-04-30</t>
        </is>
      </c>
      <c r="X112" t="inlineStr">
        <is>
          <t>1992-04-30</t>
        </is>
      </c>
      <c r="Y112" t="n">
        <v>171</v>
      </c>
      <c r="Z112" t="n">
        <v>135</v>
      </c>
      <c r="AA112" t="n">
        <v>136</v>
      </c>
      <c r="AB112" t="n">
        <v>2</v>
      </c>
      <c r="AC112" t="n">
        <v>2</v>
      </c>
      <c r="AD112" t="n">
        <v>4</v>
      </c>
      <c r="AE112" t="n">
        <v>4</v>
      </c>
      <c r="AF112" t="n">
        <v>1</v>
      </c>
      <c r="AG112" t="n">
        <v>1</v>
      </c>
      <c r="AH112" t="n">
        <v>2</v>
      </c>
      <c r="AI112" t="n">
        <v>2</v>
      </c>
      <c r="AJ112" t="n">
        <v>2</v>
      </c>
      <c r="AK112" t="n">
        <v>2</v>
      </c>
      <c r="AL112" t="n">
        <v>1</v>
      </c>
      <c r="AM112" t="n">
        <v>1</v>
      </c>
      <c r="AN112" t="n">
        <v>0</v>
      </c>
      <c r="AO112" t="n">
        <v>0</v>
      </c>
      <c r="AP112" t="inlineStr">
        <is>
          <t>No</t>
        </is>
      </c>
      <c r="AQ112" t="inlineStr">
        <is>
          <t>Yes</t>
        </is>
      </c>
      <c r="AR112">
        <f>HYPERLINK("http://catalog.hathitrust.org/Record/002469768","HathiTrust Record")</f>
        <v/>
      </c>
      <c r="AS112">
        <f>HYPERLINK("https://creighton-primo.hosted.exlibrisgroup.com/primo-explore/search?tab=default_tab&amp;search_scope=EVERYTHING&amp;vid=01CRU&amp;lang=en_US&amp;offset=0&amp;query=any,contains,991001855619702656","Catalog Record")</f>
        <v/>
      </c>
      <c r="AT112">
        <f>HYPERLINK("http://www.worldcat.org/oclc/23286836","WorldCat Record")</f>
        <v/>
      </c>
      <c r="AU112" t="inlineStr">
        <is>
          <t>28622442:eng</t>
        </is>
      </c>
      <c r="AV112" t="inlineStr">
        <is>
          <t>23286836</t>
        </is>
      </c>
      <c r="AW112" t="inlineStr">
        <is>
          <t>991001855619702656</t>
        </is>
      </c>
      <c r="AX112" t="inlineStr">
        <is>
          <t>991001855619702656</t>
        </is>
      </c>
      <c r="AY112" t="inlineStr">
        <is>
          <t>2272144070002656</t>
        </is>
      </c>
      <c r="AZ112" t="inlineStr">
        <is>
          <t>BOOK</t>
        </is>
      </c>
      <c r="BB112" t="inlineStr">
        <is>
          <t>9780812113709</t>
        </is>
      </c>
      <c r="BC112" t="inlineStr">
        <is>
          <t>32285001037489</t>
        </is>
      </c>
      <c r="BD112" t="inlineStr">
        <is>
          <t>893334666</t>
        </is>
      </c>
    </row>
    <row r="113">
      <c r="A113" t="inlineStr">
        <is>
          <t>No</t>
        </is>
      </c>
      <c r="B113" t="inlineStr">
        <is>
          <t>RC1210 .A66</t>
        </is>
      </c>
      <c r="C113" t="inlineStr">
        <is>
          <t>0                      RC 1210000A  66</t>
        </is>
      </c>
      <c r="D113" t="inlineStr">
        <is>
          <t>Medicine for sport / by David F. Apple, Jr. and John D. Cantwell.</t>
        </is>
      </c>
      <c r="F113" t="inlineStr">
        <is>
          <t>No</t>
        </is>
      </c>
      <c r="G113" t="inlineStr">
        <is>
          <t>1</t>
        </is>
      </c>
      <c r="H113" t="inlineStr">
        <is>
          <t>No</t>
        </is>
      </c>
      <c r="I113" t="inlineStr">
        <is>
          <t>No</t>
        </is>
      </c>
      <c r="J113" t="inlineStr">
        <is>
          <t>0</t>
        </is>
      </c>
      <c r="K113" t="inlineStr">
        <is>
          <t>Apple, David F.</t>
        </is>
      </c>
      <c r="L113" t="inlineStr">
        <is>
          <t>Chicago : Year Book Medical Publishers, c1979.</t>
        </is>
      </c>
      <c r="M113" t="inlineStr">
        <is>
          <t>1979</t>
        </is>
      </c>
      <c r="O113" t="inlineStr">
        <is>
          <t>eng</t>
        </is>
      </c>
      <c r="P113" t="inlineStr">
        <is>
          <t>ilu</t>
        </is>
      </c>
      <c r="R113" t="inlineStr">
        <is>
          <t xml:space="preserve">RC </t>
        </is>
      </c>
      <c r="S113" t="n">
        <v>5</v>
      </c>
      <c r="T113" t="n">
        <v>5</v>
      </c>
      <c r="U113" t="inlineStr">
        <is>
          <t>1993-11-27</t>
        </is>
      </c>
      <c r="V113" t="inlineStr">
        <is>
          <t>1993-11-27</t>
        </is>
      </c>
      <c r="W113" t="inlineStr">
        <is>
          <t>1993-03-24</t>
        </is>
      </c>
      <c r="X113" t="inlineStr">
        <is>
          <t>1993-03-24</t>
        </is>
      </c>
      <c r="Y113" t="n">
        <v>252</v>
      </c>
      <c r="Z113" t="n">
        <v>199</v>
      </c>
      <c r="AA113" t="n">
        <v>206</v>
      </c>
      <c r="AB113" t="n">
        <v>1</v>
      </c>
      <c r="AC113" t="n">
        <v>1</v>
      </c>
      <c r="AD113" t="n">
        <v>3</v>
      </c>
      <c r="AE113" t="n">
        <v>3</v>
      </c>
      <c r="AF113" t="n">
        <v>2</v>
      </c>
      <c r="AG113" t="n">
        <v>2</v>
      </c>
      <c r="AH113" t="n">
        <v>1</v>
      </c>
      <c r="AI113" t="n">
        <v>1</v>
      </c>
      <c r="AJ113" t="n">
        <v>1</v>
      </c>
      <c r="AK113" t="n">
        <v>1</v>
      </c>
      <c r="AL113" t="n">
        <v>0</v>
      </c>
      <c r="AM113" t="n">
        <v>0</v>
      </c>
      <c r="AN113" t="n">
        <v>0</v>
      </c>
      <c r="AO113" t="n">
        <v>0</v>
      </c>
      <c r="AP113" t="inlineStr">
        <is>
          <t>No</t>
        </is>
      </c>
      <c r="AQ113" t="inlineStr">
        <is>
          <t>Yes</t>
        </is>
      </c>
      <c r="AR113">
        <f>HYPERLINK("http://catalog.hathitrust.org/Record/000036705","HathiTrust Record")</f>
        <v/>
      </c>
      <c r="AS113">
        <f>HYPERLINK("https://creighton-primo.hosted.exlibrisgroup.com/primo-explore/search?tab=default_tab&amp;search_scope=EVERYTHING&amp;vid=01CRU&amp;lang=en_US&amp;offset=0&amp;query=any,contains,991005257579702656","Catalog Record")</f>
        <v/>
      </c>
      <c r="AT113">
        <f>HYPERLINK("http://www.worldcat.org/oclc/4883790","WorldCat Record")</f>
        <v/>
      </c>
      <c r="AU113" t="inlineStr">
        <is>
          <t>477021:eng</t>
        </is>
      </c>
      <c r="AV113" t="inlineStr">
        <is>
          <t>4883790</t>
        </is>
      </c>
      <c r="AW113" t="inlineStr">
        <is>
          <t>991005257579702656</t>
        </is>
      </c>
      <c r="AX113" t="inlineStr">
        <is>
          <t>991005257579702656</t>
        </is>
      </c>
      <c r="AY113" t="inlineStr">
        <is>
          <t>2264022510002656</t>
        </is>
      </c>
      <c r="AZ113" t="inlineStr">
        <is>
          <t>BOOK</t>
        </is>
      </c>
      <c r="BB113" t="inlineStr">
        <is>
          <t>9780815114208</t>
        </is>
      </c>
      <c r="BC113" t="inlineStr">
        <is>
          <t>32285001608305</t>
        </is>
      </c>
      <c r="BD113" t="inlineStr">
        <is>
          <t>893713751</t>
        </is>
      </c>
    </row>
    <row r="114">
      <c r="A114" t="inlineStr">
        <is>
          <t>No</t>
        </is>
      </c>
      <c r="B114" t="inlineStr">
        <is>
          <t>RC1210 .A84 1999</t>
        </is>
      </c>
      <c r="C114" t="inlineStr">
        <is>
          <t>0                      RC 1210000A  84          1999</t>
        </is>
      </c>
      <c r="D114" t="inlineStr">
        <is>
          <t>Athletic training and sports medicine / [edited by Robert C. Schenck].</t>
        </is>
      </c>
      <c r="F114" t="inlineStr">
        <is>
          <t>No</t>
        </is>
      </c>
      <c r="G114" t="inlineStr">
        <is>
          <t>1</t>
        </is>
      </c>
      <c r="H114" t="inlineStr">
        <is>
          <t>No</t>
        </is>
      </c>
      <c r="I114" t="inlineStr">
        <is>
          <t>No</t>
        </is>
      </c>
      <c r="J114" t="inlineStr">
        <is>
          <t>0</t>
        </is>
      </c>
      <c r="L114" t="inlineStr">
        <is>
          <t>Rosemont, IL : American Academy of Orthopaedic Surgeons, c1999.</t>
        </is>
      </c>
      <c r="M114" t="inlineStr">
        <is>
          <t>1999</t>
        </is>
      </c>
      <c r="N114" t="inlineStr">
        <is>
          <t>3rd ed.</t>
        </is>
      </c>
      <c r="O114" t="inlineStr">
        <is>
          <t>eng</t>
        </is>
      </c>
      <c r="P114" t="inlineStr">
        <is>
          <t>ilu</t>
        </is>
      </c>
      <c r="R114" t="inlineStr">
        <is>
          <t xml:space="preserve">RC </t>
        </is>
      </c>
      <c r="S114" t="n">
        <v>1</v>
      </c>
      <c r="T114" t="n">
        <v>1</v>
      </c>
      <c r="U114" t="inlineStr">
        <is>
          <t>2002-05-17</t>
        </is>
      </c>
      <c r="V114" t="inlineStr">
        <is>
          <t>2002-05-17</t>
        </is>
      </c>
      <c r="W114" t="inlineStr">
        <is>
          <t>2002-05-14</t>
        </is>
      </c>
      <c r="X114" t="inlineStr">
        <is>
          <t>2002-05-14</t>
        </is>
      </c>
      <c r="Y114" t="n">
        <v>230</v>
      </c>
      <c r="Z114" t="n">
        <v>191</v>
      </c>
      <c r="AA114" t="n">
        <v>193</v>
      </c>
      <c r="AB114" t="n">
        <v>2</v>
      </c>
      <c r="AC114" t="n">
        <v>2</v>
      </c>
      <c r="AD114" t="n">
        <v>7</v>
      </c>
      <c r="AE114" t="n">
        <v>7</v>
      </c>
      <c r="AF114" t="n">
        <v>3</v>
      </c>
      <c r="AG114" t="n">
        <v>3</v>
      </c>
      <c r="AH114" t="n">
        <v>2</v>
      </c>
      <c r="AI114" t="n">
        <v>2</v>
      </c>
      <c r="AJ114" t="n">
        <v>1</v>
      </c>
      <c r="AK114" t="n">
        <v>1</v>
      </c>
      <c r="AL114" t="n">
        <v>1</v>
      </c>
      <c r="AM114" t="n">
        <v>1</v>
      </c>
      <c r="AN114" t="n">
        <v>0</v>
      </c>
      <c r="AO114" t="n">
        <v>0</v>
      </c>
      <c r="AP114" t="inlineStr">
        <is>
          <t>No</t>
        </is>
      </c>
      <c r="AQ114" t="inlineStr">
        <is>
          <t>Yes</t>
        </is>
      </c>
      <c r="AR114">
        <f>HYPERLINK("http://catalog.hathitrust.org/Record/004094910","HathiTrust Record")</f>
        <v/>
      </c>
      <c r="AS114">
        <f>HYPERLINK("https://creighton-primo.hosted.exlibrisgroup.com/primo-explore/search?tab=default_tab&amp;search_scope=EVERYTHING&amp;vid=01CRU&amp;lang=en_US&amp;offset=0&amp;query=any,contains,991003780839702656","Catalog Record")</f>
        <v/>
      </c>
      <c r="AT114">
        <f>HYPERLINK("http://www.worldcat.org/oclc/41018367","WorldCat Record")</f>
        <v/>
      </c>
      <c r="AU114" t="inlineStr">
        <is>
          <t>3373524965:eng</t>
        </is>
      </c>
      <c r="AV114" t="inlineStr">
        <is>
          <t>41018367</t>
        </is>
      </c>
      <c r="AW114" t="inlineStr">
        <is>
          <t>991003780839702656</t>
        </is>
      </c>
      <c r="AX114" t="inlineStr">
        <is>
          <t>991003780839702656</t>
        </is>
      </c>
      <c r="AY114" t="inlineStr">
        <is>
          <t>2254859180002656</t>
        </is>
      </c>
      <c r="AZ114" t="inlineStr">
        <is>
          <t>BOOK</t>
        </is>
      </c>
      <c r="BB114" t="inlineStr">
        <is>
          <t>9780892031726</t>
        </is>
      </c>
      <c r="BC114" t="inlineStr">
        <is>
          <t>32285004488267</t>
        </is>
      </c>
      <c r="BD114" t="inlineStr">
        <is>
          <t>893794040</t>
        </is>
      </c>
    </row>
    <row r="115">
      <c r="A115" t="inlineStr">
        <is>
          <t>No</t>
        </is>
      </c>
      <c r="B115" t="inlineStr">
        <is>
          <t>RC1210 .A845 1986</t>
        </is>
      </c>
      <c r="C115" t="inlineStr">
        <is>
          <t>0                      RC 1210000A  845         1986</t>
        </is>
      </c>
      <c r="D115" t="inlineStr">
        <is>
          <t>Athletic training : principles and practice / [edited by] Thomas D. Fahey.</t>
        </is>
      </c>
      <c r="F115" t="inlineStr">
        <is>
          <t>No</t>
        </is>
      </c>
      <c r="G115" t="inlineStr">
        <is>
          <t>1</t>
        </is>
      </c>
      <c r="H115" t="inlineStr">
        <is>
          <t>No</t>
        </is>
      </c>
      <c r="I115" t="inlineStr">
        <is>
          <t>No</t>
        </is>
      </c>
      <c r="J115" t="inlineStr">
        <is>
          <t>0</t>
        </is>
      </c>
      <c r="L115" t="inlineStr">
        <is>
          <t>Palo Alto, Calif. : Mayfield Publishing Co., 1986.</t>
        </is>
      </c>
      <c r="M115" t="inlineStr">
        <is>
          <t>1986</t>
        </is>
      </c>
      <c r="O115" t="inlineStr">
        <is>
          <t>eng</t>
        </is>
      </c>
      <c r="P115" t="inlineStr">
        <is>
          <t>cau</t>
        </is>
      </c>
      <c r="R115" t="inlineStr">
        <is>
          <t xml:space="preserve">RC </t>
        </is>
      </c>
      <c r="S115" t="n">
        <v>7</v>
      </c>
      <c r="T115" t="n">
        <v>7</v>
      </c>
      <c r="U115" t="inlineStr">
        <is>
          <t>2002-04-08</t>
        </is>
      </c>
      <c r="V115" t="inlineStr">
        <is>
          <t>2002-04-08</t>
        </is>
      </c>
      <c r="W115" t="inlineStr">
        <is>
          <t>1990-04-04</t>
        </is>
      </c>
      <c r="X115" t="inlineStr">
        <is>
          <t>1990-04-04</t>
        </is>
      </c>
      <c r="Y115" t="n">
        <v>296</v>
      </c>
      <c r="Z115" t="n">
        <v>260</v>
      </c>
      <c r="AA115" t="n">
        <v>260</v>
      </c>
      <c r="AB115" t="n">
        <v>2</v>
      </c>
      <c r="AC115" t="n">
        <v>2</v>
      </c>
      <c r="AD115" t="n">
        <v>4</v>
      </c>
      <c r="AE115" t="n">
        <v>4</v>
      </c>
      <c r="AF115" t="n">
        <v>1</v>
      </c>
      <c r="AG115" t="n">
        <v>1</v>
      </c>
      <c r="AH115" t="n">
        <v>2</v>
      </c>
      <c r="AI115" t="n">
        <v>2</v>
      </c>
      <c r="AJ115" t="n">
        <v>0</v>
      </c>
      <c r="AK115" t="n">
        <v>0</v>
      </c>
      <c r="AL115" t="n">
        <v>1</v>
      </c>
      <c r="AM115" t="n">
        <v>1</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HYPERLINK("https://creighton-primo.hosted.exlibrisgroup.com/primo-explore/search?tab=default_tab&amp;search_scope=EVERYTHING&amp;vid=01CRU&amp;lang=en_US&amp;offset=0&amp;query=any,contains,991000765219702656","Catalog Record")</f>
        <v/>
      </c>
      <c r="AT115">
        <f>HYPERLINK("http://www.worldcat.org/oclc/12985741","WorldCat Record")</f>
        <v/>
      </c>
      <c r="AU115" t="inlineStr">
        <is>
          <t>5759926:eng</t>
        </is>
      </c>
      <c r="AV115" t="inlineStr">
        <is>
          <t>12985741</t>
        </is>
      </c>
      <c r="AW115" t="inlineStr">
        <is>
          <t>991000765219702656</t>
        </is>
      </c>
      <c r="AX115" t="inlineStr">
        <is>
          <t>991000765219702656</t>
        </is>
      </c>
      <c r="AY115" t="inlineStr">
        <is>
          <t>2264636280002656</t>
        </is>
      </c>
      <c r="AZ115" t="inlineStr">
        <is>
          <t>BOOK</t>
        </is>
      </c>
      <c r="BB115" t="inlineStr">
        <is>
          <t>9780874845822</t>
        </is>
      </c>
      <c r="BC115" t="inlineStr">
        <is>
          <t>32285000110071</t>
        </is>
      </c>
      <c r="BD115" t="inlineStr">
        <is>
          <t>893261600</t>
        </is>
      </c>
    </row>
    <row r="116">
      <c r="A116" t="inlineStr">
        <is>
          <t>No</t>
        </is>
      </c>
      <c r="B116" t="inlineStr">
        <is>
          <t>RC1210 .C34 1982</t>
        </is>
      </c>
      <c r="C116" t="inlineStr">
        <is>
          <t>0                      RC 1210000C  34          1982</t>
        </is>
      </c>
      <c r="D116" t="inlineStr">
        <is>
          <t>Sports medicine in primary care / Robert C. Cantu ; with contributions by Roseanna Hemenway Means ... [et al.].</t>
        </is>
      </c>
      <c r="F116" t="inlineStr">
        <is>
          <t>No</t>
        </is>
      </c>
      <c r="G116" t="inlineStr">
        <is>
          <t>1</t>
        </is>
      </c>
      <c r="H116" t="inlineStr">
        <is>
          <t>No</t>
        </is>
      </c>
      <c r="I116" t="inlineStr">
        <is>
          <t>No</t>
        </is>
      </c>
      <c r="J116" t="inlineStr">
        <is>
          <t>0</t>
        </is>
      </c>
      <c r="K116" t="inlineStr">
        <is>
          <t>Cantu, Robert C.</t>
        </is>
      </c>
      <c r="L116" t="inlineStr">
        <is>
          <t>Lexington, Mass. : Collamore Press, D.C. Heath and Co., c1982.</t>
        </is>
      </c>
      <c r="M116" t="inlineStr">
        <is>
          <t>1982</t>
        </is>
      </c>
      <c r="O116" t="inlineStr">
        <is>
          <t>eng</t>
        </is>
      </c>
      <c r="P116" t="inlineStr">
        <is>
          <t>mau</t>
        </is>
      </c>
      <c r="R116" t="inlineStr">
        <is>
          <t xml:space="preserve">RC </t>
        </is>
      </c>
      <c r="S116" t="n">
        <v>3</v>
      </c>
      <c r="T116" t="n">
        <v>3</v>
      </c>
      <c r="U116" t="inlineStr">
        <is>
          <t>1993-11-27</t>
        </is>
      </c>
      <c r="V116" t="inlineStr">
        <is>
          <t>1993-11-27</t>
        </is>
      </c>
      <c r="W116" t="inlineStr">
        <is>
          <t>1990-03-29</t>
        </is>
      </c>
      <c r="X116" t="inlineStr">
        <is>
          <t>1990-03-29</t>
        </is>
      </c>
      <c r="Y116" t="n">
        <v>207</v>
      </c>
      <c r="Z116" t="n">
        <v>168</v>
      </c>
      <c r="AA116" t="n">
        <v>169</v>
      </c>
      <c r="AB116" t="n">
        <v>2</v>
      </c>
      <c r="AC116" t="n">
        <v>2</v>
      </c>
      <c r="AD116" t="n">
        <v>4</v>
      </c>
      <c r="AE116" t="n">
        <v>4</v>
      </c>
      <c r="AF116" t="n">
        <v>1</v>
      </c>
      <c r="AG116" t="n">
        <v>1</v>
      </c>
      <c r="AH116" t="n">
        <v>2</v>
      </c>
      <c r="AI116" t="n">
        <v>2</v>
      </c>
      <c r="AJ116" t="n">
        <v>1</v>
      </c>
      <c r="AK116" t="n">
        <v>1</v>
      </c>
      <c r="AL116" t="n">
        <v>1</v>
      </c>
      <c r="AM116" t="n">
        <v>1</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HYPERLINK("https://creighton-primo.hosted.exlibrisgroup.com/primo-explore/search?tab=default_tab&amp;search_scope=EVERYTHING&amp;vid=01CRU&amp;lang=en_US&amp;offset=0&amp;query=any,contains,991005204499702656","Catalog Record")</f>
        <v/>
      </c>
      <c r="AT116">
        <f>HYPERLINK("http://www.worldcat.org/oclc/8111738","WorldCat Record")</f>
        <v/>
      </c>
      <c r="AU116" t="inlineStr">
        <is>
          <t>398397:eng</t>
        </is>
      </c>
      <c r="AV116" t="inlineStr">
        <is>
          <t>8111738</t>
        </is>
      </c>
      <c r="AW116" t="inlineStr">
        <is>
          <t>991005204499702656</t>
        </is>
      </c>
      <c r="AX116" t="inlineStr">
        <is>
          <t>991005204499702656</t>
        </is>
      </c>
      <c r="AY116" t="inlineStr">
        <is>
          <t>2257046240002656</t>
        </is>
      </c>
      <c r="AZ116" t="inlineStr">
        <is>
          <t>BOOK</t>
        </is>
      </c>
      <c r="BB116" t="inlineStr">
        <is>
          <t>9780669045932</t>
        </is>
      </c>
      <c r="BC116" t="inlineStr">
        <is>
          <t>32285000106541</t>
        </is>
      </c>
      <c r="BD116" t="inlineStr">
        <is>
          <t>893688771</t>
        </is>
      </c>
    </row>
    <row r="117">
      <c r="A117" t="inlineStr">
        <is>
          <t>No</t>
        </is>
      </c>
      <c r="B117" t="inlineStr">
        <is>
          <t>RC1210 .C87 1990</t>
        </is>
      </c>
      <c r="C117" t="inlineStr">
        <is>
          <t>0                      RC 1210000C  87          1990</t>
        </is>
      </c>
      <c r="D117" t="inlineStr">
        <is>
          <t>Current therapy in sports medicine--2 / Joseph S. Torg, R. Peter Welsh, Roy J. Shephard.</t>
        </is>
      </c>
      <c r="F117" t="inlineStr">
        <is>
          <t>No</t>
        </is>
      </c>
      <c r="G117" t="inlineStr">
        <is>
          <t>1</t>
        </is>
      </c>
      <c r="H117" t="inlineStr">
        <is>
          <t>No</t>
        </is>
      </c>
      <c r="I117" t="inlineStr">
        <is>
          <t>No</t>
        </is>
      </c>
      <c r="J117" t="inlineStr">
        <is>
          <t>0</t>
        </is>
      </c>
      <c r="L117" t="inlineStr">
        <is>
          <t>Toronto ; Philadelphia : B.C. Decker ; Saint Louis, Mo. : Sales and distribution, United States and Puerto Rico, C.V. Mosby Co., c1990.</t>
        </is>
      </c>
      <c r="M117" t="inlineStr">
        <is>
          <t>1990</t>
        </is>
      </c>
      <c r="N117" t="inlineStr">
        <is>
          <t>[2nd ed.]</t>
        </is>
      </c>
      <c r="O117" t="inlineStr">
        <is>
          <t>eng</t>
        </is>
      </c>
      <c r="P117" t="inlineStr">
        <is>
          <t>onc</t>
        </is>
      </c>
      <c r="Q117" t="inlineStr">
        <is>
          <t>Current therapy series</t>
        </is>
      </c>
      <c r="R117" t="inlineStr">
        <is>
          <t xml:space="preserve">RC </t>
        </is>
      </c>
      <c r="S117" t="n">
        <v>8</v>
      </c>
      <c r="T117" t="n">
        <v>8</v>
      </c>
      <c r="U117" t="inlineStr">
        <is>
          <t>2004-03-16</t>
        </is>
      </c>
      <c r="V117" t="inlineStr">
        <is>
          <t>2004-03-16</t>
        </is>
      </c>
      <c r="W117" t="inlineStr">
        <is>
          <t>1991-01-17</t>
        </is>
      </c>
      <c r="X117" t="inlineStr">
        <is>
          <t>1991-01-17</t>
        </is>
      </c>
      <c r="Y117" t="n">
        <v>116</v>
      </c>
      <c r="Z117" t="n">
        <v>100</v>
      </c>
      <c r="AA117" t="n">
        <v>105</v>
      </c>
      <c r="AB117" t="n">
        <v>2</v>
      </c>
      <c r="AC117" t="n">
        <v>2</v>
      </c>
      <c r="AD117" t="n">
        <v>3</v>
      </c>
      <c r="AE117" t="n">
        <v>3</v>
      </c>
      <c r="AF117" t="n">
        <v>1</v>
      </c>
      <c r="AG117" t="n">
        <v>1</v>
      </c>
      <c r="AH117" t="n">
        <v>0</v>
      </c>
      <c r="AI117" t="n">
        <v>0</v>
      </c>
      <c r="AJ117" t="n">
        <v>2</v>
      </c>
      <c r="AK117" t="n">
        <v>2</v>
      </c>
      <c r="AL117" t="n">
        <v>1</v>
      </c>
      <c r="AM117" t="n">
        <v>1</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HYPERLINK("https://creighton-primo.hosted.exlibrisgroup.com/primo-explore/search?tab=default_tab&amp;search_scope=EVERYTHING&amp;vid=01CRU&amp;lang=en_US&amp;offset=0&amp;query=any,contains,991001579629702656","Catalog Record")</f>
        <v/>
      </c>
      <c r="AT117">
        <f>HYPERLINK("http://www.worldcat.org/oclc/20463225","WorldCat Record")</f>
        <v/>
      </c>
      <c r="AU117" t="inlineStr">
        <is>
          <t>1360860108:eng</t>
        </is>
      </c>
      <c r="AV117" t="inlineStr">
        <is>
          <t>20463225</t>
        </is>
      </c>
      <c r="AW117" t="inlineStr">
        <is>
          <t>991001579629702656</t>
        </is>
      </c>
      <c r="AX117" t="inlineStr">
        <is>
          <t>991001579629702656</t>
        </is>
      </c>
      <c r="AY117" t="inlineStr">
        <is>
          <t>2272771710002656</t>
        </is>
      </c>
      <c r="AZ117" t="inlineStr">
        <is>
          <t>BOOK</t>
        </is>
      </c>
      <c r="BB117" t="inlineStr">
        <is>
          <t>9781556640094</t>
        </is>
      </c>
      <c r="BC117" t="inlineStr">
        <is>
          <t>32285000408921</t>
        </is>
      </c>
      <c r="BD117" t="inlineStr">
        <is>
          <t>893709365</t>
        </is>
      </c>
    </row>
    <row r="118">
      <c r="A118" t="inlineStr">
        <is>
          <t>No</t>
        </is>
      </c>
      <c r="B118" t="inlineStr">
        <is>
          <t>RC1210 .E33 1988</t>
        </is>
      </c>
      <c r="C118" t="inlineStr">
        <is>
          <t>0                      RC 1210000E  33          1988</t>
        </is>
      </c>
      <c r="D118" t="inlineStr">
        <is>
          <t>Sports medicine / Edward Edelson ; introd. by C. Everett Koop.</t>
        </is>
      </c>
      <c r="F118" t="inlineStr">
        <is>
          <t>No</t>
        </is>
      </c>
      <c r="G118" t="inlineStr">
        <is>
          <t>1</t>
        </is>
      </c>
      <c r="H118" t="inlineStr">
        <is>
          <t>No</t>
        </is>
      </c>
      <c r="I118" t="inlineStr">
        <is>
          <t>No</t>
        </is>
      </c>
      <c r="J118" t="inlineStr">
        <is>
          <t>0</t>
        </is>
      </c>
      <c r="K118" t="inlineStr">
        <is>
          <t>Edelson, Edward, 1932-</t>
        </is>
      </c>
      <c r="L118" t="inlineStr">
        <is>
          <t>New York : Chelsea House Publishers, c1988.</t>
        </is>
      </c>
      <c r="M118" t="inlineStr">
        <is>
          <t>1988</t>
        </is>
      </c>
      <c r="O118" t="inlineStr">
        <is>
          <t>eng</t>
        </is>
      </c>
      <c r="P118" t="inlineStr">
        <is>
          <t>nyu</t>
        </is>
      </c>
      <c r="Q118" t="inlineStr">
        <is>
          <t>The Encyclopedia of health</t>
        </is>
      </c>
      <c r="R118" t="inlineStr">
        <is>
          <t xml:space="preserve">RC </t>
        </is>
      </c>
      <c r="S118" t="n">
        <v>12</v>
      </c>
      <c r="T118" t="n">
        <v>12</v>
      </c>
      <c r="U118" t="inlineStr">
        <is>
          <t>1994-10-30</t>
        </is>
      </c>
      <c r="V118" t="inlineStr">
        <is>
          <t>1994-10-30</t>
        </is>
      </c>
      <c r="W118" t="inlineStr">
        <is>
          <t>1993-03-24</t>
        </is>
      </c>
      <c r="X118" t="inlineStr">
        <is>
          <t>1993-03-24</t>
        </is>
      </c>
      <c r="Y118" t="n">
        <v>664</v>
      </c>
      <c r="Z118" t="n">
        <v>619</v>
      </c>
      <c r="AA118" t="n">
        <v>757</v>
      </c>
      <c r="AB118" t="n">
        <v>6</v>
      </c>
      <c r="AC118" t="n">
        <v>6</v>
      </c>
      <c r="AD118" t="n">
        <v>3</v>
      </c>
      <c r="AE118" t="n">
        <v>3</v>
      </c>
      <c r="AF118" t="n">
        <v>1</v>
      </c>
      <c r="AG118" t="n">
        <v>1</v>
      </c>
      <c r="AH118" t="n">
        <v>1</v>
      </c>
      <c r="AI118" t="n">
        <v>1</v>
      </c>
      <c r="AJ118" t="n">
        <v>2</v>
      </c>
      <c r="AK118" t="n">
        <v>2</v>
      </c>
      <c r="AL118" t="n">
        <v>0</v>
      </c>
      <c r="AM118" t="n">
        <v>0</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HYPERLINK("https://creighton-primo.hosted.exlibrisgroup.com/primo-explore/search?tab=default_tab&amp;search_scope=EVERYTHING&amp;vid=01CRU&amp;lang=en_US&amp;offset=0&amp;query=any,contains,991001219669702656","Catalog Record")</f>
        <v/>
      </c>
      <c r="AT118">
        <f>HYPERLINK("http://www.worldcat.org/oclc/17441611","WorldCat Record")</f>
        <v/>
      </c>
      <c r="AU118" t="inlineStr">
        <is>
          <t>9922073:eng</t>
        </is>
      </c>
      <c r="AV118" t="inlineStr">
        <is>
          <t>17441611</t>
        </is>
      </c>
      <c r="AW118" t="inlineStr">
        <is>
          <t>991001219669702656</t>
        </is>
      </c>
      <c r="AX118" t="inlineStr">
        <is>
          <t>991001219669702656</t>
        </is>
      </c>
      <c r="AY118" t="inlineStr">
        <is>
          <t>2260610970002656</t>
        </is>
      </c>
      <c r="AZ118" t="inlineStr">
        <is>
          <t>BOOK</t>
        </is>
      </c>
      <c r="BB118" t="inlineStr">
        <is>
          <t>9780791000304</t>
        </is>
      </c>
      <c r="BC118" t="inlineStr">
        <is>
          <t>32285001608313</t>
        </is>
      </c>
      <c r="BD118" t="inlineStr">
        <is>
          <t>893420177</t>
        </is>
      </c>
    </row>
    <row r="119">
      <c r="A119" t="inlineStr">
        <is>
          <t>No</t>
        </is>
      </c>
      <c r="B119" t="inlineStr">
        <is>
          <t>RC1210 .E94 1983</t>
        </is>
      </c>
      <c r="C119" t="inlineStr">
        <is>
          <t>0                      RC 1210000E  94          1983</t>
        </is>
      </c>
      <c r="D119" t="inlineStr">
        <is>
          <t>Exercise medicine : physiological principles and clinical applications / edited by Alfred A. Bove, David T. Lowenthal.</t>
        </is>
      </c>
      <c r="F119" t="inlineStr">
        <is>
          <t>No</t>
        </is>
      </c>
      <c r="G119" t="inlineStr">
        <is>
          <t>1</t>
        </is>
      </c>
      <c r="H119" t="inlineStr">
        <is>
          <t>Yes</t>
        </is>
      </c>
      <c r="I119" t="inlineStr">
        <is>
          <t>No</t>
        </is>
      </c>
      <c r="J119" t="inlineStr">
        <is>
          <t>0</t>
        </is>
      </c>
      <c r="L119" t="inlineStr">
        <is>
          <t>New York : Academic Press, 1983.</t>
        </is>
      </c>
      <c r="M119" t="inlineStr">
        <is>
          <t>1983</t>
        </is>
      </c>
      <c r="O119" t="inlineStr">
        <is>
          <t>eng</t>
        </is>
      </c>
      <c r="P119" t="inlineStr">
        <is>
          <t>nyu</t>
        </is>
      </c>
      <c r="R119" t="inlineStr">
        <is>
          <t xml:space="preserve">RC </t>
        </is>
      </c>
      <c r="S119" t="n">
        <v>5</v>
      </c>
      <c r="T119" t="n">
        <v>5</v>
      </c>
      <c r="U119" t="inlineStr">
        <is>
          <t>2003-09-18</t>
        </is>
      </c>
      <c r="V119" t="inlineStr">
        <is>
          <t>2003-09-18</t>
        </is>
      </c>
      <c r="W119" t="inlineStr">
        <is>
          <t>1993-03-24</t>
        </is>
      </c>
      <c r="X119" t="inlineStr">
        <is>
          <t>1993-03-24</t>
        </is>
      </c>
      <c r="Y119" t="n">
        <v>477</v>
      </c>
      <c r="Z119" t="n">
        <v>383</v>
      </c>
      <c r="AA119" t="n">
        <v>418</v>
      </c>
      <c r="AB119" t="n">
        <v>6</v>
      </c>
      <c r="AC119" t="n">
        <v>6</v>
      </c>
      <c r="AD119" t="n">
        <v>15</v>
      </c>
      <c r="AE119" t="n">
        <v>17</v>
      </c>
      <c r="AF119" t="n">
        <v>5</v>
      </c>
      <c r="AG119" t="n">
        <v>6</v>
      </c>
      <c r="AH119" t="n">
        <v>7</v>
      </c>
      <c r="AI119" t="n">
        <v>8</v>
      </c>
      <c r="AJ119" t="n">
        <v>6</v>
      </c>
      <c r="AK119" t="n">
        <v>6</v>
      </c>
      <c r="AL119" t="n">
        <v>4</v>
      </c>
      <c r="AM119" t="n">
        <v>4</v>
      </c>
      <c r="AN119" t="n">
        <v>0</v>
      </c>
      <c r="AO119" t="n">
        <v>0</v>
      </c>
      <c r="AP119" t="inlineStr">
        <is>
          <t>No</t>
        </is>
      </c>
      <c r="AQ119" t="inlineStr">
        <is>
          <t>Yes</t>
        </is>
      </c>
      <c r="AR119">
        <f>HYPERLINK("http://catalog.hathitrust.org/Record/000204394","HathiTrust Record")</f>
        <v/>
      </c>
      <c r="AS119">
        <f>HYPERLINK("https://creighton-primo.hosted.exlibrisgroup.com/primo-explore/search?tab=default_tab&amp;search_scope=EVERYTHING&amp;vid=01CRU&amp;lang=en_US&amp;offset=0&amp;query=any,contains,991000198149702656","Catalog Record")</f>
        <v/>
      </c>
      <c r="AT119">
        <f>HYPERLINK("http://www.worldcat.org/oclc/9442440","WorldCat Record")</f>
        <v/>
      </c>
      <c r="AU119" t="inlineStr">
        <is>
          <t>836722268:eng</t>
        </is>
      </c>
      <c r="AV119" t="inlineStr">
        <is>
          <t>9442440</t>
        </is>
      </c>
      <c r="AW119" t="inlineStr">
        <is>
          <t>991000198149702656</t>
        </is>
      </c>
      <c r="AX119" t="inlineStr">
        <is>
          <t>991000198149702656</t>
        </is>
      </c>
      <c r="AY119" t="inlineStr">
        <is>
          <t>2263538000002656</t>
        </is>
      </c>
      <c r="AZ119" t="inlineStr">
        <is>
          <t>BOOK</t>
        </is>
      </c>
      <c r="BB119" t="inlineStr">
        <is>
          <t>9780121197209</t>
        </is>
      </c>
      <c r="BC119" t="inlineStr">
        <is>
          <t>32285001608321</t>
        </is>
      </c>
      <c r="BD119" t="inlineStr">
        <is>
          <t>893865186</t>
        </is>
      </c>
    </row>
    <row r="120">
      <c r="A120" t="inlineStr">
        <is>
          <t>No</t>
        </is>
      </c>
      <c r="B120" t="inlineStr">
        <is>
          <t>RC1210 .G37 2000</t>
        </is>
      </c>
      <c r="C120" t="inlineStr">
        <is>
          <t>0                      RC 1210000G  37          2000</t>
        </is>
      </c>
      <c r="D120" t="inlineStr">
        <is>
          <t>Anybody's sports medicine book : the complete guide to quick recovery from injuries / James G. Garrick, Peter Radetsky.</t>
        </is>
      </c>
      <c r="F120" t="inlineStr">
        <is>
          <t>No</t>
        </is>
      </c>
      <c r="G120" t="inlineStr">
        <is>
          <t>1</t>
        </is>
      </c>
      <c r="H120" t="inlineStr">
        <is>
          <t>No</t>
        </is>
      </c>
      <c r="I120" t="inlineStr">
        <is>
          <t>No</t>
        </is>
      </c>
      <c r="J120" t="inlineStr">
        <is>
          <t>0</t>
        </is>
      </c>
      <c r="K120" t="inlineStr">
        <is>
          <t>Garrick, James G.</t>
        </is>
      </c>
      <c r="L120" t="inlineStr">
        <is>
          <t>Berkeley : Ten Speed Press, c2000.</t>
        </is>
      </c>
      <c r="M120" t="inlineStr">
        <is>
          <t>2000</t>
        </is>
      </c>
      <c r="O120" t="inlineStr">
        <is>
          <t>eng</t>
        </is>
      </c>
      <c r="P120" t="inlineStr">
        <is>
          <t>cau</t>
        </is>
      </c>
      <c r="R120" t="inlineStr">
        <is>
          <t xml:space="preserve">RC </t>
        </is>
      </c>
      <c r="S120" t="n">
        <v>3</v>
      </c>
      <c r="T120" t="n">
        <v>3</v>
      </c>
      <c r="U120" t="inlineStr">
        <is>
          <t>2003-05-29</t>
        </is>
      </c>
      <c r="V120" t="inlineStr">
        <is>
          <t>2003-05-29</t>
        </is>
      </c>
      <c r="W120" t="inlineStr">
        <is>
          <t>2000-09-13</t>
        </is>
      </c>
      <c r="X120" t="inlineStr">
        <is>
          <t>2000-09-13</t>
        </is>
      </c>
      <c r="Y120" t="n">
        <v>821</v>
      </c>
      <c r="Z120" t="n">
        <v>755</v>
      </c>
      <c r="AA120" t="n">
        <v>763</v>
      </c>
      <c r="AB120" t="n">
        <v>4</v>
      </c>
      <c r="AC120" t="n">
        <v>5</v>
      </c>
      <c r="AD120" t="n">
        <v>4</v>
      </c>
      <c r="AE120" t="n">
        <v>4</v>
      </c>
      <c r="AF120" t="n">
        <v>1</v>
      </c>
      <c r="AG120" t="n">
        <v>1</v>
      </c>
      <c r="AH120" t="n">
        <v>0</v>
      </c>
      <c r="AI120" t="n">
        <v>0</v>
      </c>
      <c r="AJ120" t="n">
        <v>1</v>
      </c>
      <c r="AK120" t="n">
        <v>1</v>
      </c>
      <c r="AL120" t="n">
        <v>2</v>
      </c>
      <c r="AM120" t="n">
        <v>2</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HYPERLINK("https://creighton-primo.hosted.exlibrisgroup.com/primo-explore/search?tab=default_tab&amp;search_scope=EVERYTHING&amp;vid=01CRU&amp;lang=en_US&amp;offset=0&amp;query=any,contains,991003267219702656","Catalog Record")</f>
        <v/>
      </c>
      <c r="AT120">
        <f>HYPERLINK("http://www.worldcat.org/oclc/44441519","WorldCat Record")</f>
        <v/>
      </c>
      <c r="AU120" t="inlineStr">
        <is>
          <t>14515904:eng</t>
        </is>
      </c>
      <c r="AV120" t="inlineStr">
        <is>
          <t>44441519</t>
        </is>
      </c>
      <c r="AW120" t="inlineStr">
        <is>
          <t>991003267219702656</t>
        </is>
      </c>
      <c r="AX120" t="inlineStr">
        <is>
          <t>991003267219702656</t>
        </is>
      </c>
      <c r="AY120" t="inlineStr">
        <is>
          <t>2270397860002656</t>
        </is>
      </c>
      <c r="AZ120" t="inlineStr">
        <is>
          <t>BOOK</t>
        </is>
      </c>
      <c r="BB120" t="inlineStr">
        <is>
          <t>9781580081443</t>
        </is>
      </c>
      <c r="BC120" t="inlineStr">
        <is>
          <t>32285003761664</t>
        </is>
      </c>
      <c r="BD120" t="inlineStr">
        <is>
          <t>893899793</t>
        </is>
      </c>
    </row>
    <row r="121">
      <c r="A121" t="inlineStr">
        <is>
          <t>No</t>
        </is>
      </c>
      <c r="B121" t="inlineStr">
        <is>
          <t>RC1210 .H3 1984</t>
        </is>
      </c>
      <c r="C121" t="inlineStr">
        <is>
          <t>0                      RC 1210000H  3           1984</t>
        </is>
      </c>
      <c r="D121" t="inlineStr">
        <is>
          <t>Sports medicine : a guide for youth sports / edited by Jerald D. Hawkins.</t>
        </is>
      </c>
      <c r="F121" t="inlineStr">
        <is>
          <t>No</t>
        </is>
      </c>
      <c r="G121" t="inlineStr">
        <is>
          <t>1</t>
        </is>
      </c>
      <c r="H121" t="inlineStr">
        <is>
          <t>No</t>
        </is>
      </c>
      <c r="I121" t="inlineStr">
        <is>
          <t>No</t>
        </is>
      </c>
      <c r="J121" t="inlineStr">
        <is>
          <t>0</t>
        </is>
      </c>
      <c r="K121" t="inlineStr">
        <is>
          <t>Hawkins, Jerald Dale.</t>
        </is>
      </c>
      <c r="L121" t="inlineStr">
        <is>
          <t>Greensboro, N.C. : Sport Studies Foundation, c1984.</t>
        </is>
      </c>
      <c r="M121" t="inlineStr">
        <is>
          <t>1984</t>
        </is>
      </c>
      <c r="O121" t="inlineStr">
        <is>
          <t>eng</t>
        </is>
      </c>
      <c r="P121" t="inlineStr">
        <is>
          <t>ncu</t>
        </is>
      </c>
      <c r="R121" t="inlineStr">
        <is>
          <t xml:space="preserve">RC </t>
        </is>
      </c>
      <c r="S121" t="n">
        <v>1</v>
      </c>
      <c r="T121" t="n">
        <v>1</v>
      </c>
      <c r="U121" t="inlineStr">
        <is>
          <t>1993-10-14</t>
        </is>
      </c>
      <c r="V121" t="inlineStr">
        <is>
          <t>1993-10-14</t>
        </is>
      </c>
      <c r="W121" t="inlineStr">
        <is>
          <t>1993-03-24</t>
        </is>
      </c>
      <c r="X121" t="inlineStr">
        <is>
          <t>1993-03-24</t>
        </is>
      </c>
      <c r="Y121" t="n">
        <v>36</v>
      </c>
      <c r="Z121" t="n">
        <v>34</v>
      </c>
      <c r="AA121" t="n">
        <v>34</v>
      </c>
      <c r="AB121" t="n">
        <v>1</v>
      </c>
      <c r="AC121" t="n">
        <v>1</v>
      </c>
      <c r="AD121" t="n">
        <v>0</v>
      </c>
      <c r="AE121" t="n">
        <v>0</v>
      </c>
      <c r="AF121" t="n">
        <v>0</v>
      </c>
      <c r="AG121" t="n">
        <v>0</v>
      </c>
      <c r="AH121" t="n">
        <v>0</v>
      </c>
      <c r="AI121" t="n">
        <v>0</v>
      </c>
      <c r="AJ121" t="n">
        <v>0</v>
      </c>
      <c r="AK121" t="n">
        <v>0</v>
      </c>
      <c r="AL121" t="n">
        <v>0</v>
      </c>
      <c r="AM121" t="n">
        <v>0</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HYPERLINK("https://creighton-primo.hosted.exlibrisgroup.com/primo-explore/search?tab=default_tab&amp;search_scope=EVERYTHING&amp;vid=01CRU&amp;lang=en_US&amp;offset=0&amp;query=any,contains,991000451339702656","Catalog Record")</f>
        <v/>
      </c>
      <c r="AT121">
        <f>HYPERLINK("http://www.worldcat.org/oclc/11345226","WorldCat Record")</f>
        <v/>
      </c>
      <c r="AU121" t="inlineStr">
        <is>
          <t>3855253235:eng</t>
        </is>
      </c>
      <c r="AV121" t="inlineStr">
        <is>
          <t>11345226</t>
        </is>
      </c>
      <c r="AW121" t="inlineStr">
        <is>
          <t>991000451339702656</t>
        </is>
      </c>
      <c r="AX121" t="inlineStr">
        <is>
          <t>991000451339702656</t>
        </is>
      </c>
      <c r="AY121" t="inlineStr">
        <is>
          <t>2257144980002656</t>
        </is>
      </c>
      <c r="AZ121" t="inlineStr">
        <is>
          <t>BOOK</t>
        </is>
      </c>
      <c r="BC121" t="inlineStr">
        <is>
          <t>32285001608339</t>
        </is>
      </c>
      <c r="BD121" t="inlineStr">
        <is>
          <t>893595554</t>
        </is>
      </c>
    </row>
    <row r="122">
      <c r="A122" t="inlineStr">
        <is>
          <t>No</t>
        </is>
      </c>
      <c r="B122" t="inlineStr">
        <is>
          <t>RC1210 .H38</t>
        </is>
      </c>
      <c r="C122" t="inlineStr">
        <is>
          <t>0                      RC 1210000H  38</t>
        </is>
      </c>
      <c r="D122" t="inlineStr">
        <is>
          <t>Health maintenance through physical conditioning / edited by Robert C. Cantu.</t>
        </is>
      </c>
      <c r="F122" t="inlineStr">
        <is>
          <t>No</t>
        </is>
      </c>
      <c r="G122" t="inlineStr">
        <is>
          <t>1</t>
        </is>
      </c>
      <c r="H122" t="inlineStr">
        <is>
          <t>No</t>
        </is>
      </c>
      <c r="I122" t="inlineStr">
        <is>
          <t>No</t>
        </is>
      </c>
      <c r="J122" t="inlineStr">
        <is>
          <t>0</t>
        </is>
      </c>
      <c r="L122" t="inlineStr">
        <is>
          <t>Littleton, Mass. : PSG Pub. Co., c1981.</t>
        </is>
      </c>
      <c r="M122" t="inlineStr">
        <is>
          <t>1981</t>
        </is>
      </c>
      <c r="O122" t="inlineStr">
        <is>
          <t>eng</t>
        </is>
      </c>
      <c r="P122" t="inlineStr">
        <is>
          <t>mau</t>
        </is>
      </c>
      <c r="R122" t="inlineStr">
        <is>
          <t xml:space="preserve">RC </t>
        </is>
      </c>
      <c r="S122" t="n">
        <v>5</v>
      </c>
      <c r="T122" t="n">
        <v>5</v>
      </c>
      <c r="U122" t="inlineStr">
        <is>
          <t>1994-09-16</t>
        </is>
      </c>
      <c r="V122" t="inlineStr">
        <is>
          <t>1994-09-16</t>
        </is>
      </c>
      <c r="W122" t="inlineStr">
        <is>
          <t>1992-03-26</t>
        </is>
      </c>
      <c r="X122" t="inlineStr">
        <is>
          <t>1992-03-26</t>
        </is>
      </c>
      <c r="Y122" t="n">
        <v>172</v>
      </c>
      <c r="Z122" t="n">
        <v>147</v>
      </c>
      <c r="AA122" t="n">
        <v>151</v>
      </c>
      <c r="AB122" t="n">
        <v>2</v>
      </c>
      <c r="AC122" t="n">
        <v>2</v>
      </c>
      <c r="AD122" t="n">
        <v>3</v>
      </c>
      <c r="AE122" t="n">
        <v>3</v>
      </c>
      <c r="AF122" t="n">
        <v>1</v>
      </c>
      <c r="AG122" t="n">
        <v>1</v>
      </c>
      <c r="AH122" t="n">
        <v>1</v>
      </c>
      <c r="AI122" t="n">
        <v>1</v>
      </c>
      <c r="AJ122" t="n">
        <v>0</v>
      </c>
      <c r="AK122" t="n">
        <v>0</v>
      </c>
      <c r="AL122" t="n">
        <v>1</v>
      </c>
      <c r="AM122" t="n">
        <v>1</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HYPERLINK("https://creighton-primo.hosted.exlibrisgroup.com/primo-explore/search?tab=default_tab&amp;search_scope=EVERYTHING&amp;vid=01CRU&amp;lang=en_US&amp;offset=0&amp;query=any,contains,991004969389702656","Catalog Record")</f>
        <v/>
      </c>
      <c r="AT122">
        <f>HYPERLINK("http://www.worldcat.org/oclc/6356312","WorldCat Record")</f>
        <v/>
      </c>
      <c r="AU122" t="inlineStr">
        <is>
          <t>21953743:eng</t>
        </is>
      </c>
      <c r="AV122" t="inlineStr">
        <is>
          <t>6356312</t>
        </is>
      </c>
      <c r="AW122" t="inlineStr">
        <is>
          <t>991004969389702656</t>
        </is>
      </c>
      <c r="AX122" t="inlineStr">
        <is>
          <t>991004969389702656</t>
        </is>
      </c>
      <c r="AY122" t="inlineStr">
        <is>
          <t>2257091370002656</t>
        </is>
      </c>
      <c r="AZ122" t="inlineStr">
        <is>
          <t>BOOK</t>
        </is>
      </c>
      <c r="BB122" t="inlineStr">
        <is>
          <t>9780884163121</t>
        </is>
      </c>
      <c r="BC122" t="inlineStr">
        <is>
          <t>32285001045052</t>
        </is>
      </c>
      <c r="BD122" t="inlineStr">
        <is>
          <t>893789279</t>
        </is>
      </c>
    </row>
    <row r="123">
      <c r="A123" t="inlineStr">
        <is>
          <t>No</t>
        </is>
      </c>
      <c r="B123" t="inlineStr">
        <is>
          <t>RC1210 .H68 1983</t>
        </is>
      </c>
      <c r="C123" t="inlineStr">
        <is>
          <t>0                      RC 1210000H  68          1983</t>
        </is>
      </c>
      <c r="D123" t="inlineStr">
        <is>
          <t>Handbook of athletic training / Phillip Hossler.</t>
        </is>
      </c>
      <c r="F123" t="inlineStr">
        <is>
          <t>No</t>
        </is>
      </c>
      <c r="G123" t="inlineStr">
        <is>
          <t>1</t>
        </is>
      </c>
      <c r="H123" t="inlineStr">
        <is>
          <t>No</t>
        </is>
      </c>
      <c r="I123" t="inlineStr">
        <is>
          <t>No</t>
        </is>
      </c>
      <c r="J123" t="inlineStr">
        <is>
          <t>0</t>
        </is>
      </c>
      <c r="K123" t="inlineStr">
        <is>
          <t>Hossler, Phillip.</t>
        </is>
      </c>
      <c r="L123" t="inlineStr">
        <is>
          <t>Ithaca, N.Y. : Mouvement Publications, 1983.</t>
        </is>
      </c>
      <c r="M123" t="inlineStr">
        <is>
          <t>1983</t>
        </is>
      </c>
      <c r="N123" t="inlineStr">
        <is>
          <t>1st ed.</t>
        </is>
      </c>
      <c r="O123" t="inlineStr">
        <is>
          <t>eng</t>
        </is>
      </c>
      <c r="P123" t="inlineStr">
        <is>
          <t>nyu</t>
        </is>
      </c>
      <c r="R123" t="inlineStr">
        <is>
          <t xml:space="preserve">RC </t>
        </is>
      </c>
      <c r="S123" t="n">
        <v>3</v>
      </c>
      <c r="T123" t="n">
        <v>3</v>
      </c>
      <c r="U123" t="inlineStr">
        <is>
          <t>1999-03-30</t>
        </is>
      </c>
      <c r="V123" t="inlineStr">
        <is>
          <t>1999-03-30</t>
        </is>
      </c>
      <c r="W123" t="inlineStr">
        <is>
          <t>1993-03-24</t>
        </is>
      </c>
      <c r="X123" t="inlineStr">
        <is>
          <t>1993-03-24</t>
        </is>
      </c>
      <c r="Y123" t="n">
        <v>325</v>
      </c>
      <c r="Z123" t="n">
        <v>277</v>
      </c>
      <c r="AA123" t="n">
        <v>284</v>
      </c>
      <c r="AB123" t="n">
        <v>4</v>
      </c>
      <c r="AC123" t="n">
        <v>4</v>
      </c>
      <c r="AD123" t="n">
        <v>8</v>
      </c>
      <c r="AE123" t="n">
        <v>8</v>
      </c>
      <c r="AF123" t="n">
        <v>4</v>
      </c>
      <c r="AG123" t="n">
        <v>4</v>
      </c>
      <c r="AH123" t="n">
        <v>1</v>
      </c>
      <c r="AI123" t="n">
        <v>1</v>
      </c>
      <c r="AJ123" t="n">
        <v>2</v>
      </c>
      <c r="AK123" t="n">
        <v>2</v>
      </c>
      <c r="AL123" t="n">
        <v>3</v>
      </c>
      <c r="AM123" t="n">
        <v>3</v>
      </c>
      <c r="AN123" t="n">
        <v>0</v>
      </c>
      <c r="AO123" t="n">
        <v>0</v>
      </c>
      <c r="AP123" t="inlineStr">
        <is>
          <t>No</t>
        </is>
      </c>
      <c r="AQ123" t="inlineStr">
        <is>
          <t>Yes</t>
        </is>
      </c>
      <c r="AR123">
        <f>HYPERLINK("http://catalog.hathitrust.org/Record/000416627","HathiTrust Record")</f>
        <v/>
      </c>
      <c r="AS123">
        <f>HYPERLINK("https://creighton-primo.hosted.exlibrisgroup.com/primo-explore/search?tab=default_tab&amp;search_scope=EVERYTHING&amp;vid=01CRU&amp;lang=en_US&amp;offset=0&amp;query=any,contains,991000394899702656","Catalog Record")</f>
        <v/>
      </c>
      <c r="AT123">
        <f>HYPERLINK("http://www.worldcat.org/oclc/10566075","WorldCat Record")</f>
        <v/>
      </c>
      <c r="AU123" t="inlineStr">
        <is>
          <t>3050077:eng</t>
        </is>
      </c>
      <c r="AV123" t="inlineStr">
        <is>
          <t>10566075</t>
        </is>
      </c>
      <c r="AW123" t="inlineStr">
        <is>
          <t>991000394899702656</t>
        </is>
      </c>
      <c r="AX123" t="inlineStr">
        <is>
          <t>991000394899702656</t>
        </is>
      </c>
      <c r="AY123" t="inlineStr">
        <is>
          <t>2268323800002656</t>
        </is>
      </c>
      <c r="AZ123" t="inlineStr">
        <is>
          <t>BOOK</t>
        </is>
      </c>
      <c r="BB123" t="inlineStr">
        <is>
          <t>9780932392169</t>
        </is>
      </c>
      <c r="BC123" t="inlineStr">
        <is>
          <t>32285001608347</t>
        </is>
      </c>
      <c r="BD123" t="inlineStr">
        <is>
          <t>893255387</t>
        </is>
      </c>
    </row>
    <row r="124">
      <c r="A124" t="inlineStr">
        <is>
          <t>No</t>
        </is>
      </c>
      <c r="B124" t="inlineStr">
        <is>
          <t>RC1210 .M32 1992</t>
        </is>
      </c>
      <c r="C124" t="inlineStr">
        <is>
          <t>0                      RC 1210000M  32          1992</t>
        </is>
      </c>
      <c r="D124" t="inlineStr">
        <is>
          <t>Medicine in sports training and coaching / volume editors, J. Karvonen, P.W.R. Lemon, I. Iliev.</t>
        </is>
      </c>
      <c r="F124" t="inlineStr">
        <is>
          <t>No</t>
        </is>
      </c>
      <c r="G124" t="inlineStr">
        <is>
          <t>1</t>
        </is>
      </c>
      <c r="H124" t="inlineStr">
        <is>
          <t>No</t>
        </is>
      </c>
      <c r="I124" t="inlineStr">
        <is>
          <t>No</t>
        </is>
      </c>
      <c r="J124" t="inlineStr">
        <is>
          <t>0</t>
        </is>
      </c>
      <c r="L124" t="inlineStr">
        <is>
          <t>Basel ; New York : Karger, c1992.</t>
        </is>
      </c>
      <c r="M124" t="inlineStr">
        <is>
          <t>1992</t>
        </is>
      </c>
      <c r="O124" t="inlineStr">
        <is>
          <t>eng</t>
        </is>
      </c>
      <c r="P124" t="inlineStr">
        <is>
          <t xml:space="preserve">sz </t>
        </is>
      </c>
      <c r="Q124" t="inlineStr">
        <is>
          <t>Medicine and sport science ; v. 35</t>
        </is>
      </c>
      <c r="R124" t="inlineStr">
        <is>
          <t xml:space="preserve">RC </t>
        </is>
      </c>
      <c r="S124" t="n">
        <v>11</v>
      </c>
      <c r="T124" t="n">
        <v>11</v>
      </c>
      <c r="U124" t="inlineStr">
        <is>
          <t>2004-11-10</t>
        </is>
      </c>
      <c r="V124" t="inlineStr">
        <is>
          <t>2004-11-10</t>
        </is>
      </c>
      <c r="W124" t="inlineStr">
        <is>
          <t>1993-03-24</t>
        </is>
      </c>
      <c r="X124" t="inlineStr">
        <is>
          <t>1993-03-24</t>
        </is>
      </c>
      <c r="Y124" t="n">
        <v>187</v>
      </c>
      <c r="Z124" t="n">
        <v>118</v>
      </c>
      <c r="AA124" t="n">
        <v>135</v>
      </c>
      <c r="AB124" t="n">
        <v>1</v>
      </c>
      <c r="AC124" t="n">
        <v>1</v>
      </c>
      <c r="AD124" t="n">
        <v>3</v>
      </c>
      <c r="AE124" t="n">
        <v>3</v>
      </c>
      <c r="AF124" t="n">
        <v>1</v>
      </c>
      <c r="AG124" t="n">
        <v>1</v>
      </c>
      <c r="AH124" t="n">
        <v>2</v>
      </c>
      <c r="AI124" t="n">
        <v>2</v>
      </c>
      <c r="AJ124" t="n">
        <v>0</v>
      </c>
      <c r="AK124" t="n">
        <v>0</v>
      </c>
      <c r="AL124" t="n">
        <v>0</v>
      </c>
      <c r="AM124" t="n">
        <v>0</v>
      </c>
      <c r="AN124" t="n">
        <v>0</v>
      </c>
      <c r="AO124" t="n">
        <v>0</v>
      </c>
      <c r="AP124" t="inlineStr">
        <is>
          <t>No</t>
        </is>
      </c>
      <c r="AQ124" t="inlineStr">
        <is>
          <t>Yes</t>
        </is>
      </c>
      <c r="AR124">
        <f>HYPERLINK("http://catalog.hathitrust.org/Record/002570514","HathiTrust Record")</f>
        <v/>
      </c>
      <c r="AS124">
        <f>HYPERLINK("https://creighton-primo.hosted.exlibrisgroup.com/primo-explore/search?tab=default_tab&amp;search_scope=EVERYTHING&amp;vid=01CRU&amp;lang=en_US&amp;offset=0&amp;query=any,contains,991002015399702656","Catalog Record")</f>
        <v/>
      </c>
      <c r="AT124">
        <f>HYPERLINK("http://www.worldcat.org/oclc/25631378","WorldCat Record")</f>
        <v/>
      </c>
      <c r="AU124" t="inlineStr">
        <is>
          <t>353982151:eng</t>
        </is>
      </c>
      <c r="AV124" t="inlineStr">
        <is>
          <t>25631378</t>
        </is>
      </c>
      <c r="AW124" t="inlineStr">
        <is>
          <t>991002015399702656</t>
        </is>
      </c>
      <c r="AX124" t="inlineStr">
        <is>
          <t>991002015399702656</t>
        </is>
      </c>
      <c r="AY124" t="inlineStr">
        <is>
          <t>2266516040002656</t>
        </is>
      </c>
      <c r="AZ124" t="inlineStr">
        <is>
          <t>BOOK</t>
        </is>
      </c>
      <c r="BB124" t="inlineStr">
        <is>
          <t>9783805555173</t>
        </is>
      </c>
      <c r="BC124" t="inlineStr">
        <is>
          <t>32285001498236</t>
        </is>
      </c>
      <c r="BD124" t="inlineStr">
        <is>
          <t>893773121</t>
        </is>
      </c>
    </row>
    <row r="125">
      <c r="A125" t="inlineStr">
        <is>
          <t>No</t>
        </is>
      </c>
      <c r="B125" t="inlineStr">
        <is>
          <t>RC1210 .M6 1984</t>
        </is>
      </c>
      <c r="C125" t="inlineStr">
        <is>
          <t>0                      RC 1210000M  6           1984</t>
        </is>
      </c>
      <c r="D125" t="inlineStr">
        <is>
          <t>Sports medicine : prevention of athletic injuries / Alfred F. Morris.</t>
        </is>
      </c>
      <c r="F125" t="inlineStr">
        <is>
          <t>No</t>
        </is>
      </c>
      <c r="G125" t="inlineStr">
        <is>
          <t>1</t>
        </is>
      </c>
      <c r="H125" t="inlineStr">
        <is>
          <t>No</t>
        </is>
      </c>
      <c r="I125" t="inlineStr">
        <is>
          <t>No</t>
        </is>
      </c>
      <c r="J125" t="inlineStr">
        <is>
          <t>0</t>
        </is>
      </c>
      <c r="K125" t="inlineStr">
        <is>
          <t>Morris, Alfred F.</t>
        </is>
      </c>
      <c r="L125" t="inlineStr">
        <is>
          <t>Dubuque, Iowa : Wm. C. Brown, c1984.</t>
        </is>
      </c>
      <c r="M125" t="inlineStr">
        <is>
          <t>1984</t>
        </is>
      </c>
      <c r="O125" t="inlineStr">
        <is>
          <t>eng</t>
        </is>
      </c>
      <c r="P125" t="inlineStr">
        <is>
          <t>iau</t>
        </is>
      </c>
      <c r="R125" t="inlineStr">
        <is>
          <t xml:space="preserve">RC </t>
        </is>
      </c>
      <c r="S125" t="n">
        <v>1</v>
      </c>
      <c r="T125" t="n">
        <v>1</v>
      </c>
      <c r="U125" t="inlineStr">
        <is>
          <t>1997-10-30</t>
        </is>
      </c>
      <c r="V125" t="inlineStr">
        <is>
          <t>1997-10-30</t>
        </is>
      </c>
      <c r="W125" t="inlineStr">
        <is>
          <t>1993-03-24</t>
        </is>
      </c>
      <c r="X125" t="inlineStr">
        <is>
          <t>1993-03-24</t>
        </is>
      </c>
      <c r="Y125" t="n">
        <v>234</v>
      </c>
      <c r="Z125" t="n">
        <v>188</v>
      </c>
      <c r="AA125" t="n">
        <v>195</v>
      </c>
      <c r="AB125" t="n">
        <v>2</v>
      </c>
      <c r="AC125" t="n">
        <v>2</v>
      </c>
      <c r="AD125" t="n">
        <v>7</v>
      </c>
      <c r="AE125" t="n">
        <v>7</v>
      </c>
      <c r="AF125" t="n">
        <v>2</v>
      </c>
      <c r="AG125" t="n">
        <v>2</v>
      </c>
      <c r="AH125" t="n">
        <v>2</v>
      </c>
      <c r="AI125" t="n">
        <v>2</v>
      </c>
      <c r="AJ125" t="n">
        <v>4</v>
      </c>
      <c r="AK125" t="n">
        <v>4</v>
      </c>
      <c r="AL125" t="n">
        <v>1</v>
      </c>
      <c r="AM125" t="n">
        <v>1</v>
      </c>
      <c r="AN125" t="n">
        <v>0</v>
      </c>
      <c r="AO125" t="n">
        <v>0</v>
      </c>
      <c r="AP125" t="inlineStr">
        <is>
          <t>No</t>
        </is>
      </c>
      <c r="AQ125" t="inlineStr">
        <is>
          <t>Yes</t>
        </is>
      </c>
      <c r="AR125">
        <f>HYPERLINK("http://catalog.hathitrust.org/Record/000779788","HathiTrust Record")</f>
        <v/>
      </c>
      <c r="AS125">
        <f>HYPERLINK("https://creighton-primo.hosted.exlibrisgroup.com/primo-explore/search?tab=default_tab&amp;search_scope=EVERYTHING&amp;vid=01CRU&amp;lang=en_US&amp;offset=0&amp;query=any,contains,991000360419702656","Catalog Record")</f>
        <v/>
      </c>
      <c r="AT125">
        <f>HYPERLINK("http://www.worldcat.org/oclc/10358992","WorldCat Record")</f>
        <v/>
      </c>
      <c r="AU125" t="inlineStr">
        <is>
          <t>3855257236:eng</t>
        </is>
      </c>
      <c r="AV125" t="inlineStr">
        <is>
          <t>10358992</t>
        </is>
      </c>
      <c r="AW125" t="inlineStr">
        <is>
          <t>991000360419702656</t>
        </is>
      </c>
      <c r="AX125" t="inlineStr">
        <is>
          <t>991000360419702656</t>
        </is>
      </c>
      <c r="AY125" t="inlineStr">
        <is>
          <t>2261233910002656</t>
        </is>
      </c>
      <c r="AZ125" t="inlineStr">
        <is>
          <t>BOOK</t>
        </is>
      </c>
      <c r="BB125" t="inlineStr">
        <is>
          <t>9780697000873</t>
        </is>
      </c>
      <c r="BC125" t="inlineStr">
        <is>
          <t>32285001608354</t>
        </is>
      </c>
      <c r="BD125" t="inlineStr">
        <is>
          <t>893607843</t>
        </is>
      </c>
    </row>
    <row r="126">
      <c r="A126" t="inlineStr">
        <is>
          <t>No</t>
        </is>
      </c>
      <c r="B126" t="inlineStr">
        <is>
          <t>RC1210 .O96 1994</t>
        </is>
      </c>
      <c r="C126" t="inlineStr">
        <is>
          <t>0                      RC 1210000O  96          1994</t>
        </is>
      </c>
      <c r="D126" t="inlineStr">
        <is>
          <t>Oxford textbook of sports medicine / edited by Mark Harries ... [et al.].</t>
        </is>
      </c>
      <c r="F126" t="inlineStr">
        <is>
          <t>No</t>
        </is>
      </c>
      <c r="G126" t="inlineStr">
        <is>
          <t>1</t>
        </is>
      </c>
      <c r="H126" t="inlineStr">
        <is>
          <t>No</t>
        </is>
      </c>
      <c r="I126" t="inlineStr">
        <is>
          <t>Yes</t>
        </is>
      </c>
      <c r="J126" t="inlineStr">
        <is>
          <t>0</t>
        </is>
      </c>
      <c r="L126" t="inlineStr">
        <is>
          <t>New York : Oxford University Press, 1994.</t>
        </is>
      </c>
      <c r="M126" t="inlineStr">
        <is>
          <t>1994</t>
        </is>
      </c>
      <c r="O126" t="inlineStr">
        <is>
          <t>eng</t>
        </is>
      </c>
      <c r="P126" t="inlineStr">
        <is>
          <t>nyu</t>
        </is>
      </c>
      <c r="Q126" t="inlineStr">
        <is>
          <t>Oxford medical publications</t>
        </is>
      </c>
      <c r="R126" t="inlineStr">
        <is>
          <t xml:space="preserve">RC </t>
        </is>
      </c>
      <c r="S126" t="n">
        <v>6</v>
      </c>
      <c r="T126" t="n">
        <v>6</v>
      </c>
      <c r="U126" t="inlineStr">
        <is>
          <t>2005-03-22</t>
        </is>
      </c>
      <c r="V126" t="inlineStr">
        <is>
          <t>2005-03-22</t>
        </is>
      </c>
      <c r="W126" t="inlineStr">
        <is>
          <t>1996-03-04</t>
        </is>
      </c>
      <c r="X126" t="inlineStr">
        <is>
          <t>1996-03-04</t>
        </is>
      </c>
      <c r="Y126" t="n">
        <v>531</v>
      </c>
      <c r="Z126" t="n">
        <v>406</v>
      </c>
      <c r="AA126" t="n">
        <v>526</v>
      </c>
      <c r="AB126" t="n">
        <v>4</v>
      </c>
      <c r="AC126" t="n">
        <v>5</v>
      </c>
      <c r="AD126" t="n">
        <v>16</v>
      </c>
      <c r="AE126" t="n">
        <v>19</v>
      </c>
      <c r="AF126" t="n">
        <v>8</v>
      </c>
      <c r="AG126" t="n">
        <v>9</v>
      </c>
      <c r="AH126" t="n">
        <v>4</v>
      </c>
      <c r="AI126" t="n">
        <v>4</v>
      </c>
      <c r="AJ126" t="n">
        <v>6</v>
      </c>
      <c r="AK126" t="n">
        <v>8</v>
      </c>
      <c r="AL126" t="n">
        <v>3</v>
      </c>
      <c r="AM126" t="n">
        <v>3</v>
      </c>
      <c r="AN126" t="n">
        <v>0</v>
      </c>
      <c r="AO126" t="n">
        <v>0</v>
      </c>
      <c r="AP126" t="inlineStr">
        <is>
          <t>No</t>
        </is>
      </c>
      <c r="AQ126" t="inlineStr">
        <is>
          <t>Yes</t>
        </is>
      </c>
      <c r="AR126">
        <f>HYPERLINK("http://catalog.hathitrust.org/Record/002810176","HathiTrust Record")</f>
        <v/>
      </c>
      <c r="AS126">
        <f>HYPERLINK("https://creighton-primo.hosted.exlibrisgroup.com/primo-explore/search?tab=default_tab&amp;search_scope=EVERYTHING&amp;vid=01CRU&amp;lang=en_US&amp;offset=0&amp;query=any,contains,991002247259702656","Catalog Record")</f>
        <v/>
      </c>
      <c r="AT126">
        <f>HYPERLINK("http://www.worldcat.org/oclc/28968069","WorldCat Record")</f>
        <v/>
      </c>
      <c r="AU126" t="inlineStr">
        <is>
          <t>55752146:eng</t>
        </is>
      </c>
      <c r="AV126" t="inlineStr">
        <is>
          <t>28968069</t>
        </is>
      </c>
      <c r="AW126" t="inlineStr">
        <is>
          <t>991002247259702656</t>
        </is>
      </c>
      <c r="AX126" t="inlineStr">
        <is>
          <t>991002247259702656</t>
        </is>
      </c>
      <c r="AY126" t="inlineStr">
        <is>
          <t>2256319330002656</t>
        </is>
      </c>
      <c r="AZ126" t="inlineStr">
        <is>
          <t>BOOK</t>
        </is>
      </c>
      <c r="BB126" t="inlineStr">
        <is>
          <t>9780192620095</t>
        </is>
      </c>
      <c r="BC126" t="inlineStr">
        <is>
          <t>32285002139912</t>
        </is>
      </c>
      <c r="BD126" t="inlineStr">
        <is>
          <t>893439936</t>
        </is>
      </c>
    </row>
    <row r="127">
      <c r="A127" t="inlineStr">
        <is>
          <t>No</t>
        </is>
      </c>
      <c r="B127" t="inlineStr">
        <is>
          <t>RC1210 .P37 1984</t>
        </is>
      </c>
      <c r="C127" t="inlineStr">
        <is>
          <t>0                      RC 1210000P  37          1984</t>
        </is>
      </c>
      <c r="D127" t="inlineStr">
        <is>
          <t>Pediatric and adolescent sports medicine / edited by Lyle J. Micheli.</t>
        </is>
      </c>
      <c r="F127" t="inlineStr">
        <is>
          <t>No</t>
        </is>
      </c>
      <c r="G127" t="inlineStr">
        <is>
          <t>1</t>
        </is>
      </c>
      <c r="H127" t="inlineStr">
        <is>
          <t>Yes</t>
        </is>
      </c>
      <c r="I127" t="inlineStr">
        <is>
          <t>No</t>
        </is>
      </c>
      <c r="J127" t="inlineStr">
        <is>
          <t>0</t>
        </is>
      </c>
      <c r="L127" t="inlineStr">
        <is>
          <t>Boston : Little, Brown, c1984.</t>
        </is>
      </c>
      <c r="M127" t="inlineStr">
        <is>
          <t>1984</t>
        </is>
      </c>
      <c r="N127" t="inlineStr">
        <is>
          <t>1st ed.</t>
        </is>
      </c>
      <c r="O127" t="inlineStr">
        <is>
          <t>eng</t>
        </is>
      </c>
      <c r="P127" t="inlineStr">
        <is>
          <t>mau</t>
        </is>
      </c>
      <c r="Q127" t="inlineStr">
        <is>
          <t>Little, Brown series in clinical pediatrics</t>
        </is>
      </c>
      <c r="R127" t="inlineStr">
        <is>
          <t xml:space="preserve">RC </t>
        </is>
      </c>
      <c r="S127" t="n">
        <v>2</v>
      </c>
      <c r="T127" t="n">
        <v>7</v>
      </c>
      <c r="U127" t="inlineStr">
        <is>
          <t>1994-10-30</t>
        </is>
      </c>
      <c r="V127" t="inlineStr">
        <is>
          <t>2003-12-04</t>
        </is>
      </c>
      <c r="W127" t="inlineStr">
        <is>
          <t>1993-03-24</t>
        </is>
      </c>
      <c r="X127" t="inlineStr">
        <is>
          <t>1993-03-24</t>
        </is>
      </c>
      <c r="Y127" t="n">
        <v>261</v>
      </c>
      <c r="Z127" t="n">
        <v>195</v>
      </c>
      <c r="AA127" t="n">
        <v>197</v>
      </c>
      <c r="AB127" t="n">
        <v>3</v>
      </c>
      <c r="AC127" t="n">
        <v>3</v>
      </c>
      <c r="AD127" t="n">
        <v>1</v>
      </c>
      <c r="AE127" t="n">
        <v>1</v>
      </c>
      <c r="AF127" t="n">
        <v>0</v>
      </c>
      <c r="AG127" t="n">
        <v>0</v>
      </c>
      <c r="AH127" t="n">
        <v>0</v>
      </c>
      <c r="AI127" t="n">
        <v>0</v>
      </c>
      <c r="AJ127" t="n">
        <v>0</v>
      </c>
      <c r="AK127" t="n">
        <v>0</v>
      </c>
      <c r="AL127" t="n">
        <v>1</v>
      </c>
      <c r="AM127" t="n">
        <v>1</v>
      </c>
      <c r="AN127" t="n">
        <v>0</v>
      </c>
      <c r="AO127" t="n">
        <v>0</v>
      </c>
      <c r="AP127" t="inlineStr">
        <is>
          <t>No</t>
        </is>
      </c>
      <c r="AQ127" t="inlineStr">
        <is>
          <t>Yes</t>
        </is>
      </c>
      <c r="AR127">
        <f>HYPERLINK("http://catalog.hathitrust.org/Record/000122470","HathiTrust Record")</f>
        <v/>
      </c>
      <c r="AS127">
        <f>HYPERLINK("https://creighton-primo.hosted.exlibrisgroup.com/primo-explore/search?tab=default_tab&amp;search_scope=EVERYTHING&amp;vid=01CRU&amp;lang=en_US&amp;offset=0&amp;query=any,contains,991001771839702656","Catalog Record")</f>
        <v/>
      </c>
      <c r="AT127">
        <f>HYPERLINK("http://www.worldcat.org/oclc/10398413","WorldCat Record")</f>
        <v/>
      </c>
      <c r="AU127" t="inlineStr">
        <is>
          <t>54624568:eng</t>
        </is>
      </c>
      <c r="AV127" t="inlineStr">
        <is>
          <t>10398413</t>
        </is>
      </c>
      <c r="AW127" t="inlineStr">
        <is>
          <t>991001771839702656</t>
        </is>
      </c>
      <c r="AX127" t="inlineStr">
        <is>
          <t>991001771839702656</t>
        </is>
      </c>
      <c r="AY127" t="inlineStr">
        <is>
          <t>2258206560002656</t>
        </is>
      </c>
      <c r="AZ127" t="inlineStr">
        <is>
          <t>BOOK</t>
        </is>
      </c>
      <c r="BB127" t="inlineStr">
        <is>
          <t>9780316569491</t>
        </is>
      </c>
      <c r="BC127" t="inlineStr">
        <is>
          <t>32285001608362</t>
        </is>
      </c>
      <c r="BD127" t="inlineStr">
        <is>
          <t>893522827</t>
        </is>
      </c>
    </row>
    <row r="128">
      <c r="A128" t="inlineStr">
        <is>
          <t>No</t>
        </is>
      </c>
      <c r="B128" t="inlineStr">
        <is>
          <t>RC1210 .P441 1995</t>
        </is>
      </c>
      <c r="C128" t="inlineStr">
        <is>
          <t>0                      RC 1210000P  441         1995</t>
        </is>
      </c>
      <c r="D128" t="inlineStr">
        <is>
          <t>Concepts of athletic training / Ronald P. Pfeiffer, Brent C. Mangus.</t>
        </is>
      </c>
      <c r="F128" t="inlineStr">
        <is>
          <t>No</t>
        </is>
      </c>
      <c r="G128" t="inlineStr">
        <is>
          <t>1</t>
        </is>
      </c>
      <c r="H128" t="inlineStr">
        <is>
          <t>No</t>
        </is>
      </c>
      <c r="I128" t="inlineStr">
        <is>
          <t>Yes</t>
        </is>
      </c>
      <c r="J128" t="inlineStr">
        <is>
          <t>0</t>
        </is>
      </c>
      <c r="K128" t="inlineStr">
        <is>
          <t>Pfeiffer, Ronald P.</t>
        </is>
      </c>
      <c r="L128" t="inlineStr">
        <is>
          <t>Boston : Jones and Bartlett, 1995.</t>
        </is>
      </c>
      <c r="M128" t="inlineStr">
        <is>
          <t>1995</t>
        </is>
      </c>
      <c r="O128" t="inlineStr">
        <is>
          <t>eng</t>
        </is>
      </c>
      <c r="P128" t="inlineStr">
        <is>
          <t>mau</t>
        </is>
      </c>
      <c r="R128" t="inlineStr">
        <is>
          <t xml:space="preserve">RC </t>
        </is>
      </c>
      <c r="S128" t="n">
        <v>12</v>
      </c>
      <c r="T128" t="n">
        <v>12</v>
      </c>
      <c r="U128" t="inlineStr">
        <is>
          <t>2000-09-20</t>
        </is>
      </c>
      <c r="V128" t="inlineStr">
        <is>
          <t>2000-09-20</t>
        </is>
      </c>
      <c r="W128" t="inlineStr">
        <is>
          <t>1995-04-26</t>
        </is>
      </c>
      <c r="X128" t="inlineStr">
        <is>
          <t>1995-04-26</t>
        </is>
      </c>
      <c r="Y128" t="n">
        <v>129</v>
      </c>
      <c r="Z128" t="n">
        <v>107</v>
      </c>
      <c r="AA128" t="n">
        <v>1285</v>
      </c>
      <c r="AB128" t="n">
        <v>1</v>
      </c>
      <c r="AC128" t="n">
        <v>10</v>
      </c>
      <c r="AD128" t="n">
        <v>3</v>
      </c>
      <c r="AE128" t="n">
        <v>35</v>
      </c>
      <c r="AF128" t="n">
        <v>3</v>
      </c>
      <c r="AG128" t="n">
        <v>19</v>
      </c>
      <c r="AH128" t="n">
        <v>0</v>
      </c>
      <c r="AI128" t="n">
        <v>7</v>
      </c>
      <c r="AJ128" t="n">
        <v>1</v>
      </c>
      <c r="AK128" t="n">
        <v>11</v>
      </c>
      <c r="AL128" t="n">
        <v>0</v>
      </c>
      <c r="AM128" t="n">
        <v>7</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HYPERLINK("https://creighton-primo.hosted.exlibrisgroup.com/primo-explore/search?tab=default_tab&amp;search_scope=EVERYTHING&amp;vid=01CRU&amp;lang=en_US&amp;offset=0&amp;query=any,contains,991002445349702656","Catalog Record")</f>
        <v/>
      </c>
      <c r="AT128">
        <f>HYPERLINK("http://www.worldcat.org/oclc/31900188","WorldCat Record")</f>
        <v/>
      </c>
      <c r="AU128" t="inlineStr">
        <is>
          <t>12507872:eng</t>
        </is>
      </c>
      <c r="AV128" t="inlineStr">
        <is>
          <t>31900188</t>
        </is>
      </c>
      <c r="AW128" t="inlineStr">
        <is>
          <t>991002445349702656</t>
        </is>
      </c>
      <c r="AX128" t="inlineStr">
        <is>
          <t>991002445349702656</t>
        </is>
      </c>
      <c r="AY128" t="inlineStr">
        <is>
          <t>2264736650002656</t>
        </is>
      </c>
      <c r="AZ128" t="inlineStr">
        <is>
          <t>BOOK</t>
        </is>
      </c>
      <c r="BC128" t="inlineStr">
        <is>
          <t>32285002036126</t>
        </is>
      </c>
      <c r="BD128" t="inlineStr">
        <is>
          <t>893591353</t>
        </is>
      </c>
    </row>
    <row r="129">
      <c r="A129" t="inlineStr">
        <is>
          <t>No</t>
        </is>
      </c>
      <c r="B129" t="inlineStr">
        <is>
          <t>RC1210 .P726 2002</t>
        </is>
      </c>
      <c r="C129" t="inlineStr">
        <is>
          <t>0                      RC 1210000P  726         2002</t>
        </is>
      </c>
      <c r="D129" t="inlineStr">
        <is>
          <t>Arnheim's principles of athletic training : a competency-based approach / William E. Prentice.</t>
        </is>
      </c>
      <c r="F129" t="inlineStr">
        <is>
          <t>No</t>
        </is>
      </c>
      <c r="G129" t="inlineStr">
        <is>
          <t>1</t>
        </is>
      </c>
      <c r="H129" t="inlineStr">
        <is>
          <t>Yes</t>
        </is>
      </c>
      <c r="I129" t="inlineStr">
        <is>
          <t>No</t>
        </is>
      </c>
      <c r="J129" t="inlineStr">
        <is>
          <t>0</t>
        </is>
      </c>
      <c r="K129" t="inlineStr">
        <is>
          <t>Prentice, William E.</t>
        </is>
      </c>
      <c r="L129" t="inlineStr">
        <is>
          <t>Dubuque, IA : McGraw-Hill, 2002.</t>
        </is>
      </c>
      <c r="M129" t="inlineStr">
        <is>
          <t>2002</t>
        </is>
      </c>
      <c r="N129" t="inlineStr">
        <is>
          <t>11th ed.</t>
        </is>
      </c>
      <c r="O129" t="inlineStr">
        <is>
          <t>eng</t>
        </is>
      </c>
      <c r="P129" t="inlineStr">
        <is>
          <t>iau</t>
        </is>
      </c>
      <c r="R129" t="inlineStr">
        <is>
          <t xml:space="preserve">RC </t>
        </is>
      </c>
      <c r="S129" t="n">
        <v>25</v>
      </c>
      <c r="T129" t="n">
        <v>28</v>
      </c>
      <c r="U129" t="inlineStr">
        <is>
          <t>2009-06-05</t>
        </is>
      </c>
      <c r="V129" t="inlineStr">
        <is>
          <t>2009-06-05</t>
        </is>
      </c>
      <c r="W129" t="inlineStr">
        <is>
          <t>2003-03-26</t>
        </is>
      </c>
      <c r="X129" t="inlineStr">
        <is>
          <t>2003-12-18</t>
        </is>
      </c>
      <c r="Y129" t="n">
        <v>155</v>
      </c>
      <c r="Z129" t="n">
        <v>106</v>
      </c>
      <c r="AA129" t="n">
        <v>340</v>
      </c>
      <c r="AB129" t="n">
        <v>1</v>
      </c>
      <c r="AC129" t="n">
        <v>3</v>
      </c>
      <c r="AD129" t="n">
        <v>2</v>
      </c>
      <c r="AE129" t="n">
        <v>9</v>
      </c>
      <c r="AF129" t="n">
        <v>1</v>
      </c>
      <c r="AG129" t="n">
        <v>5</v>
      </c>
      <c r="AH129" t="n">
        <v>1</v>
      </c>
      <c r="AI129" t="n">
        <v>1</v>
      </c>
      <c r="AJ129" t="n">
        <v>1</v>
      </c>
      <c r="AK129" t="n">
        <v>5</v>
      </c>
      <c r="AL129" t="n">
        <v>0</v>
      </c>
      <c r="AM129" t="n">
        <v>2</v>
      </c>
      <c r="AN129" t="n">
        <v>0</v>
      </c>
      <c r="AO129" t="n">
        <v>0</v>
      </c>
      <c r="AP129" t="inlineStr">
        <is>
          <t>No</t>
        </is>
      </c>
      <c r="AQ129" t="inlineStr">
        <is>
          <t>Yes</t>
        </is>
      </c>
      <c r="AR129">
        <f>HYPERLINK("http://catalog.hathitrust.org/Record/004732135","HathiTrust Record")</f>
        <v/>
      </c>
      <c r="AS129">
        <f>HYPERLINK("https://creighton-primo.hosted.exlibrisgroup.com/primo-explore/search?tab=default_tab&amp;search_scope=EVERYTHING&amp;vid=01CRU&amp;lang=en_US&amp;offset=0&amp;query=any,contains,991001721359702656","Catalog Record")</f>
        <v/>
      </c>
      <c r="AT129">
        <f>HYPERLINK("http://www.worldcat.org/oclc/49352195","WorldCat Record")</f>
        <v/>
      </c>
      <c r="AU129" t="inlineStr">
        <is>
          <t>915878:eng</t>
        </is>
      </c>
      <c r="AV129" t="inlineStr">
        <is>
          <t>49352195</t>
        </is>
      </c>
      <c r="AW129" t="inlineStr">
        <is>
          <t>991001721359702656</t>
        </is>
      </c>
      <c r="AX129" t="inlineStr">
        <is>
          <t>991001721359702656</t>
        </is>
      </c>
      <c r="AY129" t="inlineStr">
        <is>
          <t>2272508040002656</t>
        </is>
      </c>
      <c r="AZ129" t="inlineStr">
        <is>
          <t>BOOK</t>
        </is>
      </c>
      <c r="BB129" t="inlineStr">
        <is>
          <t>9780072461756</t>
        </is>
      </c>
      <c r="BC129" t="inlineStr">
        <is>
          <t>32285004721337</t>
        </is>
      </c>
      <c r="BD129" t="inlineStr">
        <is>
          <t>893772829</t>
        </is>
      </c>
    </row>
    <row r="130">
      <c r="A130" t="inlineStr">
        <is>
          <t>No</t>
        </is>
      </c>
      <c r="B130" t="inlineStr">
        <is>
          <t>RC1210 .P73 1993</t>
        </is>
      </c>
      <c r="C130" t="inlineStr">
        <is>
          <t>0                      RC 1210000P  73          1993</t>
        </is>
      </c>
      <c r="D130" t="inlineStr">
        <is>
          <t>Primary care sports medicine / Douglas B. McKeag, David O. Hough with Eric D. Zemper.</t>
        </is>
      </c>
      <c r="F130" t="inlineStr">
        <is>
          <t>No</t>
        </is>
      </c>
      <c r="G130" t="inlineStr">
        <is>
          <t>1</t>
        </is>
      </c>
      <c r="H130" t="inlineStr">
        <is>
          <t>No</t>
        </is>
      </c>
      <c r="I130" t="inlineStr">
        <is>
          <t>No</t>
        </is>
      </c>
      <c r="J130" t="inlineStr">
        <is>
          <t>0</t>
        </is>
      </c>
      <c r="L130" t="inlineStr">
        <is>
          <t>Dubuque, IA : Brown &amp; Benchmark, c1993.</t>
        </is>
      </c>
      <c r="M130" t="inlineStr">
        <is>
          <t>1993</t>
        </is>
      </c>
      <c r="O130" t="inlineStr">
        <is>
          <t>eng</t>
        </is>
      </c>
      <c r="P130" t="inlineStr">
        <is>
          <t>iau</t>
        </is>
      </c>
      <c r="R130" t="inlineStr">
        <is>
          <t xml:space="preserve">RC </t>
        </is>
      </c>
      <c r="S130" t="n">
        <v>4</v>
      </c>
      <c r="T130" t="n">
        <v>4</v>
      </c>
      <c r="U130" t="inlineStr">
        <is>
          <t>1998-03-24</t>
        </is>
      </c>
      <c r="V130" t="inlineStr">
        <is>
          <t>1998-03-24</t>
        </is>
      </c>
      <c r="W130" t="inlineStr">
        <is>
          <t>1995-04-26</t>
        </is>
      </c>
      <c r="X130" t="inlineStr">
        <is>
          <t>1995-04-26</t>
        </is>
      </c>
      <c r="Y130" t="n">
        <v>59</v>
      </c>
      <c r="Z130" t="n">
        <v>44</v>
      </c>
      <c r="AA130" t="n">
        <v>44</v>
      </c>
      <c r="AB130" t="n">
        <v>1</v>
      </c>
      <c r="AC130" t="n">
        <v>1</v>
      </c>
      <c r="AD130" t="n">
        <v>0</v>
      </c>
      <c r="AE130" t="n">
        <v>0</v>
      </c>
      <c r="AF130" t="n">
        <v>0</v>
      </c>
      <c r="AG130" t="n">
        <v>0</v>
      </c>
      <c r="AH130" t="n">
        <v>0</v>
      </c>
      <c r="AI130" t="n">
        <v>0</v>
      </c>
      <c r="AJ130" t="n">
        <v>0</v>
      </c>
      <c r="AK130" t="n">
        <v>0</v>
      </c>
      <c r="AL130" t="n">
        <v>0</v>
      </c>
      <c r="AM130" t="n">
        <v>0</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HYPERLINK("https://creighton-primo.hosted.exlibrisgroup.com/primo-explore/search?tab=default_tab&amp;search_scope=EVERYTHING&amp;vid=01CRU&amp;lang=en_US&amp;offset=0&amp;query=any,contains,991002224279702656","Catalog Record")</f>
        <v/>
      </c>
      <c r="AT130">
        <f>HYPERLINK("http://www.worldcat.org/oclc/28651470","WorldCat Record")</f>
        <v/>
      </c>
      <c r="AU130" t="inlineStr">
        <is>
          <t>3857384588:eng</t>
        </is>
      </c>
      <c r="AV130" t="inlineStr">
        <is>
          <t>28651470</t>
        </is>
      </c>
      <c r="AW130" t="inlineStr">
        <is>
          <t>991002224279702656</t>
        </is>
      </c>
      <c r="AX130" t="inlineStr">
        <is>
          <t>991002224279702656</t>
        </is>
      </c>
      <c r="AY130" t="inlineStr">
        <is>
          <t>2268583690002656</t>
        </is>
      </c>
      <c r="AZ130" t="inlineStr">
        <is>
          <t>BOOK</t>
        </is>
      </c>
      <c r="BB130" t="inlineStr">
        <is>
          <t>9780697148414</t>
        </is>
      </c>
      <c r="BC130" t="inlineStr">
        <is>
          <t>32285002036134</t>
        </is>
      </c>
      <c r="BD130" t="inlineStr">
        <is>
          <t>893627016</t>
        </is>
      </c>
    </row>
    <row r="131">
      <c r="A131" t="inlineStr">
        <is>
          <t>No</t>
        </is>
      </c>
      <c r="B131" t="inlineStr">
        <is>
          <t>RC1210 .R36 2001</t>
        </is>
      </c>
      <c r="C131" t="inlineStr">
        <is>
          <t>0                      RC 1210000R  36          2001</t>
        </is>
      </c>
      <c r="D131" t="inlineStr">
        <is>
          <t>Athletic training management : concepts and applications / James M. Rankin, Christopher D. Ingersoll.</t>
        </is>
      </c>
      <c r="F131" t="inlineStr">
        <is>
          <t>No</t>
        </is>
      </c>
      <c r="G131" t="inlineStr">
        <is>
          <t>1</t>
        </is>
      </c>
      <c r="H131" t="inlineStr">
        <is>
          <t>No</t>
        </is>
      </c>
      <c r="I131" t="inlineStr">
        <is>
          <t>No</t>
        </is>
      </c>
      <c r="J131" t="inlineStr">
        <is>
          <t>0</t>
        </is>
      </c>
      <c r="K131" t="inlineStr">
        <is>
          <t>Rankin, James Michael.</t>
        </is>
      </c>
      <c r="L131" t="inlineStr">
        <is>
          <t>Boston : McGraw-Hill, c2001.</t>
        </is>
      </c>
      <c r="M131" t="inlineStr">
        <is>
          <t>2001</t>
        </is>
      </c>
      <c r="N131" t="inlineStr">
        <is>
          <t>2nd ed.</t>
        </is>
      </c>
      <c r="O131" t="inlineStr">
        <is>
          <t>eng</t>
        </is>
      </c>
      <c r="P131" t="inlineStr">
        <is>
          <t>mau</t>
        </is>
      </c>
      <c r="R131" t="inlineStr">
        <is>
          <t xml:space="preserve">RC </t>
        </is>
      </c>
      <c r="S131" t="n">
        <v>4</v>
      </c>
      <c r="T131" t="n">
        <v>4</v>
      </c>
      <c r="U131" t="inlineStr">
        <is>
          <t>2008-04-27</t>
        </is>
      </c>
      <c r="V131" t="inlineStr">
        <is>
          <t>2008-04-27</t>
        </is>
      </c>
      <c r="W131" t="inlineStr">
        <is>
          <t>2002-06-04</t>
        </is>
      </c>
      <c r="X131" t="inlineStr">
        <is>
          <t>2002-06-04</t>
        </is>
      </c>
      <c r="Y131" t="n">
        <v>174</v>
      </c>
      <c r="Z131" t="n">
        <v>149</v>
      </c>
      <c r="AA131" t="n">
        <v>348</v>
      </c>
      <c r="AB131" t="n">
        <v>2</v>
      </c>
      <c r="AC131" t="n">
        <v>3</v>
      </c>
      <c r="AD131" t="n">
        <v>5</v>
      </c>
      <c r="AE131" t="n">
        <v>10</v>
      </c>
      <c r="AF131" t="n">
        <v>3</v>
      </c>
      <c r="AG131" t="n">
        <v>7</v>
      </c>
      <c r="AH131" t="n">
        <v>1</v>
      </c>
      <c r="AI131" t="n">
        <v>1</v>
      </c>
      <c r="AJ131" t="n">
        <v>0</v>
      </c>
      <c r="AK131" t="n">
        <v>1</v>
      </c>
      <c r="AL131" t="n">
        <v>1</v>
      </c>
      <c r="AM131" t="n">
        <v>2</v>
      </c>
      <c r="AN131" t="n">
        <v>0</v>
      </c>
      <c r="AO131" t="n">
        <v>0</v>
      </c>
      <c r="AP131" t="inlineStr">
        <is>
          <t>No</t>
        </is>
      </c>
      <c r="AQ131" t="inlineStr">
        <is>
          <t>Yes</t>
        </is>
      </c>
      <c r="AR131">
        <f>HYPERLINK("http://catalog.hathitrust.org/Record/004226101","HathiTrust Record")</f>
        <v/>
      </c>
      <c r="AS131">
        <f>HYPERLINK("https://creighton-primo.hosted.exlibrisgroup.com/primo-explore/search?tab=default_tab&amp;search_scope=EVERYTHING&amp;vid=01CRU&amp;lang=en_US&amp;offset=0&amp;query=any,contains,991003780909702656","Catalog Record")</f>
        <v/>
      </c>
      <c r="AT131">
        <f>HYPERLINK("http://www.worldcat.org/oclc/43729005","WorldCat Record")</f>
        <v/>
      </c>
      <c r="AU131" t="inlineStr">
        <is>
          <t>3192519:eng</t>
        </is>
      </c>
      <c r="AV131" t="inlineStr">
        <is>
          <t>43729005</t>
        </is>
      </c>
      <c r="AW131" t="inlineStr">
        <is>
          <t>991003780909702656</t>
        </is>
      </c>
      <c r="AX131" t="inlineStr">
        <is>
          <t>991003780909702656</t>
        </is>
      </c>
      <c r="AY131" t="inlineStr">
        <is>
          <t>2267718620002656</t>
        </is>
      </c>
      <c r="AZ131" t="inlineStr">
        <is>
          <t>BOOK</t>
        </is>
      </c>
      <c r="BB131" t="inlineStr">
        <is>
          <t>9780070921436</t>
        </is>
      </c>
      <c r="BC131" t="inlineStr">
        <is>
          <t>32285004490610</t>
        </is>
      </c>
      <c r="BD131" t="inlineStr">
        <is>
          <t>893349135</t>
        </is>
      </c>
    </row>
    <row r="132">
      <c r="A132" t="inlineStr">
        <is>
          <t>No</t>
        </is>
      </c>
      <c r="B132" t="inlineStr">
        <is>
          <t>RC1210 .R43 1992</t>
        </is>
      </c>
      <c r="C132" t="inlineStr">
        <is>
          <t>0                      RC 1210000R  43          1992</t>
        </is>
      </c>
      <c r="D132" t="inlineStr">
        <is>
          <t>Sports injury assessment and rehabilitation / David C. Reid.</t>
        </is>
      </c>
      <c r="F132" t="inlineStr">
        <is>
          <t>No</t>
        </is>
      </c>
      <c r="G132" t="inlineStr">
        <is>
          <t>1</t>
        </is>
      </c>
      <c r="H132" t="inlineStr">
        <is>
          <t>No</t>
        </is>
      </c>
      <c r="I132" t="inlineStr">
        <is>
          <t>No</t>
        </is>
      </c>
      <c r="J132" t="inlineStr">
        <is>
          <t>0</t>
        </is>
      </c>
      <c r="K132" t="inlineStr">
        <is>
          <t>Reid, David C.</t>
        </is>
      </c>
      <c r="L132" t="inlineStr">
        <is>
          <t>New York : Churchill Livingstone, 1992.</t>
        </is>
      </c>
      <c r="M132" t="inlineStr">
        <is>
          <t>1992</t>
        </is>
      </c>
      <c r="O132" t="inlineStr">
        <is>
          <t>eng</t>
        </is>
      </c>
      <c r="P132" t="inlineStr">
        <is>
          <t>nyu</t>
        </is>
      </c>
      <c r="R132" t="inlineStr">
        <is>
          <t xml:space="preserve">RC </t>
        </is>
      </c>
      <c r="S132" t="n">
        <v>12</v>
      </c>
      <c r="T132" t="n">
        <v>12</v>
      </c>
      <c r="U132" t="inlineStr">
        <is>
          <t>2009-09-29</t>
        </is>
      </c>
      <c r="V132" t="inlineStr">
        <is>
          <t>2009-09-29</t>
        </is>
      </c>
      <c r="W132" t="inlineStr">
        <is>
          <t>1995-03-28</t>
        </is>
      </c>
      <c r="X132" t="inlineStr">
        <is>
          <t>1995-03-28</t>
        </is>
      </c>
      <c r="Y132" t="n">
        <v>302</v>
      </c>
      <c r="Z132" t="n">
        <v>194</v>
      </c>
      <c r="AA132" t="n">
        <v>201</v>
      </c>
      <c r="AB132" t="n">
        <v>2</v>
      </c>
      <c r="AC132" t="n">
        <v>2</v>
      </c>
      <c r="AD132" t="n">
        <v>7</v>
      </c>
      <c r="AE132" t="n">
        <v>7</v>
      </c>
      <c r="AF132" t="n">
        <v>4</v>
      </c>
      <c r="AG132" t="n">
        <v>4</v>
      </c>
      <c r="AH132" t="n">
        <v>1</v>
      </c>
      <c r="AI132" t="n">
        <v>1</v>
      </c>
      <c r="AJ132" t="n">
        <v>2</v>
      </c>
      <c r="AK132" t="n">
        <v>2</v>
      </c>
      <c r="AL132" t="n">
        <v>1</v>
      </c>
      <c r="AM132" t="n">
        <v>1</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HYPERLINK("https://creighton-primo.hosted.exlibrisgroup.com/primo-explore/search?tab=default_tab&amp;search_scope=EVERYTHING&amp;vid=01CRU&amp;lang=en_US&amp;offset=0&amp;query=any,contains,991001933779702656","Catalog Record")</f>
        <v/>
      </c>
      <c r="AT132">
        <f>HYPERLINK("http://www.worldcat.org/oclc/24429778","WorldCat Record")</f>
        <v/>
      </c>
      <c r="AU132" t="inlineStr">
        <is>
          <t>2653747:eng</t>
        </is>
      </c>
      <c r="AV132" t="inlineStr">
        <is>
          <t>24429778</t>
        </is>
      </c>
      <c r="AW132" t="inlineStr">
        <is>
          <t>991001933779702656</t>
        </is>
      </c>
      <c r="AX132" t="inlineStr">
        <is>
          <t>991001933779702656</t>
        </is>
      </c>
      <c r="AY132" t="inlineStr">
        <is>
          <t>2258451750002656</t>
        </is>
      </c>
      <c r="AZ132" t="inlineStr">
        <is>
          <t>BOOK</t>
        </is>
      </c>
      <c r="BB132" t="inlineStr">
        <is>
          <t>9780443086625</t>
        </is>
      </c>
      <c r="BC132" t="inlineStr">
        <is>
          <t>32285002004751</t>
        </is>
      </c>
      <c r="BD132" t="inlineStr">
        <is>
          <t>893715851</t>
        </is>
      </c>
    </row>
    <row r="133">
      <c r="A133" t="inlineStr">
        <is>
          <t>No</t>
        </is>
      </c>
      <c r="B133" t="inlineStr">
        <is>
          <t>RC1210 .R44</t>
        </is>
      </c>
      <c r="C133" t="inlineStr">
        <is>
          <t>0                      RC 1210000R  44</t>
        </is>
      </c>
      <c r="D133" t="inlineStr">
        <is>
          <t>Relevant topics in athletic training / edited by Kent Scriber, Edmund J. Burke ; art work by Tom Stearns.</t>
        </is>
      </c>
      <c r="F133" t="inlineStr">
        <is>
          <t>No</t>
        </is>
      </c>
      <c r="G133" t="inlineStr">
        <is>
          <t>1</t>
        </is>
      </c>
      <c r="H133" t="inlineStr">
        <is>
          <t>No</t>
        </is>
      </c>
      <c r="I133" t="inlineStr">
        <is>
          <t>No</t>
        </is>
      </c>
      <c r="J133" t="inlineStr">
        <is>
          <t>0</t>
        </is>
      </c>
      <c r="L133" t="inlineStr">
        <is>
          <t>Ithaca, N.Y. : Mouvement Publications, c1978.</t>
        </is>
      </c>
      <c r="M133" t="inlineStr">
        <is>
          <t>1978</t>
        </is>
      </c>
      <c r="O133" t="inlineStr">
        <is>
          <t>eng</t>
        </is>
      </c>
      <c r="P133" t="inlineStr">
        <is>
          <t>nyu</t>
        </is>
      </c>
      <c r="R133" t="inlineStr">
        <is>
          <t xml:space="preserve">RC </t>
        </is>
      </c>
      <c r="S133" t="n">
        <v>6</v>
      </c>
      <c r="T133" t="n">
        <v>6</v>
      </c>
      <c r="U133" t="inlineStr">
        <is>
          <t>2001-09-18</t>
        </is>
      </c>
      <c r="V133" t="inlineStr">
        <is>
          <t>2001-09-18</t>
        </is>
      </c>
      <c r="W133" t="inlineStr">
        <is>
          <t>1993-03-24</t>
        </is>
      </c>
      <c r="X133" t="inlineStr">
        <is>
          <t>1993-03-24</t>
        </is>
      </c>
      <c r="Y133" t="n">
        <v>231</v>
      </c>
      <c r="Z133" t="n">
        <v>169</v>
      </c>
      <c r="AA133" t="n">
        <v>169</v>
      </c>
      <c r="AB133" t="n">
        <v>3</v>
      </c>
      <c r="AC133" t="n">
        <v>3</v>
      </c>
      <c r="AD133" t="n">
        <v>2</v>
      </c>
      <c r="AE133" t="n">
        <v>2</v>
      </c>
      <c r="AF133" t="n">
        <v>0</v>
      </c>
      <c r="AG133" t="n">
        <v>0</v>
      </c>
      <c r="AH133" t="n">
        <v>0</v>
      </c>
      <c r="AI133" t="n">
        <v>0</v>
      </c>
      <c r="AJ133" t="n">
        <v>0</v>
      </c>
      <c r="AK133" t="n">
        <v>0</v>
      </c>
      <c r="AL133" t="n">
        <v>2</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HYPERLINK("https://creighton-primo.hosted.exlibrisgroup.com/primo-explore/search?tab=default_tab&amp;search_scope=EVERYTHING&amp;vid=01CRU&amp;lang=en_US&amp;offset=0&amp;query=any,contains,991004635269702656","Catalog Record")</f>
        <v/>
      </c>
      <c r="AT133">
        <f>HYPERLINK("http://www.worldcat.org/oclc/4405209","WorldCat Record")</f>
        <v/>
      </c>
      <c r="AU133" t="inlineStr">
        <is>
          <t>375387265:eng</t>
        </is>
      </c>
      <c r="AV133" t="inlineStr">
        <is>
          <t>4405209</t>
        </is>
      </c>
      <c r="AW133" t="inlineStr">
        <is>
          <t>991004635269702656</t>
        </is>
      </c>
      <c r="AX133" t="inlineStr">
        <is>
          <t>991004635269702656</t>
        </is>
      </c>
      <c r="AY133" t="inlineStr">
        <is>
          <t>2259010150002656</t>
        </is>
      </c>
      <c r="AZ133" t="inlineStr">
        <is>
          <t>BOOK</t>
        </is>
      </c>
      <c r="BB133" t="inlineStr">
        <is>
          <t>9780932392022</t>
        </is>
      </c>
      <c r="BC133" t="inlineStr">
        <is>
          <t>32285001608370</t>
        </is>
      </c>
      <c r="BD133" t="inlineStr">
        <is>
          <t>893700461</t>
        </is>
      </c>
    </row>
    <row r="134">
      <c r="A134" t="inlineStr">
        <is>
          <t>No</t>
        </is>
      </c>
      <c r="B134" t="inlineStr">
        <is>
          <t>RC1210 .R53</t>
        </is>
      </c>
      <c r="C134" t="inlineStr">
        <is>
          <t>0                      RC 1210000R  53</t>
        </is>
      </c>
      <c r="D134" t="inlineStr">
        <is>
          <t>Surface anatomy for coaches and athletic trainers / by Hubert F. Riegler and Alan P. Peppard ; photography by Ferenc GyRoka.</t>
        </is>
      </c>
      <c r="F134" t="inlineStr">
        <is>
          <t>No</t>
        </is>
      </c>
      <c r="G134" t="inlineStr">
        <is>
          <t>1</t>
        </is>
      </c>
      <c r="H134" t="inlineStr">
        <is>
          <t>No</t>
        </is>
      </c>
      <c r="I134" t="inlineStr">
        <is>
          <t>No</t>
        </is>
      </c>
      <c r="J134" t="inlineStr">
        <is>
          <t>0</t>
        </is>
      </c>
      <c r="K134" t="inlineStr">
        <is>
          <t>Riegler, Hubert F.</t>
        </is>
      </c>
      <c r="L134" t="inlineStr">
        <is>
          <t>Springfield, Ill. : Thomas, c1979.</t>
        </is>
      </c>
      <c r="M134" t="inlineStr">
        <is>
          <t>1979</t>
        </is>
      </c>
      <c r="O134" t="inlineStr">
        <is>
          <t>eng</t>
        </is>
      </c>
      <c r="P134" t="inlineStr">
        <is>
          <t>ilu</t>
        </is>
      </c>
      <c r="R134" t="inlineStr">
        <is>
          <t xml:space="preserve">RC </t>
        </is>
      </c>
      <c r="S134" t="n">
        <v>1</v>
      </c>
      <c r="T134" t="n">
        <v>1</v>
      </c>
      <c r="U134" t="inlineStr">
        <is>
          <t>1998-12-08</t>
        </is>
      </c>
      <c r="V134" t="inlineStr">
        <is>
          <t>1998-12-08</t>
        </is>
      </c>
      <c r="W134" t="inlineStr">
        <is>
          <t>1999-02-01</t>
        </is>
      </c>
      <c r="X134" t="inlineStr">
        <is>
          <t>1999-02-01</t>
        </is>
      </c>
      <c r="Y134" t="n">
        <v>205</v>
      </c>
      <c r="Z134" t="n">
        <v>182</v>
      </c>
      <c r="AA134" t="n">
        <v>183</v>
      </c>
      <c r="AB134" t="n">
        <v>2</v>
      </c>
      <c r="AC134" t="n">
        <v>2</v>
      </c>
      <c r="AD134" t="n">
        <v>5</v>
      </c>
      <c r="AE134" t="n">
        <v>5</v>
      </c>
      <c r="AF134" t="n">
        <v>3</v>
      </c>
      <c r="AG134" t="n">
        <v>3</v>
      </c>
      <c r="AH134" t="n">
        <v>1</v>
      </c>
      <c r="AI134" t="n">
        <v>1</v>
      </c>
      <c r="AJ134" t="n">
        <v>1</v>
      </c>
      <c r="AK134" t="n">
        <v>1</v>
      </c>
      <c r="AL134" t="n">
        <v>1</v>
      </c>
      <c r="AM134" t="n">
        <v>1</v>
      </c>
      <c r="AN134" t="n">
        <v>0</v>
      </c>
      <c r="AO134" t="n">
        <v>0</v>
      </c>
      <c r="AP134" t="inlineStr">
        <is>
          <t>No</t>
        </is>
      </c>
      <c r="AQ134" t="inlineStr">
        <is>
          <t>Yes</t>
        </is>
      </c>
      <c r="AR134">
        <f>HYPERLINK("http://catalog.hathitrust.org/Record/101983900","HathiTrust Record")</f>
        <v/>
      </c>
      <c r="AS134">
        <f>HYPERLINK("https://creighton-primo.hosted.exlibrisgroup.com/primo-explore/search?tab=default_tab&amp;search_scope=EVERYTHING&amp;vid=01CRU&amp;lang=en_US&amp;offset=0&amp;query=any,contains,991004610229702656","Catalog Record")</f>
        <v/>
      </c>
      <c r="AT134">
        <f>HYPERLINK("http://www.worldcat.org/oclc/4211127","WorldCat Record")</f>
        <v/>
      </c>
      <c r="AU134" t="inlineStr">
        <is>
          <t>14511872:eng</t>
        </is>
      </c>
      <c r="AV134" t="inlineStr">
        <is>
          <t>4211127</t>
        </is>
      </c>
      <c r="AW134" t="inlineStr">
        <is>
          <t>991004610229702656</t>
        </is>
      </c>
      <c r="AX134" t="inlineStr">
        <is>
          <t>991004610229702656</t>
        </is>
      </c>
      <c r="AY134" t="inlineStr">
        <is>
          <t>2256582840002656</t>
        </is>
      </c>
      <c r="AZ134" t="inlineStr">
        <is>
          <t>BOOK</t>
        </is>
      </c>
      <c r="BB134" t="inlineStr">
        <is>
          <t>9780398038564</t>
        </is>
      </c>
      <c r="BC134" t="inlineStr">
        <is>
          <t>32285003262812</t>
        </is>
      </c>
      <c r="BD134" t="inlineStr">
        <is>
          <t>893513454</t>
        </is>
      </c>
    </row>
    <row r="135">
      <c r="A135" t="inlineStr">
        <is>
          <t>No</t>
        </is>
      </c>
      <c r="B135" t="inlineStr">
        <is>
          <t>RC1210 .R68 1983</t>
        </is>
      </c>
      <c r="C135" t="inlineStr">
        <is>
          <t>0                      RC 1210000R  68          1983</t>
        </is>
      </c>
      <c r="D135" t="inlineStr">
        <is>
          <t>Sports medicine : prevention, evaluation, management, and rehabilitation / Steven Roy, Richard Irvin.</t>
        </is>
      </c>
      <c r="F135" t="inlineStr">
        <is>
          <t>No</t>
        </is>
      </c>
      <c r="G135" t="inlineStr">
        <is>
          <t>1</t>
        </is>
      </c>
      <c r="H135" t="inlineStr">
        <is>
          <t>No</t>
        </is>
      </c>
      <c r="I135" t="inlineStr">
        <is>
          <t>No</t>
        </is>
      </c>
      <c r="J135" t="inlineStr">
        <is>
          <t>0</t>
        </is>
      </c>
      <c r="K135" t="inlineStr">
        <is>
          <t>Roy, Steven.</t>
        </is>
      </c>
      <c r="L135" t="inlineStr">
        <is>
          <t>Englewood Cliffs, N.J. : Prentice-Hall, c1983.</t>
        </is>
      </c>
      <c r="M135" t="inlineStr">
        <is>
          <t>1983</t>
        </is>
      </c>
      <c r="O135" t="inlineStr">
        <is>
          <t>eng</t>
        </is>
      </c>
      <c r="P135" t="inlineStr">
        <is>
          <t>nju</t>
        </is>
      </c>
      <c r="R135" t="inlineStr">
        <is>
          <t xml:space="preserve">RC </t>
        </is>
      </c>
      <c r="S135" t="n">
        <v>6</v>
      </c>
      <c r="T135" t="n">
        <v>6</v>
      </c>
      <c r="U135" t="inlineStr">
        <is>
          <t>2000-04-04</t>
        </is>
      </c>
      <c r="V135" t="inlineStr">
        <is>
          <t>2000-04-04</t>
        </is>
      </c>
      <c r="W135" t="inlineStr">
        <is>
          <t>1993-03-24</t>
        </is>
      </c>
      <c r="X135" t="inlineStr">
        <is>
          <t>1993-03-24</t>
        </is>
      </c>
      <c r="Y135" t="n">
        <v>556</v>
      </c>
      <c r="Z135" t="n">
        <v>462</v>
      </c>
      <c r="AA135" t="n">
        <v>464</v>
      </c>
      <c r="AB135" t="n">
        <v>4</v>
      </c>
      <c r="AC135" t="n">
        <v>4</v>
      </c>
      <c r="AD135" t="n">
        <v>13</v>
      </c>
      <c r="AE135" t="n">
        <v>13</v>
      </c>
      <c r="AF135" t="n">
        <v>8</v>
      </c>
      <c r="AG135" t="n">
        <v>8</v>
      </c>
      <c r="AH135" t="n">
        <v>3</v>
      </c>
      <c r="AI135" t="n">
        <v>3</v>
      </c>
      <c r="AJ135" t="n">
        <v>4</v>
      </c>
      <c r="AK135" t="n">
        <v>4</v>
      </c>
      <c r="AL135" t="n">
        <v>2</v>
      </c>
      <c r="AM135" t="n">
        <v>2</v>
      </c>
      <c r="AN135" t="n">
        <v>0</v>
      </c>
      <c r="AO135" t="n">
        <v>0</v>
      </c>
      <c r="AP135" t="inlineStr">
        <is>
          <t>No</t>
        </is>
      </c>
      <c r="AQ135" t="inlineStr">
        <is>
          <t>Yes</t>
        </is>
      </c>
      <c r="AR135">
        <f>HYPERLINK("http://catalog.hathitrust.org/Record/000781044","HathiTrust Record")</f>
        <v/>
      </c>
      <c r="AS135">
        <f>HYPERLINK("https://creighton-primo.hosted.exlibrisgroup.com/primo-explore/search?tab=default_tab&amp;search_scope=EVERYTHING&amp;vid=01CRU&amp;lang=en_US&amp;offset=0&amp;query=any,contains,991000080179702656","Catalog Record")</f>
        <v/>
      </c>
      <c r="AT135">
        <f>HYPERLINK("http://www.worldcat.org/oclc/8827476","WorldCat Record")</f>
        <v/>
      </c>
      <c r="AU135" t="inlineStr">
        <is>
          <t>31467688:eng</t>
        </is>
      </c>
      <c r="AV135" t="inlineStr">
        <is>
          <t>8827476</t>
        </is>
      </c>
      <c r="AW135" t="inlineStr">
        <is>
          <t>991000080179702656</t>
        </is>
      </c>
      <c r="AX135" t="inlineStr">
        <is>
          <t>991000080179702656</t>
        </is>
      </c>
      <c r="AY135" t="inlineStr">
        <is>
          <t>2266517010002656</t>
        </is>
      </c>
      <c r="AZ135" t="inlineStr">
        <is>
          <t>BOOK</t>
        </is>
      </c>
      <c r="BB135" t="inlineStr">
        <is>
          <t>9780138378073</t>
        </is>
      </c>
      <c r="BC135" t="inlineStr">
        <is>
          <t>32285001608396</t>
        </is>
      </c>
      <c r="BD135" t="inlineStr">
        <is>
          <t>893589103</t>
        </is>
      </c>
    </row>
    <row r="136">
      <c r="A136" t="inlineStr">
        <is>
          <t>No</t>
        </is>
      </c>
      <c r="B136" t="inlineStr">
        <is>
          <t>RC1210 .S68 2002</t>
        </is>
      </c>
      <c r="C136" t="inlineStr">
        <is>
          <t>0                      RC 1210000S  68          2002</t>
        </is>
      </c>
      <c r="D136" t="inlineStr">
        <is>
          <t>Study guide for the NATA Board of Certification, Inc. entry-level athletic trainer certification examination / Douglas M. Kleiner.</t>
        </is>
      </c>
      <c r="F136" t="inlineStr">
        <is>
          <t>No</t>
        </is>
      </c>
      <c r="G136" t="inlineStr">
        <is>
          <t>1</t>
        </is>
      </c>
      <c r="H136" t="inlineStr">
        <is>
          <t>No</t>
        </is>
      </c>
      <c r="I136" t="inlineStr">
        <is>
          <t>No</t>
        </is>
      </c>
      <c r="J136" t="inlineStr">
        <is>
          <t>0</t>
        </is>
      </c>
      <c r="K136" t="inlineStr">
        <is>
          <t>Kleiner, Doug.</t>
        </is>
      </c>
      <c r="L136" t="inlineStr">
        <is>
          <t>Philadelphia, Pa. : F.A. Davis, 2002.</t>
        </is>
      </c>
      <c r="M136" t="inlineStr">
        <is>
          <t>2002</t>
        </is>
      </c>
      <c r="N136" t="inlineStr">
        <is>
          <t>3rd ed.</t>
        </is>
      </c>
      <c r="O136" t="inlineStr">
        <is>
          <t>eng</t>
        </is>
      </c>
      <c r="P136" t="inlineStr">
        <is>
          <t>pau</t>
        </is>
      </c>
      <c r="R136" t="inlineStr">
        <is>
          <t xml:space="preserve">RC </t>
        </is>
      </c>
      <c r="S136" t="n">
        <v>1</v>
      </c>
      <c r="T136" t="n">
        <v>1</v>
      </c>
      <c r="U136" t="inlineStr">
        <is>
          <t>2010-01-11</t>
        </is>
      </c>
      <c r="V136" t="inlineStr">
        <is>
          <t>2010-01-11</t>
        </is>
      </c>
      <c r="W136" t="inlineStr">
        <is>
          <t>2002-06-05</t>
        </is>
      </c>
      <c r="X136" t="inlineStr">
        <is>
          <t>2002-06-05</t>
        </is>
      </c>
      <c r="Y136" t="n">
        <v>77</v>
      </c>
      <c r="Z136" t="n">
        <v>76</v>
      </c>
      <c r="AA136" t="n">
        <v>98</v>
      </c>
      <c r="AB136" t="n">
        <v>1</v>
      </c>
      <c r="AC136" t="n">
        <v>2</v>
      </c>
      <c r="AD136" t="n">
        <v>3</v>
      </c>
      <c r="AE136" t="n">
        <v>5</v>
      </c>
      <c r="AF136" t="n">
        <v>3</v>
      </c>
      <c r="AG136" t="n">
        <v>4</v>
      </c>
      <c r="AH136" t="n">
        <v>0</v>
      </c>
      <c r="AI136" t="n">
        <v>1</v>
      </c>
      <c r="AJ136" t="n">
        <v>0</v>
      </c>
      <c r="AK136" t="n">
        <v>0</v>
      </c>
      <c r="AL136" t="n">
        <v>0</v>
      </c>
      <c r="AM136" t="n">
        <v>1</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HYPERLINK("https://creighton-primo.hosted.exlibrisgroup.com/primo-explore/search?tab=default_tab&amp;search_scope=EVERYTHING&amp;vid=01CRU&amp;lang=en_US&amp;offset=0&amp;query=any,contains,991003781029702656","Catalog Record")</f>
        <v/>
      </c>
      <c r="AT136">
        <f>HYPERLINK("http://www.worldcat.org/oclc/48540711","WorldCat Record")</f>
        <v/>
      </c>
      <c r="AU136" t="inlineStr">
        <is>
          <t>55734654:eng</t>
        </is>
      </c>
      <c r="AV136" t="inlineStr">
        <is>
          <t>48540711</t>
        </is>
      </c>
      <c r="AW136" t="inlineStr">
        <is>
          <t>991003781029702656</t>
        </is>
      </c>
      <c r="AX136" t="inlineStr">
        <is>
          <t>991003781029702656</t>
        </is>
      </c>
      <c r="AY136" t="inlineStr">
        <is>
          <t>2266894480002656</t>
        </is>
      </c>
      <c r="AZ136" t="inlineStr">
        <is>
          <t>BOOK</t>
        </is>
      </c>
      <c r="BB136" t="inlineStr">
        <is>
          <t>9780803607859</t>
        </is>
      </c>
      <c r="BC136" t="inlineStr">
        <is>
          <t>32285005556161</t>
        </is>
      </c>
      <c r="BD136" t="inlineStr">
        <is>
          <t>893531585</t>
        </is>
      </c>
    </row>
    <row r="137">
      <c r="A137" t="inlineStr">
        <is>
          <t>No</t>
        </is>
      </c>
      <c r="B137" t="inlineStr">
        <is>
          <t>RC1210 .S686</t>
        </is>
      </c>
      <c r="C137" t="inlineStr">
        <is>
          <t>0                      RC 1210000S  686</t>
        </is>
      </c>
      <c r="D137" t="inlineStr">
        <is>
          <t>Sports medicine : fitness, training, injuries / edited by Otto Appenzeller and Ruth Atkinson.</t>
        </is>
      </c>
      <c r="F137" t="inlineStr">
        <is>
          <t>No</t>
        </is>
      </c>
      <c r="G137" t="inlineStr">
        <is>
          <t>1</t>
        </is>
      </c>
      <c r="H137" t="inlineStr">
        <is>
          <t>No</t>
        </is>
      </c>
      <c r="I137" t="inlineStr">
        <is>
          <t>Yes</t>
        </is>
      </c>
      <c r="J137" t="inlineStr">
        <is>
          <t>0</t>
        </is>
      </c>
      <c r="L137" t="inlineStr">
        <is>
          <t>Baltimore : Urban &amp; Schwarzenberg, 1981.</t>
        </is>
      </c>
      <c r="M137" t="inlineStr">
        <is>
          <t>1981</t>
        </is>
      </c>
      <c r="O137" t="inlineStr">
        <is>
          <t>eng</t>
        </is>
      </c>
      <c r="P137" t="inlineStr">
        <is>
          <t>mdu</t>
        </is>
      </c>
      <c r="R137" t="inlineStr">
        <is>
          <t xml:space="preserve">RC </t>
        </is>
      </c>
      <c r="S137" t="n">
        <v>1</v>
      </c>
      <c r="T137" t="n">
        <v>1</v>
      </c>
      <c r="U137" t="inlineStr">
        <is>
          <t>2000-02-21</t>
        </is>
      </c>
      <c r="V137" t="inlineStr">
        <is>
          <t>2000-02-21</t>
        </is>
      </c>
      <c r="W137" t="inlineStr">
        <is>
          <t>1992-05-18</t>
        </is>
      </c>
      <c r="X137" t="inlineStr">
        <is>
          <t>1992-05-18</t>
        </is>
      </c>
      <c r="Y137" t="n">
        <v>252</v>
      </c>
      <c r="Z137" t="n">
        <v>205</v>
      </c>
      <c r="AA137" t="n">
        <v>581</v>
      </c>
      <c r="AB137" t="n">
        <v>3</v>
      </c>
      <c r="AC137" t="n">
        <v>6</v>
      </c>
      <c r="AD137" t="n">
        <v>4</v>
      </c>
      <c r="AE137" t="n">
        <v>16</v>
      </c>
      <c r="AF137" t="n">
        <v>2</v>
      </c>
      <c r="AG137" t="n">
        <v>8</v>
      </c>
      <c r="AH137" t="n">
        <v>0</v>
      </c>
      <c r="AI137" t="n">
        <v>3</v>
      </c>
      <c r="AJ137" t="n">
        <v>0</v>
      </c>
      <c r="AK137" t="n">
        <v>5</v>
      </c>
      <c r="AL137" t="n">
        <v>2</v>
      </c>
      <c r="AM137" t="n">
        <v>4</v>
      </c>
      <c r="AN137" t="n">
        <v>0</v>
      </c>
      <c r="AO137" t="n">
        <v>0</v>
      </c>
      <c r="AP137" t="inlineStr">
        <is>
          <t>No</t>
        </is>
      </c>
      <c r="AQ137" t="inlineStr">
        <is>
          <t>Yes</t>
        </is>
      </c>
      <c r="AR137">
        <f>HYPERLINK("http://catalog.hathitrust.org/Record/000105176","HathiTrust Record")</f>
        <v/>
      </c>
      <c r="AS137">
        <f>HYPERLINK("https://creighton-primo.hosted.exlibrisgroup.com/primo-explore/search?tab=default_tab&amp;search_scope=EVERYTHING&amp;vid=01CRU&amp;lang=en_US&amp;offset=0&amp;query=any,contains,991005133359702656","Catalog Record")</f>
        <v/>
      </c>
      <c r="AT137">
        <f>HYPERLINK("http://www.worldcat.org/oclc/7574387","WorldCat Record")</f>
        <v/>
      </c>
      <c r="AU137" t="inlineStr">
        <is>
          <t>889964939:eng</t>
        </is>
      </c>
      <c r="AV137" t="inlineStr">
        <is>
          <t>7574387</t>
        </is>
      </c>
      <c r="AW137" t="inlineStr">
        <is>
          <t>991005133359702656</t>
        </is>
      </c>
      <c r="AX137" t="inlineStr">
        <is>
          <t>991005133359702656</t>
        </is>
      </c>
      <c r="AY137" t="inlineStr">
        <is>
          <t>2271004270002656</t>
        </is>
      </c>
      <c r="AZ137" t="inlineStr">
        <is>
          <t>BOOK</t>
        </is>
      </c>
      <c r="BB137" t="inlineStr">
        <is>
          <t>9780806701318</t>
        </is>
      </c>
      <c r="BC137" t="inlineStr">
        <is>
          <t>32285001111375</t>
        </is>
      </c>
      <c r="BD137" t="inlineStr">
        <is>
          <t>893783068</t>
        </is>
      </c>
    </row>
    <row r="138">
      <c r="A138" t="inlineStr">
        <is>
          <t>No</t>
        </is>
      </c>
      <c r="B138" t="inlineStr">
        <is>
          <t>RC1210 .S686 1988</t>
        </is>
      </c>
      <c r="C138" t="inlineStr">
        <is>
          <t>0                      RC 1210000S  686         1988</t>
        </is>
      </c>
      <c r="D138" t="inlineStr">
        <is>
          <t>Sports medicine : fitness, training, injuries / edited by Otto Appenzeller.</t>
        </is>
      </c>
      <c r="F138" t="inlineStr">
        <is>
          <t>No</t>
        </is>
      </c>
      <c r="G138" t="inlineStr">
        <is>
          <t>1</t>
        </is>
      </c>
      <c r="H138" t="inlineStr">
        <is>
          <t>Yes</t>
        </is>
      </c>
      <c r="I138" t="inlineStr">
        <is>
          <t>Yes</t>
        </is>
      </c>
      <c r="J138" t="inlineStr">
        <is>
          <t>0</t>
        </is>
      </c>
      <c r="L138" t="inlineStr">
        <is>
          <t>Baltimore : Urban &amp; Schwarzenberg, c1988, 1989 printing.</t>
        </is>
      </c>
      <c r="M138" t="inlineStr">
        <is>
          <t>1988</t>
        </is>
      </c>
      <c r="N138" t="inlineStr">
        <is>
          <t>3rd ed.</t>
        </is>
      </c>
      <c r="O138" t="inlineStr">
        <is>
          <t>eng</t>
        </is>
      </c>
      <c r="P138" t="inlineStr">
        <is>
          <t>mdu</t>
        </is>
      </c>
      <c r="R138" t="inlineStr">
        <is>
          <t xml:space="preserve">RC </t>
        </is>
      </c>
      <c r="S138" t="n">
        <v>13</v>
      </c>
      <c r="T138" t="n">
        <v>13</v>
      </c>
      <c r="U138" t="inlineStr">
        <is>
          <t>2009-02-02</t>
        </is>
      </c>
      <c r="V138" t="inlineStr">
        <is>
          <t>2009-02-02</t>
        </is>
      </c>
      <c r="W138" t="inlineStr">
        <is>
          <t>1990-06-18</t>
        </is>
      </c>
      <c r="X138" t="inlineStr">
        <is>
          <t>1990-06-18</t>
        </is>
      </c>
      <c r="Y138" t="n">
        <v>411</v>
      </c>
      <c r="Z138" t="n">
        <v>326</v>
      </c>
      <c r="AA138" t="n">
        <v>581</v>
      </c>
      <c r="AB138" t="n">
        <v>3</v>
      </c>
      <c r="AC138" t="n">
        <v>6</v>
      </c>
      <c r="AD138" t="n">
        <v>7</v>
      </c>
      <c r="AE138" t="n">
        <v>16</v>
      </c>
      <c r="AF138" t="n">
        <v>4</v>
      </c>
      <c r="AG138" t="n">
        <v>8</v>
      </c>
      <c r="AH138" t="n">
        <v>1</v>
      </c>
      <c r="AI138" t="n">
        <v>3</v>
      </c>
      <c r="AJ138" t="n">
        <v>4</v>
      </c>
      <c r="AK138" t="n">
        <v>5</v>
      </c>
      <c r="AL138" t="n">
        <v>1</v>
      </c>
      <c r="AM138" t="n">
        <v>4</v>
      </c>
      <c r="AN138" t="n">
        <v>0</v>
      </c>
      <c r="AO138" t="n">
        <v>0</v>
      </c>
      <c r="AP138" t="inlineStr">
        <is>
          <t>No</t>
        </is>
      </c>
      <c r="AQ138" t="inlineStr">
        <is>
          <t>Yes</t>
        </is>
      </c>
      <c r="AR138">
        <f>HYPERLINK("http://catalog.hathitrust.org/Record/000917800","HathiTrust Record")</f>
        <v/>
      </c>
      <c r="AS138">
        <f>HYPERLINK("https://creighton-primo.hosted.exlibrisgroup.com/primo-explore/search?tab=default_tab&amp;search_scope=EVERYTHING&amp;vid=01CRU&amp;lang=en_US&amp;offset=0&amp;query=any,contains,991001266259702656","Catalog Record")</f>
        <v/>
      </c>
      <c r="AT138">
        <f>HYPERLINK("http://www.worldcat.org/oclc/17806126","WorldCat Record")</f>
        <v/>
      </c>
      <c r="AU138" t="inlineStr">
        <is>
          <t>889964939:eng</t>
        </is>
      </c>
      <c r="AV138" t="inlineStr">
        <is>
          <t>17806126</t>
        </is>
      </c>
      <c r="AW138" t="inlineStr">
        <is>
          <t>991001266259702656</t>
        </is>
      </c>
      <c r="AX138" t="inlineStr">
        <is>
          <t>991001266259702656</t>
        </is>
      </c>
      <c r="AY138" t="inlineStr">
        <is>
          <t>2262822960002656</t>
        </is>
      </c>
      <c r="AZ138" t="inlineStr">
        <is>
          <t>BOOK</t>
        </is>
      </c>
      <c r="BB138" t="inlineStr">
        <is>
          <t>9780806701332</t>
        </is>
      </c>
      <c r="BC138" t="inlineStr">
        <is>
          <t>32285000177922</t>
        </is>
      </c>
      <c r="BD138" t="inlineStr">
        <is>
          <t>893885191</t>
        </is>
      </c>
    </row>
    <row r="139">
      <c r="A139" t="inlineStr">
        <is>
          <t>No</t>
        </is>
      </c>
      <c r="B139" t="inlineStr">
        <is>
          <t>RC1210 .V36 2000</t>
        </is>
      </c>
      <c r="C139" t="inlineStr">
        <is>
          <t>0                      RC 1210000V  36          2000</t>
        </is>
      </c>
      <c r="D139" t="inlineStr">
        <is>
          <t>Athletic training student guide to success / Lynn Van Ost, Karen Manfré.</t>
        </is>
      </c>
      <c r="F139" t="inlineStr">
        <is>
          <t>No</t>
        </is>
      </c>
      <c r="G139" t="inlineStr">
        <is>
          <t>1</t>
        </is>
      </c>
      <c r="H139" t="inlineStr">
        <is>
          <t>No</t>
        </is>
      </c>
      <c r="I139" t="inlineStr">
        <is>
          <t>No</t>
        </is>
      </c>
      <c r="J139" t="inlineStr">
        <is>
          <t>0</t>
        </is>
      </c>
      <c r="K139" t="inlineStr">
        <is>
          <t>Van Ost, Lynn.</t>
        </is>
      </c>
      <c r="L139" t="inlineStr">
        <is>
          <t>Thorofare, NJ : Slack, c2000.</t>
        </is>
      </c>
      <c r="M139" t="inlineStr">
        <is>
          <t>2000</t>
        </is>
      </c>
      <c r="O139" t="inlineStr">
        <is>
          <t>eng</t>
        </is>
      </c>
      <c r="P139" t="inlineStr">
        <is>
          <t>nju</t>
        </is>
      </c>
      <c r="R139" t="inlineStr">
        <is>
          <t xml:space="preserve">RC </t>
        </is>
      </c>
      <c r="S139" t="n">
        <v>3</v>
      </c>
      <c r="T139" t="n">
        <v>3</v>
      </c>
      <c r="U139" t="inlineStr">
        <is>
          <t>2003-07-17</t>
        </is>
      </c>
      <c r="V139" t="inlineStr">
        <is>
          <t>2003-07-17</t>
        </is>
      </c>
      <c r="W139" t="inlineStr">
        <is>
          <t>2002-05-14</t>
        </is>
      </c>
      <c r="X139" t="inlineStr">
        <is>
          <t>2002-05-14</t>
        </is>
      </c>
      <c r="Y139" t="n">
        <v>93</v>
      </c>
      <c r="Z139" t="n">
        <v>84</v>
      </c>
      <c r="AA139" t="n">
        <v>84</v>
      </c>
      <c r="AB139" t="n">
        <v>1</v>
      </c>
      <c r="AC139" t="n">
        <v>1</v>
      </c>
      <c r="AD139" t="n">
        <v>4</v>
      </c>
      <c r="AE139" t="n">
        <v>4</v>
      </c>
      <c r="AF139" t="n">
        <v>3</v>
      </c>
      <c r="AG139" t="n">
        <v>3</v>
      </c>
      <c r="AH139" t="n">
        <v>1</v>
      </c>
      <c r="AI139" t="n">
        <v>1</v>
      </c>
      <c r="AJ139" t="n">
        <v>1</v>
      </c>
      <c r="AK139" t="n">
        <v>1</v>
      </c>
      <c r="AL139" t="n">
        <v>0</v>
      </c>
      <c r="AM139" t="n">
        <v>0</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HYPERLINK("https://creighton-primo.hosted.exlibrisgroup.com/primo-explore/search?tab=default_tab&amp;search_scope=EVERYTHING&amp;vid=01CRU&amp;lang=en_US&amp;offset=0&amp;query=any,contains,991003781059702656","Catalog Record")</f>
        <v/>
      </c>
      <c r="AT139">
        <f>HYPERLINK("http://www.worldcat.org/oclc/43913105","WorldCat Record")</f>
        <v/>
      </c>
      <c r="AU139" t="inlineStr">
        <is>
          <t>5575157221:eng</t>
        </is>
      </c>
      <c r="AV139" t="inlineStr">
        <is>
          <t>43913105</t>
        </is>
      </c>
      <c r="AW139" t="inlineStr">
        <is>
          <t>991003781059702656</t>
        </is>
      </c>
      <c r="AX139" t="inlineStr">
        <is>
          <t>991003781059702656</t>
        </is>
      </c>
      <c r="AY139" t="inlineStr">
        <is>
          <t>2263971120002656</t>
        </is>
      </c>
      <c r="AZ139" t="inlineStr">
        <is>
          <t>BOOK</t>
        </is>
      </c>
      <c r="BB139" t="inlineStr">
        <is>
          <t>9781556423796</t>
        </is>
      </c>
      <c r="BC139" t="inlineStr">
        <is>
          <t>32285004488259</t>
        </is>
      </c>
      <c r="BD139" t="inlineStr">
        <is>
          <t>893410701</t>
        </is>
      </c>
    </row>
    <row r="140">
      <c r="A140" t="inlineStr">
        <is>
          <t>No</t>
        </is>
      </c>
      <c r="B140" t="inlineStr">
        <is>
          <t>RC1218.C45 A45 1983</t>
        </is>
      </c>
      <c r="C140" t="inlineStr">
        <is>
          <t>0                      RC 1218000C  45                 A  45          1983</t>
        </is>
      </c>
      <c r="D140" t="inlineStr">
        <is>
          <t>Sports medicine : health care for young athletes / author, Committee on Sports Medicine, American Academy of Pediatrics, editor, Nathan J. Smith.</t>
        </is>
      </c>
      <c r="F140" t="inlineStr">
        <is>
          <t>No</t>
        </is>
      </c>
      <c r="G140" t="inlineStr">
        <is>
          <t>1</t>
        </is>
      </c>
      <c r="H140" t="inlineStr">
        <is>
          <t>Yes</t>
        </is>
      </c>
      <c r="I140" t="inlineStr">
        <is>
          <t>No</t>
        </is>
      </c>
      <c r="J140" t="inlineStr">
        <is>
          <t>0</t>
        </is>
      </c>
      <c r="K140" t="inlineStr">
        <is>
          <t>American Academy of Pediatrics. Committee on Sports Medicine.</t>
        </is>
      </c>
      <c r="L140" t="inlineStr">
        <is>
          <t>Evanston, Ill. : American Academy of Pediatrics, 1983.</t>
        </is>
      </c>
      <c r="M140" t="inlineStr">
        <is>
          <t>1983</t>
        </is>
      </c>
      <c r="O140" t="inlineStr">
        <is>
          <t>eng</t>
        </is>
      </c>
      <c r="P140" t="inlineStr">
        <is>
          <t>ilu</t>
        </is>
      </c>
      <c r="R140" t="inlineStr">
        <is>
          <t xml:space="preserve">RC </t>
        </is>
      </c>
      <c r="S140" t="n">
        <v>5</v>
      </c>
      <c r="T140" t="n">
        <v>8</v>
      </c>
      <c r="U140" t="inlineStr">
        <is>
          <t>2001-03-07</t>
        </is>
      </c>
      <c r="V140" t="inlineStr">
        <is>
          <t>2001-03-07</t>
        </is>
      </c>
      <c r="W140" t="inlineStr">
        <is>
          <t>1993-03-25</t>
        </is>
      </c>
      <c r="X140" t="inlineStr">
        <is>
          <t>1993-03-25</t>
        </is>
      </c>
      <c r="Y140" t="n">
        <v>236</v>
      </c>
      <c r="Z140" t="n">
        <v>208</v>
      </c>
      <c r="AA140" t="n">
        <v>211</v>
      </c>
      <c r="AB140" t="n">
        <v>4</v>
      </c>
      <c r="AC140" t="n">
        <v>4</v>
      </c>
      <c r="AD140" t="n">
        <v>3</v>
      </c>
      <c r="AE140" t="n">
        <v>3</v>
      </c>
      <c r="AF140" t="n">
        <v>0</v>
      </c>
      <c r="AG140" t="n">
        <v>0</v>
      </c>
      <c r="AH140" t="n">
        <v>1</v>
      </c>
      <c r="AI140" t="n">
        <v>1</v>
      </c>
      <c r="AJ140" t="n">
        <v>1</v>
      </c>
      <c r="AK140" t="n">
        <v>1</v>
      </c>
      <c r="AL140" t="n">
        <v>2</v>
      </c>
      <c r="AM140" t="n">
        <v>2</v>
      </c>
      <c r="AN140" t="n">
        <v>0</v>
      </c>
      <c r="AO140" t="n">
        <v>0</v>
      </c>
      <c r="AP140" t="inlineStr">
        <is>
          <t>No</t>
        </is>
      </c>
      <c r="AQ140" t="inlineStr">
        <is>
          <t>Yes</t>
        </is>
      </c>
      <c r="AR140">
        <f>HYPERLINK("http://catalog.hathitrust.org/Record/000119183","HathiTrust Record")</f>
        <v/>
      </c>
      <c r="AS140">
        <f>HYPERLINK("https://creighton-primo.hosted.exlibrisgroup.com/primo-explore/search?tab=default_tab&amp;search_scope=EVERYTHING&amp;vid=01CRU&amp;lang=en_US&amp;offset=0&amp;query=any,contains,991001771929702656","Catalog Record")</f>
        <v/>
      </c>
      <c r="AT140">
        <f>HYPERLINK("http://www.worldcat.org/oclc/10014559","WorldCat Record")</f>
        <v/>
      </c>
      <c r="AU140" t="inlineStr">
        <is>
          <t>428043798:eng</t>
        </is>
      </c>
      <c r="AV140" t="inlineStr">
        <is>
          <t>10014559</t>
        </is>
      </c>
      <c r="AW140" t="inlineStr">
        <is>
          <t>991001771929702656</t>
        </is>
      </c>
      <c r="AX140" t="inlineStr">
        <is>
          <t>991001771929702656</t>
        </is>
      </c>
      <c r="AY140" t="inlineStr">
        <is>
          <t>2271277520002656</t>
        </is>
      </c>
      <c r="AZ140" t="inlineStr">
        <is>
          <t>BOOK</t>
        </is>
      </c>
      <c r="BB140" t="inlineStr">
        <is>
          <t>9780910761024</t>
        </is>
      </c>
      <c r="BC140" t="inlineStr">
        <is>
          <t>32285001608677</t>
        </is>
      </c>
      <c r="BD140" t="inlineStr">
        <is>
          <t>893602879</t>
        </is>
      </c>
    </row>
    <row r="141">
      <c r="A141" t="inlineStr">
        <is>
          <t>No</t>
        </is>
      </c>
      <c r="B141" t="inlineStr">
        <is>
          <t>RC1218.C45 C47 1986</t>
        </is>
      </c>
      <c r="C141" t="inlineStr">
        <is>
          <t>0                      RC 1218000C  45                 C  47          1986</t>
        </is>
      </c>
      <c r="D141" t="inlineStr">
        <is>
          <t>Children and exercise XII / edited by Joseph Rutenfranz, Rolf Mocellin, Ferdinand Klimt.</t>
        </is>
      </c>
      <c r="F141" t="inlineStr">
        <is>
          <t>No</t>
        </is>
      </c>
      <c r="G141" t="inlineStr">
        <is>
          <t>1</t>
        </is>
      </c>
      <c r="H141" t="inlineStr">
        <is>
          <t>No</t>
        </is>
      </c>
      <c r="I141" t="inlineStr">
        <is>
          <t>No</t>
        </is>
      </c>
      <c r="J141" t="inlineStr">
        <is>
          <t>0</t>
        </is>
      </c>
      <c r="L141" t="inlineStr">
        <is>
          <t>Champaign, IL : Human Kinetics Publishers, c1986.</t>
        </is>
      </c>
      <c r="M141" t="inlineStr">
        <is>
          <t>1986</t>
        </is>
      </c>
      <c r="O141" t="inlineStr">
        <is>
          <t>eng</t>
        </is>
      </c>
      <c r="P141" t="inlineStr">
        <is>
          <t>ilu</t>
        </is>
      </c>
      <c r="Q141" t="inlineStr">
        <is>
          <t>International series on sport sciences, 0160-0559 ; v. 17</t>
        </is>
      </c>
      <c r="R141" t="inlineStr">
        <is>
          <t xml:space="preserve">RC </t>
        </is>
      </c>
      <c r="S141" t="n">
        <v>8</v>
      </c>
      <c r="T141" t="n">
        <v>8</v>
      </c>
      <c r="U141" t="inlineStr">
        <is>
          <t>2009-02-06</t>
        </is>
      </c>
      <c r="V141" t="inlineStr">
        <is>
          <t>2009-02-06</t>
        </is>
      </c>
      <c r="W141" t="inlineStr">
        <is>
          <t>1992-05-01</t>
        </is>
      </c>
      <c r="X141" t="inlineStr">
        <is>
          <t>1992-05-01</t>
        </is>
      </c>
      <c r="Y141" t="n">
        <v>275</v>
      </c>
      <c r="Z141" t="n">
        <v>208</v>
      </c>
      <c r="AA141" t="n">
        <v>210</v>
      </c>
      <c r="AB141" t="n">
        <v>3</v>
      </c>
      <c r="AC141" t="n">
        <v>3</v>
      </c>
      <c r="AD141" t="n">
        <v>4</v>
      </c>
      <c r="AE141" t="n">
        <v>4</v>
      </c>
      <c r="AF141" t="n">
        <v>1</v>
      </c>
      <c r="AG141" t="n">
        <v>1</v>
      </c>
      <c r="AH141" t="n">
        <v>0</v>
      </c>
      <c r="AI141" t="n">
        <v>0</v>
      </c>
      <c r="AJ141" t="n">
        <v>1</v>
      </c>
      <c r="AK141" t="n">
        <v>1</v>
      </c>
      <c r="AL141" t="n">
        <v>2</v>
      </c>
      <c r="AM141" t="n">
        <v>2</v>
      </c>
      <c r="AN141" t="n">
        <v>0</v>
      </c>
      <c r="AO141" t="n">
        <v>0</v>
      </c>
      <c r="AP141" t="inlineStr">
        <is>
          <t>No</t>
        </is>
      </c>
      <c r="AQ141" t="inlineStr">
        <is>
          <t>Yes</t>
        </is>
      </c>
      <c r="AR141">
        <f>HYPERLINK("http://catalog.hathitrust.org/Record/010518072","HathiTrust Record")</f>
        <v/>
      </c>
      <c r="AS141">
        <f>HYPERLINK("https://creighton-primo.hosted.exlibrisgroup.com/primo-explore/search?tab=default_tab&amp;search_scope=EVERYTHING&amp;vid=01CRU&amp;lang=en_US&amp;offset=0&amp;query=any,contains,991000864219702656","Catalog Record")</f>
        <v/>
      </c>
      <c r="AT141">
        <f>HYPERLINK("http://www.worldcat.org/oclc/13703102","WorldCat Record")</f>
        <v/>
      </c>
      <c r="AU141" t="inlineStr">
        <is>
          <t>6847408:eng</t>
        </is>
      </c>
      <c r="AV141" t="inlineStr">
        <is>
          <t>13703102</t>
        </is>
      </c>
      <c r="AW141" t="inlineStr">
        <is>
          <t>991000864219702656</t>
        </is>
      </c>
      <c r="AX141" t="inlineStr">
        <is>
          <t>991000864219702656</t>
        </is>
      </c>
      <c r="AY141" t="inlineStr">
        <is>
          <t>2261507480002656</t>
        </is>
      </c>
      <c r="AZ141" t="inlineStr">
        <is>
          <t>BOOK</t>
        </is>
      </c>
      <c r="BB141" t="inlineStr">
        <is>
          <t>9780873220620</t>
        </is>
      </c>
      <c r="BC141" t="inlineStr">
        <is>
          <t>32285001090934</t>
        </is>
      </c>
      <c r="BD141" t="inlineStr">
        <is>
          <t>893803128</t>
        </is>
      </c>
    </row>
    <row r="142">
      <c r="A142" t="inlineStr">
        <is>
          <t>No</t>
        </is>
      </c>
      <c r="B142" t="inlineStr">
        <is>
          <t>RC1218.C45 C475 1984</t>
        </is>
      </c>
      <c r="C142" t="inlineStr">
        <is>
          <t>0                      RC 1218000C  45                 C  475         1984</t>
        </is>
      </c>
      <c r="D142" t="inlineStr">
        <is>
          <t>Young athletes : biological, psychological, and educational perspectives / editor Robert M. Malina.</t>
        </is>
      </c>
      <c r="F142" t="inlineStr">
        <is>
          <t>No</t>
        </is>
      </c>
      <c r="G142" t="inlineStr">
        <is>
          <t>1</t>
        </is>
      </c>
      <c r="H142" t="inlineStr">
        <is>
          <t>No</t>
        </is>
      </c>
      <c r="I142" t="inlineStr">
        <is>
          <t>No</t>
        </is>
      </c>
      <c r="J142" t="inlineStr">
        <is>
          <t>0</t>
        </is>
      </c>
      <c r="K142" t="inlineStr">
        <is>
          <t>Child and Sport Conference (1984 : Urbino, Italy)</t>
        </is>
      </c>
      <c r="L142" t="inlineStr">
        <is>
          <t>Champaign, IL : Human Kinetics Publishers, c1988.</t>
        </is>
      </c>
      <c r="M142" t="inlineStr">
        <is>
          <t>1988</t>
        </is>
      </c>
      <c r="O142" t="inlineStr">
        <is>
          <t>eng</t>
        </is>
      </c>
      <c r="P142" t="inlineStr">
        <is>
          <t>ilu</t>
        </is>
      </c>
      <c r="R142" t="inlineStr">
        <is>
          <t xml:space="preserve">RC </t>
        </is>
      </c>
      <c r="S142" t="n">
        <v>12</v>
      </c>
      <c r="T142" t="n">
        <v>12</v>
      </c>
      <c r="U142" t="inlineStr">
        <is>
          <t>2009-02-06</t>
        </is>
      </c>
      <c r="V142" t="inlineStr">
        <is>
          <t>2009-02-06</t>
        </is>
      </c>
      <c r="W142" t="inlineStr">
        <is>
          <t>1993-03-25</t>
        </is>
      </c>
      <c r="X142" t="inlineStr">
        <is>
          <t>1993-03-25</t>
        </is>
      </c>
      <c r="Y142" t="n">
        <v>342</v>
      </c>
      <c r="Z142" t="n">
        <v>250</v>
      </c>
      <c r="AA142" t="n">
        <v>256</v>
      </c>
      <c r="AB142" t="n">
        <v>5</v>
      </c>
      <c r="AC142" t="n">
        <v>5</v>
      </c>
      <c r="AD142" t="n">
        <v>8</v>
      </c>
      <c r="AE142" t="n">
        <v>8</v>
      </c>
      <c r="AF142" t="n">
        <v>2</v>
      </c>
      <c r="AG142" t="n">
        <v>2</v>
      </c>
      <c r="AH142" t="n">
        <v>2</v>
      </c>
      <c r="AI142" t="n">
        <v>2</v>
      </c>
      <c r="AJ142" t="n">
        <v>2</v>
      </c>
      <c r="AK142" t="n">
        <v>2</v>
      </c>
      <c r="AL142" t="n">
        <v>4</v>
      </c>
      <c r="AM142" t="n">
        <v>4</v>
      </c>
      <c r="AN142" t="n">
        <v>0</v>
      </c>
      <c r="AO142" t="n">
        <v>0</v>
      </c>
      <c r="AP142" t="inlineStr">
        <is>
          <t>No</t>
        </is>
      </c>
      <c r="AQ142" t="inlineStr">
        <is>
          <t>Yes</t>
        </is>
      </c>
      <c r="AR142">
        <f>HYPERLINK("http://catalog.hathitrust.org/Record/101879229","HathiTrust Record")</f>
        <v/>
      </c>
      <c r="AS142">
        <f>HYPERLINK("https://creighton-primo.hosted.exlibrisgroup.com/primo-explore/search?tab=default_tab&amp;search_scope=EVERYTHING&amp;vid=01CRU&amp;lang=en_US&amp;offset=0&amp;query=any,contains,991001135749702656","Catalog Record")</f>
        <v/>
      </c>
      <c r="AT142">
        <f>HYPERLINK("http://www.worldcat.org/oclc/16711308","WorldCat Record")</f>
        <v/>
      </c>
      <c r="AU142" t="inlineStr">
        <is>
          <t>890077989:eng</t>
        </is>
      </c>
      <c r="AV142" t="inlineStr">
        <is>
          <t>16711308</t>
        </is>
      </c>
      <c r="AW142" t="inlineStr">
        <is>
          <t>991001135749702656</t>
        </is>
      </c>
      <c r="AX142" t="inlineStr">
        <is>
          <t>991001135749702656</t>
        </is>
      </c>
      <c r="AY142" t="inlineStr">
        <is>
          <t>2262471180002656</t>
        </is>
      </c>
      <c r="AZ142" t="inlineStr">
        <is>
          <t>BOOK</t>
        </is>
      </c>
      <c r="BB142" t="inlineStr">
        <is>
          <t>9780873221733</t>
        </is>
      </c>
      <c r="BC142" t="inlineStr">
        <is>
          <t>32285001608685</t>
        </is>
      </c>
      <c r="BD142" t="inlineStr">
        <is>
          <t>893590051</t>
        </is>
      </c>
    </row>
    <row r="143">
      <c r="A143" t="inlineStr">
        <is>
          <t>No</t>
        </is>
      </c>
      <c r="B143" t="inlineStr">
        <is>
          <t>RC1218.C45 C65 1988</t>
        </is>
      </c>
      <c r="C143" t="inlineStr">
        <is>
          <t>0                      RC 1218000C  45                 C  65          1988</t>
        </is>
      </c>
      <c r="D143" t="inlineStr">
        <is>
          <t>Competitive sports for children and youth : an overview of research and issues / Eugene W. Brown, Crystal F. Branta, editors.</t>
        </is>
      </c>
      <c r="F143" t="inlineStr">
        <is>
          <t>No</t>
        </is>
      </c>
      <c r="G143" t="inlineStr">
        <is>
          <t>1</t>
        </is>
      </c>
      <c r="H143" t="inlineStr">
        <is>
          <t>No</t>
        </is>
      </c>
      <c r="I143" t="inlineStr">
        <is>
          <t>No</t>
        </is>
      </c>
      <c r="J143" t="inlineStr">
        <is>
          <t>0</t>
        </is>
      </c>
      <c r="L143" t="inlineStr">
        <is>
          <t>Champaign, Ill. : Human Kinetics Books, c1988.</t>
        </is>
      </c>
      <c r="M143" t="inlineStr">
        <is>
          <t>1988</t>
        </is>
      </c>
      <c r="O143" t="inlineStr">
        <is>
          <t>eng</t>
        </is>
      </c>
      <c r="P143" t="inlineStr">
        <is>
          <t>ilu</t>
        </is>
      </c>
      <c r="Q143" t="inlineStr">
        <is>
          <t>Big Ten body of knowledge symposium series ; v. 16</t>
        </is>
      </c>
      <c r="R143" t="inlineStr">
        <is>
          <t xml:space="preserve">RC </t>
        </is>
      </c>
      <c r="S143" t="n">
        <v>13</v>
      </c>
      <c r="T143" t="n">
        <v>13</v>
      </c>
      <c r="U143" t="inlineStr">
        <is>
          <t>2009-02-06</t>
        </is>
      </c>
      <c r="V143" t="inlineStr">
        <is>
          <t>2009-02-06</t>
        </is>
      </c>
      <c r="W143" t="inlineStr">
        <is>
          <t>1993-03-25</t>
        </is>
      </c>
      <c r="X143" t="inlineStr">
        <is>
          <t>1993-03-25</t>
        </is>
      </c>
      <c r="Y143" t="n">
        <v>485</v>
      </c>
      <c r="Z143" t="n">
        <v>376</v>
      </c>
      <c r="AA143" t="n">
        <v>385</v>
      </c>
      <c r="AB143" t="n">
        <v>7</v>
      </c>
      <c r="AC143" t="n">
        <v>7</v>
      </c>
      <c r="AD143" t="n">
        <v>20</v>
      </c>
      <c r="AE143" t="n">
        <v>20</v>
      </c>
      <c r="AF143" t="n">
        <v>7</v>
      </c>
      <c r="AG143" t="n">
        <v>7</v>
      </c>
      <c r="AH143" t="n">
        <v>4</v>
      </c>
      <c r="AI143" t="n">
        <v>4</v>
      </c>
      <c r="AJ143" t="n">
        <v>7</v>
      </c>
      <c r="AK143" t="n">
        <v>7</v>
      </c>
      <c r="AL143" t="n">
        <v>6</v>
      </c>
      <c r="AM143" t="n">
        <v>6</v>
      </c>
      <c r="AN143" t="n">
        <v>0</v>
      </c>
      <c r="AO143" t="n">
        <v>0</v>
      </c>
      <c r="AP143" t="inlineStr">
        <is>
          <t>No</t>
        </is>
      </c>
      <c r="AQ143" t="inlineStr">
        <is>
          <t>Yes</t>
        </is>
      </c>
      <c r="AR143">
        <f>HYPERLINK("http://catalog.hathitrust.org/Record/004384063","HathiTrust Record")</f>
        <v/>
      </c>
      <c r="AS143">
        <f>HYPERLINK("https://creighton-primo.hosted.exlibrisgroup.com/primo-explore/search?tab=default_tab&amp;search_scope=EVERYTHING&amp;vid=01CRU&amp;lang=en_US&amp;offset=0&amp;query=any,contains,991000983679702656","Catalog Record")</f>
        <v/>
      </c>
      <c r="AT143">
        <f>HYPERLINK("http://www.worldcat.org/oclc/15054726","WorldCat Record")</f>
        <v/>
      </c>
      <c r="AU143" t="inlineStr">
        <is>
          <t>890078593:eng</t>
        </is>
      </c>
      <c r="AV143" t="inlineStr">
        <is>
          <t>15054726</t>
        </is>
      </c>
      <c r="AW143" t="inlineStr">
        <is>
          <t>991000983679702656</t>
        </is>
      </c>
      <c r="AX143" t="inlineStr">
        <is>
          <t>991000983679702656</t>
        </is>
      </c>
      <c r="AY143" t="inlineStr">
        <is>
          <t>2255675370002656</t>
        </is>
      </c>
      <c r="AZ143" t="inlineStr">
        <is>
          <t>BOOK</t>
        </is>
      </c>
      <c r="BB143" t="inlineStr">
        <is>
          <t>9780873221054</t>
        </is>
      </c>
      <c r="BC143" t="inlineStr">
        <is>
          <t>32285001608693</t>
        </is>
      </c>
      <c r="BD143" t="inlineStr">
        <is>
          <t>893589920</t>
        </is>
      </c>
    </row>
    <row r="144">
      <c r="A144" t="inlineStr">
        <is>
          <t>No</t>
        </is>
      </c>
      <c r="B144" t="inlineStr">
        <is>
          <t>RC1218.C45 J362 2005</t>
        </is>
      </c>
      <c r="C144" t="inlineStr">
        <is>
          <t>0                      RC 1218000C  45                 J  362         2005</t>
        </is>
      </c>
      <c r="D144" t="inlineStr">
        <is>
          <t>The power of prevention handbook / David H. Janda.</t>
        </is>
      </c>
      <c r="F144" t="inlineStr">
        <is>
          <t>No</t>
        </is>
      </c>
      <c r="G144" t="inlineStr">
        <is>
          <t>1</t>
        </is>
      </c>
      <c r="H144" t="inlineStr">
        <is>
          <t>No</t>
        </is>
      </c>
      <c r="I144" t="inlineStr">
        <is>
          <t>No</t>
        </is>
      </c>
      <c r="J144" t="inlineStr">
        <is>
          <t>0</t>
        </is>
      </c>
      <c r="K144" t="inlineStr">
        <is>
          <t>Janda, David.</t>
        </is>
      </c>
      <c r="L144" t="inlineStr">
        <is>
          <t>Ypsilanti, MI : Michigan Orthopaedic Center, c2005.</t>
        </is>
      </c>
      <c r="M144" t="inlineStr">
        <is>
          <t>2005</t>
        </is>
      </c>
      <c r="O144" t="inlineStr">
        <is>
          <t>eng</t>
        </is>
      </c>
      <c r="P144" t="inlineStr">
        <is>
          <t>miu</t>
        </is>
      </c>
      <c r="R144" t="inlineStr">
        <is>
          <t xml:space="preserve">RC </t>
        </is>
      </c>
      <c r="S144" t="n">
        <v>1</v>
      </c>
      <c r="T144" t="n">
        <v>1</v>
      </c>
      <c r="U144" t="inlineStr">
        <is>
          <t>2009-09-02</t>
        </is>
      </c>
      <c r="V144" t="inlineStr">
        <is>
          <t>2009-09-02</t>
        </is>
      </c>
      <c r="W144" t="inlineStr">
        <is>
          <t>2009-09-02</t>
        </is>
      </c>
      <c r="X144" t="inlineStr">
        <is>
          <t>2009-09-02</t>
        </is>
      </c>
      <c r="Y144" t="n">
        <v>2</v>
      </c>
      <c r="Z144" t="n">
        <v>1</v>
      </c>
      <c r="AA144" t="n">
        <v>1</v>
      </c>
      <c r="AB144" t="n">
        <v>0</v>
      </c>
      <c r="AC144" t="n">
        <v>0</v>
      </c>
      <c r="AD144" t="n">
        <v>0</v>
      </c>
      <c r="AE144" t="n">
        <v>0</v>
      </c>
      <c r="AF144" t="n">
        <v>0</v>
      </c>
      <c r="AG144" t="n">
        <v>0</v>
      </c>
      <c r="AH144" t="n">
        <v>0</v>
      </c>
      <c r="AI144" t="n">
        <v>0</v>
      </c>
      <c r="AJ144" t="n">
        <v>0</v>
      </c>
      <c r="AK144" t="n">
        <v>0</v>
      </c>
      <c r="AL144" t="n">
        <v>0</v>
      </c>
      <c r="AM144" t="n">
        <v>0</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HYPERLINK("https://creighton-primo.hosted.exlibrisgroup.com/primo-explore/search?tab=default_tab&amp;search_scope=EVERYTHING&amp;vid=01CRU&amp;lang=en_US&amp;offset=0&amp;query=any,contains,991005334189702656","Catalog Record")</f>
        <v/>
      </c>
      <c r="AT144">
        <f>HYPERLINK("http://www.worldcat.org/oclc/770864368","WorldCat Record")</f>
        <v/>
      </c>
      <c r="AU144" t="inlineStr">
        <is>
          <t>1070509538:eng</t>
        </is>
      </c>
      <c r="AV144" t="inlineStr">
        <is>
          <t>770864368</t>
        </is>
      </c>
      <c r="AW144" t="inlineStr">
        <is>
          <t>991005334189702656</t>
        </is>
      </c>
      <c r="AX144" t="inlineStr">
        <is>
          <t>991005334189702656</t>
        </is>
      </c>
      <c r="AY144" t="inlineStr">
        <is>
          <t>2259892120002656</t>
        </is>
      </c>
      <c r="AZ144" t="inlineStr">
        <is>
          <t>BOOK</t>
        </is>
      </c>
      <c r="BB144" t="inlineStr">
        <is>
          <t>9780974565545</t>
        </is>
      </c>
      <c r="BC144" t="inlineStr">
        <is>
          <t>32285005541965</t>
        </is>
      </c>
      <c r="BD144" t="inlineStr">
        <is>
          <t>893501709</t>
        </is>
      </c>
    </row>
    <row r="145">
      <c r="A145" t="inlineStr">
        <is>
          <t>No</t>
        </is>
      </c>
      <c r="B145" t="inlineStr">
        <is>
          <t>RC1218.W65 F46 1986</t>
        </is>
      </c>
      <c r="C145" t="inlineStr">
        <is>
          <t>0                      RC 1218000W  65                 F  46          1986</t>
        </is>
      </c>
      <c r="D145" t="inlineStr">
        <is>
          <t>Female endurance athletes / [edited by] Barbara L. Drinkwater.</t>
        </is>
      </c>
      <c r="F145" t="inlineStr">
        <is>
          <t>No</t>
        </is>
      </c>
      <c r="G145" t="inlineStr">
        <is>
          <t>1</t>
        </is>
      </c>
      <c r="H145" t="inlineStr">
        <is>
          <t>No</t>
        </is>
      </c>
      <c r="I145" t="inlineStr">
        <is>
          <t>No</t>
        </is>
      </c>
      <c r="J145" t="inlineStr">
        <is>
          <t>0</t>
        </is>
      </c>
      <c r="L145" t="inlineStr">
        <is>
          <t>Champaign, IL : Human Kinetics Publishers, c1986.</t>
        </is>
      </c>
      <c r="M145" t="inlineStr">
        <is>
          <t>1986</t>
        </is>
      </c>
      <c r="O145" t="inlineStr">
        <is>
          <t>eng</t>
        </is>
      </c>
      <c r="P145" t="inlineStr">
        <is>
          <t>ilu</t>
        </is>
      </c>
      <c r="R145" t="inlineStr">
        <is>
          <t xml:space="preserve">RC </t>
        </is>
      </c>
      <c r="S145" t="n">
        <v>9</v>
      </c>
      <c r="T145" t="n">
        <v>9</v>
      </c>
      <c r="U145" t="inlineStr">
        <is>
          <t>1999-02-24</t>
        </is>
      </c>
      <c r="V145" t="inlineStr">
        <is>
          <t>1999-02-24</t>
        </is>
      </c>
      <c r="W145" t="inlineStr">
        <is>
          <t>1993-03-25</t>
        </is>
      </c>
      <c r="X145" t="inlineStr">
        <is>
          <t>1993-03-25</t>
        </is>
      </c>
      <c r="Y145" t="n">
        <v>506</v>
      </c>
      <c r="Z145" t="n">
        <v>427</v>
      </c>
      <c r="AA145" t="n">
        <v>433</v>
      </c>
      <c r="AB145" t="n">
        <v>7</v>
      </c>
      <c r="AC145" t="n">
        <v>7</v>
      </c>
      <c r="AD145" t="n">
        <v>14</v>
      </c>
      <c r="AE145" t="n">
        <v>14</v>
      </c>
      <c r="AF145" t="n">
        <v>4</v>
      </c>
      <c r="AG145" t="n">
        <v>4</v>
      </c>
      <c r="AH145" t="n">
        <v>2</v>
      </c>
      <c r="AI145" t="n">
        <v>2</v>
      </c>
      <c r="AJ145" t="n">
        <v>2</v>
      </c>
      <c r="AK145" t="n">
        <v>2</v>
      </c>
      <c r="AL145" t="n">
        <v>6</v>
      </c>
      <c r="AM145" t="n">
        <v>6</v>
      </c>
      <c r="AN145" t="n">
        <v>0</v>
      </c>
      <c r="AO145" t="n">
        <v>0</v>
      </c>
      <c r="AP145" t="inlineStr">
        <is>
          <t>No</t>
        </is>
      </c>
      <c r="AQ145" t="inlineStr">
        <is>
          <t>Yes</t>
        </is>
      </c>
      <c r="AR145">
        <f>HYPERLINK("http://catalog.hathitrust.org/Record/000832348","HathiTrust Record")</f>
        <v/>
      </c>
      <c r="AS145">
        <f>HYPERLINK("https://creighton-primo.hosted.exlibrisgroup.com/primo-explore/search?tab=default_tab&amp;search_scope=EVERYTHING&amp;vid=01CRU&amp;lang=en_US&amp;offset=0&amp;query=any,contains,991000774869702656","Catalog Record")</f>
        <v/>
      </c>
      <c r="AT145">
        <f>HYPERLINK("http://www.worldcat.org/oclc/13063102","WorldCat Record")</f>
        <v/>
      </c>
      <c r="AU145" t="inlineStr">
        <is>
          <t>145151361:eng</t>
        </is>
      </c>
      <c r="AV145" t="inlineStr">
        <is>
          <t>13063102</t>
        </is>
      </c>
      <c r="AW145" t="inlineStr">
        <is>
          <t>991000774869702656</t>
        </is>
      </c>
      <c r="AX145" t="inlineStr">
        <is>
          <t>991000774869702656</t>
        </is>
      </c>
      <c r="AY145" t="inlineStr">
        <is>
          <t>2257198540002656</t>
        </is>
      </c>
      <c r="AZ145" t="inlineStr">
        <is>
          <t>BOOK</t>
        </is>
      </c>
      <c r="BB145" t="inlineStr">
        <is>
          <t>9780873220439</t>
        </is>
      </c>
      <c r="BC145" t="inlineStr">
        <is>
          <t>32285001608701</t>
        </is>
      </c>
      <c r="BD145" t="inlineStr">
        <is>
          <t>893407491</t>
        </is>
      </c>
    </row>
    <row r="146">
      <c r="A146" t="inlineStr">
        <is>
          <t>No</t>
        </is>
      </c>
      <c r="B146" t="inlineStr">
        <is>
          <t>RC1218.W65 M46 1986</t>
        </is>
      </c>
      <c r="C146" t="inlineStr">
        <is>
          <t>0                      RC 1218000W  65                 M  46          1986</t>
        </is>
      </c>
      <c r="D146" t="inlineStr">
        <is>
          <t>The Menstrual cycle and physical activity : proceedings of the seminar held February 24-26, 1984, at the Olympic Training Center, Colorado Springs, Colorado, under sponsorship of the U.S. Olympic Committee Sports Medicine Council in cooperation with Tampax Incorporated / edited by Jacqueline L. Puhl and C. Harmon Brown.</t>
        </is>
      </c>
      <c r="F146" t="inlineStr">
        <is>
          <t>No</t>
        </is>
      </c>
      <c r="G146" t="inlineStr">
        <is>
          <t>1</t>
        </is>
      </c>
      <c r="H146" t="inlineStr">
        <is>
          <t>No</t>
        </is>
      </c>
      <c r="I146" t="inlineStr">
        <is>
          <t>No</t>
        </is>
      </c>
      <c r="J146" t="inlineStr">
        <is>
          <t>0</t>
        </is>
      </c>
      <c r="L146" t="inlineStr">
        <is>
          <t>Champaign, Ill. : Human Kinetics Publishers, c1986.</t>
        </is>
      </c>
      <c r="M146" t="inlineStr">
        <is>
          <t>1986</t>
        </is>
      </c>
      <c r="O146" t="inlineStr">
        <is>
          <t>eng</t>
        </is>
      </c>
      <c r="P146" t="inlineStr">
        <is>
          <t>ilu</t>
        </is>
      </c>
      <c r="R146" t="inlineStr">
        <is>
          <t xml:space="preserve">RC </t>
        </is>
      </c>
      <c r="S146" t="n">
        <v>7</v>
      </c>
      <c r="T146" t="n">
        <v>7</v>
      </c>
      <c r="U146" t="inlineStr">
        <is>
          <t>1997-11-09</t>
        </is>
      </c>
      <c r="V146" t="inlineStr">
        <is>
          <t>1997-11-09</t>
        </is>
      </c>
      <c r="W146" t="inlineStr">
        <is>
          <t>1993-03-25</t>
        </is>
      </c>
      <c r="X146" t="inlineStr">
        <is>
          <t>1993-03-25</t>
        </is>
      </c>
      <c r="Y146" t="n">
        <v>324</v>
      </c>
      <c r="Z146" t="n">
        <v>279</v>
      </c>
      <c r="AA146" t="n">
        <v>293</v>
      </c>
      <c r="AB146" t="n">
        <v>4</v>
      </c>
      <c r="AC146" t="n">
        <v>4</v>
      </c>
      <c r="AD146" t="n">
        <v>8</v>
      </c>
      <c r="AE146" t="n">
        <v>8</v>
      </c>
      <c r="AF146" t="n">
        <v>2</v>
      </c>
      <c r="AG146" t="n">
        <v>2</v>
      </c>
      <c r="AH146" t="n">
        <v>2</v>
      </c>
      <c r="AI146" t="n">
        <v>2</v>
      </c>
      <c r="AJ146" t="n">
        <v>1</v>
      </c>
      <c r="AK146" t="n">
        <v>1</v>
      </c>
      <c r="AL146" t="n">
        <v>3</v>
      </c>
      <c r="AM146" t="n">
        <v>3</v>
      </c>
      <c r="AN146" t="n">
        <v>0</v>
      </c>
      <c r="AO146" t="n">
        <v>0</v>
      </c>
      <c r="AP146" t="inlineStr">
        <is>
          <t>No</t>
        </is>
      </c>
      <c r="AQ146" t="inlineStr">
        <is>
          <t>Yes</t>
        </is>
      </c>
      <c r="AR146">
        <f>HYPERLINK("http://catalog.hathitrust.org/Record/008852363","HathiTrust Record")</f>
        <v/>
      </c>
      <c r="AS146">
        <f>HYPERLINK("https://creighton-primo.hosted.exlibrisgroup.com/primo-explore/search?tab=default_tab&amp;search_scope=EVERYTHING&amp;vid=01CRU&amp;lang=en_US&amp;offset=0&amp;query=any,contains,991000719899702656","Catalog Record")</f>
        <v/>
      </c>
      <c r="AT146">
        <f>HYPERLINK("http://www.worldcat.org/oclc/12664455","WorldCat Record")</f>
        <v/>
      </c>
      <c r="AU146" t="inlineStr">
        <is>
          <t>894364445:eng</t>
        </is>
      </c>
      <c r="AV146" t="inlineStr">
        <is>
          <t>12664455</t>
        </is>
      </c>
      <c r="AW146" t="inlineStr">
        <is>
          <t>991000719899702656</t>
        </is>
      </c>
      <c r="AX146" t="inlineStr">
        <is>
          <t>991000719899702656</t>
        </is>
      </c>
      <c r="AY146" t="inlineStr">
        <is>
          <t>2264931120002656</t>
        </is>
      </c>
      <c r="AZ146" t="inlineStr">
        <is>
          <t>BOOK</t>
        </is>
      </c>
      <c r="BB146" t="inlineStr">
        <is>
          <t>9780873220262</t>
        </is>
      </c>
      <c r="BC146" t="inlineStr">
        <is>
          <t>32285001608719</t>
        </is>
      </c>
      <c r="BD146" t="inlineStr">
        <is>
          <t>893496497</t>
        </is>
      </c>
    </row>
    <row r="147">
      <c r="A147" t="inlineStr">
        <is>
          <t>No</t>
        </is>
      </c>
      <c r="B147" t="inlineStr">
        <is>
          <t>RC1218.W65 W66 1985</t>
        </is>
      </c>
      <c r="C147" t="inlineStr">
        <is>
          <t>0                      RC 1218000W  65                 W  66          1985</t>
        </is>
      </c>
      <c r="D147" t="inlineStr">
        <is>
          <t>Sport science perspectives for women : proceedings from the Women and Sports Conference / sponsored by the United States Olympic Committee Sports Medicine Council, November 30 to December 2, 1985, Colorado Springs, Colorado ; Jacqueline L. Puhl, C. Harmon Brown, Robert O. Voy, editors.</t>
        </is>
      </c>
      <c r="F147" t="inlineStr">
        <is>
          <t>No</t>
        </is>
      </c>
      <c r="G147" t="inlineStr">
        <is>
          <t>1</t>
        </is>
      </c>
      <c r="H147" t="inlineStr">
        <is>
          <t>No</t>
        </is>
      </c>
      <c r="I147" t="inlineStr">
        <is>
          <t>No</t>
        </is>
      </c>
      <c r="J147" t="inlineStr">
        <is>
          <t>0</t>
        </is>
      </c>
      <c r="K147" t="inlineStr">
        <is>
          <t>Women and Sports Science Conference (1985 : Colorado Springs, Colo.)</t>
        </is>
      </c>
      <c r="L147" t="inlineStr">
        <is>
          <t>Champaign, IL : Human Kinetics Books, c1988.</t>
        </is>
      </c>
      <c r="M147" t="inlineStr">
        <is>
          <t>1988</t>
        </is>
      </c>
      <c r="O147" t="inlineStr">
        <is>
          <t>eng</t>
        </is>
      </c>
      <c r="P147" t="inlineStr">
        <is>
          <t>ilu</t>
        </is>
      </c>
      <c r="R147" t="inlineStr">
        <is>
          <t xml:space="preserve">RC </t>
        </is>
      </c>
      <c r="S147" t="n">
        <v>11</v>
      </c>
      <c r="T147" t="n">
        <v>11</v>
      </c>
      <c r="U147" t="inlineStr">
        <is>
          <t>1997-11-09</t>
        </is>
      </c>
      <c r="V147" t="inlineStr">
        <is>
          <t>1997-11-09</t>
        </is>
      </c>
      <c r="W147" t="inlineStr">
        <is>
          <t>1993-02-23</t>
        </is>
      </c>
      <c r="X147" t="inlineStr">
        <is>
          <t>1993-02-23</t>
        </is>
      </c>
      <c r="Y147" t="n">
        <v>322</v>
      </c>
      <c r="Z147" t="n">
        <v>256</v>
      </c>
      <c r="AA147" t="n">
        <v>275</v>
      </c>
      <c r="AB147" t="n">
        <v>4</v>
      </c>
      <c r="AC147" t="n">
        <v>4</v>
      </c>
      <c r="AD147" t="n">
        <v>9</v>
      </c>
      <c r="AE147" t="n">
        <v>9</v>
      </c>
      <c r="AF147" t="n">
        <v>1</v>
      </c>
      <c r="AG147" t="n">
        <v>1</v>
      </c>
      <c r="AH147" t="n">
        <v>2</v>
      </c>
      <c r="AI147" t="n">
        <v>2</v>
      </c>
      <c r="AJ147" t="n">
        <v>3</v>
      </c>
      <c r="AK147" t="n">
        <v>3</v>
      </c>
      <c r="AL147" t="n">
        <v>3</v>
      </c>
      <c r="AM147" t="n">
        <v>3</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HYPERLINK("https://creighton-primo.hosted.exlibrisgroup.com/primo-explore/search?tab=default_tab&amp;search_scope=EVERYTHING&amp;vid=01CRU&amp;lang=en_US&amp;offset=0&amp;query=any,contains,991001010899702656","Catalog Record")</f>
        <v/>
      </c>
      <c r="AT147">
        <f>HYPERLINK("http://www.worldcat.org/oclc/15283199","WorldCat Record")</f>
        <v/>
      </c>
      <c r="AU147" t="inlineStr">
        <is>
          <t>503607084:eng</t>
        </is>
      </c>
      <c r="AV147" t="inlineStr">
        <is>
          <t>15283199</t>
        </is>
      </c>
      <c r="AW147" t="inlineStr">
        <is>
          <t>991001010899702656</t>
        </is>
      </c>
      <c r="AX147" t="inlineStr">
        <is>
          <t>991001010899702656</t>
        </is>
      </c>
      <c r="AY147" t="inlineStr">
        <is>
          <t>2264588390002656</t>
        </is>
      </c>
      <c r="AZ147" t="inlineStr">
        <is>
          <t>BOOK</t>
        </is>
      </c>
      <c r="BB147" t="inlineStr">
        <is>
          <t>9780873221108</t>
        </is>
      </c>
      <c r="BC147" t="inlineStr">
        <is>
          <t>32285001535433</t>
        </is>
      </c>
      <c r="BD147" t="inlineStr">
        <is>
          <t>893696386</t>
        </is>
      </c>
    </row>
    <row r="148">
      <c r="A148" t="inlineStr">
        <is>
          <t>No</t>
        </is>
      </c>
      <c r="B148" t="inlineStr">
        <is>
          <t>RC1220.B27 V56 1989</t>
        </is>
      </c>
      <c r="C148" t="inlineStr">
        <is>
          <t>0                      RC 1220000B  27                 V  56          1989</t>
        </is>
      </c>
      <c r="D148" t="inlineStr">
        <is>
          <t>Competing with the sylph : the quest for the perfect dance body / L.M. Vincent.</t>
        </is>
      </c>
      <c r="F148" t="inlineStr">
        <is>
          <t>No</t>
        </is>
      </c>
      <c r="G148" t="inlineStr">
        <is>
          <t>1</t>
        </is>
      </c>
      <c r="H148" t="inlineStr">
        <is>
          <t>No</t>
        </is>
      </c>
      <c r="I148" t="inlineStr">
        <is>
          <t>No</t>
        </is>
      </c>
      <c r="J148" t="inlineStr">
        <is>
          <t>0</t>
        </is>
      </c>
      <c r="K148" t="inlineStr">
        <is>
          <t>Vincent, Lawrence M.</t>
        </is>
      </c>
      <c r="L148" t="inlineStr">
        <is>
          <t>Princeton, N.J. : Princeton Book Co., c1989.</t>
        </is>
      </c>
      <c r="M148" t="inlineStr">
        <is>
          <t>1989</t>
        </is>
      </c>
      <c r="N148" t="inlineStr">
        <is>
          <t>2nd ed.</t>
        </is>
      </c>
      <c r="O148" t="inlineStr">
        <is>
          <t>eng</t>
        </is>
      </c>
      <c r="P148" t="inlineStr">
        <is>
          <t>nju</t>
        </is>
      </c>
      <c r="R148" t="inlineStr">
        <is>
          <t xml:space="preserve">RC </t>
        </is>
      </c>
      <c r="S148" t="n">
        <v>9</v>
      </c>
      <c r="T148" t="n">
        <v>9</v>
      </c>
      <c r="U148" t="inlineStr">
        <is>
          <t>2008-04-05</t>
        </is>
      </c>
      <c r="V148" t="inlineStr">
        <is>
          <t>2008-04-05</t>
        </is>
      </c>
      <c r="W148" t="inlineStr">
        <is>
          <t>1991-11-06</t>
        </is>
      </c>
      <c r="X148" t="inlineStr">
        <is>
          <t>1991-11-06</t>
        </is>
      </c>
      <c r="Y148" t="n">
        <v>188</v>
      </c>
      <c r="Z148" t="n">
        <v>163</v>
      </c>
      <c r="AA148" t="n">
        <v>163</v>
      </c>
      <c r="AB148" t="n">
        <v>2</v>
      </c>
      <c r="AC148" t="n">
        <v>2</v>
      </c>
      <c r="AD148" t="n">
        <v>4</v>
      </c>
      <c r="AE148" t="n">
        <v>4</v>
      </c>
      <c r="AF148" t="n">
        <v>3</v>
      </c>
      <c r="AG148" t="n">
        <v>3</v>
      </c>
      <c r="AH148" t="n">
        <v>0</v>
      </c>
      <c r="AI148" t="n">
        <v>0</v>
      </c>
      <c r="AJ148" t="n">
        <v>1</v>
      </c>
      <c r="AK148" t="n">
        <v>1</v>
      </c>
      <c r="AL148" t="n">
        <v>1</v>
      </c>
      <c r="AM148" t="n">
        <v>1</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HYPERLINK("https://creighton-primo.hosted.exlibrisgroup.com/primo-explore/search?tab=default_tab&amp;search_scope=EVERYTHING&amp;vid=01CRU&amp;lang=en_US&amp;offset=0&amp;query=any,contains,991001485209702656","Catalog Record")</f>
        <v/>
      </c>
      <c r="AT148">
        <f>HYPERLINK("http://www.worldcat.org/oclc/19632256","WorldCat Record")</f>
        <v/>
      </c>
      <c r="AU148" t="inlineStr">
        <is>
          <t>3943482397:eng</t>
        </is>
      </c>
      <c r="AV148" t="inlineStr">
        <is>
          <t>19632256</t>
        </is>
      </c>
      <c r="AW148" t="inlineStr">
        <is>
          <t>991001485209702656</t>
        </is>
      </c>
      <c r="AX148" t="inlineStr">
        <is>
          <t>991001485209702656</t>
        </is>
      </c>
      <c r="AY148" t="inlineStr">
        <is>
          <t>2261703050002656</t>
        </is>
      </c>
      <c r="AZ148" t="inlineStr">
        <is>
          <t>BOOK</t>
        </is>
      </c>
      <c r="BB148" t="inlineStr">
        <is>
          <t>9780916622824</t>
        </is>
      </c>
      <c r="BC148" t="inlineStr">
        <is>
          <t>32285000796911</t>
        </is>
      </c>
      <c r="BD148" t="inlineStr">
        <is>
          <t>893684353</t>
        </is>
      </c>
    </row>
    <row r="149">
      <c r="A149" t="inlineStr">
        <is>
          <t>No</t>
        </is>
      </c>
      <c r="B149" t="inlineStr">
        <is>
          <t>RC1220.C8 M43 1988</t>
        </is>
      </c>
      <c r="C149" t="inlineStr">
        <is>
          <t>0                      RC 1220000C  8                  M  43          1988</t>
        </is>
      </c>
      <c r="D149" t="inlineStr">
        <is>
          <t>Medical and scientific aspects of cycling / Edmund R. Burke, Mary M. Newsom, editors.</t>
        </is>
      </c>
      <c r="F149" t="inlineStr">
        <is>
          <t>No</t>
        </is>
      </c>
      <c r="G149" t="inlineStr">
        <is>
          <t>1</t>
        </is>
      </c>
      <c r="H149" t="inlineStr">
        <is>
          <t>No</t>
        </is>
      </c>
      <c r="I149" t="inlineStr">
        <is>
          <t>No</t>
        </is>
      </c>
      <c r="J149" t="inlineStr">
        <is>
          <t>0</t>
        </is>
      </c>
      <c r="L149" t="inlineStr">
        <is>
          <t>Champaign, IL : Human Kinetics, c1988.</t>
        </is>
      </c>
      <c r="M149" t="inlineStr">
        <is>
          <t>1988</t>
        </is>
      </c>
      <c r="O149" t="inlineStr">
        <is>
          <t>eng</t>
        </is>
      </c>
      <c r="P149" t="inlineStr">
        <is>
          <t>ilu</t>
        </is>
      </c>
      <c r="R149" t="inlineStr">
        <is>
          <t xml:space="preserve">RC </t>
        </is>
      </c>
      <c r="S149" t="n">
        <v>9</v>
      </c>
      <c r="T149" t="n">
        <v>9</v>
      </c>
      <c r="U149" t="inlineStr">
        <is>
          <t>1996-02-08</t>
        </is>
      </c>
      <c r="V149" t="inlineStr">
        <is>
          <t>1996-02-08</t>
        </is>
      </c>
      <c r="W149" t="inlineStr">
        <is>
          <t>1990-03-26</t>
        </is>
      </c>
      <c r="X149" t="inlineStr">
        <is>
          <t>1990-03-26</t>
        </is>
      </c>
      <c r="Y149" t="n">
        <v>226</v>
      </c>
      <c r="Z149" t="n">
        <v>157</v>
      </c>
      <c r="AA149" t="n">
        <v>165</v>
      </c>
      <c r="AB149" t="n">
        <v>2</v>
      </c>
      <c r="AC149" t="n">
        <v>2</v>
      </c>
      <c r="AD149" t="n">
        <v>4</v>
      </c>
      <c r="AE149" t="n">
        <v>4</v>
      </c>
      <c r="AF149" t="n">
        <v>2</v>
      </c>
      <c r="AG149" t="n">
        <v>2</v>
      </c>
      <c r="AH149" t="n">
        <v>1</v>
      </c>
      <c r="AI149" t="n">
        <v>1</v>
      </c>
      <c r="AJ149" t="n">
        <v>1</v>
      </c>
      <c r="AK149" t="n">
        <v>1</v>
      </c>
      <c r="AL149" t="n">
        <v>1</v>
      </c>
      <c r="AM149" t="n">
        <v>1</v>
      </c>
      <c r="AN149" t="n">
        <v>0</v>
      </c>
      <c r="AO149" t="n">
        <v>0</v>
      </c>
      <c r="AP149" t="inlineStr">
        <is>
          <t>No</t>
        </is>
      </c>
      <c r="AQ149" t="inlineStr">
        <is>
          <t>Yes</t>
        </is>
      </c>
      <c r="AR149">
        <f>HYPERLINK("http://catalog.hathitrust.org/Record/008852365","HathiTrust Record")</f>
        <v/>
      </c>
      <c r="AS149">
        <f>HYPERLINK("https://creighton-primo.hosted.exlibrisgroup.com/primo-explore/search?tab=default_tab&amp;search_scope=EVERYTHING&amp;vid=01CRU&amp;lang=en_US&amp;offset=0&amp;query=any,contains,991001061589702656","Catalog Record")</f>
        <v/>
      </c>
      <c r="AT149">
        <f>HYPERLINK("http://www.worldcat.org/oclc/15790632","WorldCat Record")</f>
        <v/>
      </c>
      <c r="AU149" t="inlineStr">
        <is>
          <t>11535750:eng</t>
        </is>
      </c>
      <c r="AV149" t="inlineStr">
        <is>
          <t>15790632</t>
        </is>
      </c>
      <c r="AW149" t="inlineStr">
        <is>
          <t>991001061589702656</t>
        </is>
      </c>
      <c r="AX149" t="inlineStr">
        <is>
          <t>991001061589702656</t>
        </is>
      </c>
      <c r="AY149" t="inlineStr">
        <is>
          <t>2260463740002656</t>
        </is>
      </c>
      <c r="AZ149" t="inlineStr">
        <is>
          <t>BOOK</t>
        </is>
      </c>
      <c r="BB149" t="inlineStr">
        <is>
          <t>9780873221269</t>
        </is>
      </c>
      <c r="BC149" t="inlineStr">
        <is>
          <t>32285000083807</t>
        </is>
      </c>
      <c r="BD149" t="inlineStr">
        <is>
          <t>893346212</t>
        </is>
      </c>
    </row>
    <row r="150">
      <c r="A150" t="inlineStr">
        <is>
          <t>No</t>
        </is>
      </c>
      <c r="B150" t="inlineStr">
        <is>
          <t>RC1220.D35 C48 1990</t>
        </is>
      </c>
      <c r="C150" t="inlineStr">
        <is>
          <t>0                      RC 1220000D  35                 C  48          1990</t>
        </is>
      </c>
      <c r="D150" t="inlineStr">
        <is>
          <t>Diet : a complete guide to nutrition and weight control : dancing-at-your-peak / Robin D. Chmelar, Sally S. Fitt.</t>
        </is>
      </c>
      <c r="F150" t="inlineStr">
        <is>
          <t>No</t>
        </is>
      </c>
      <c r="G150" t="inlineStr">
        <is>
          <t>1</t>
        </is>
      </c>
      <c r="H150" t="inlineStr">
        <is>
          <t>No</t>
        </is>
      </c>
      <c r="I150" t="inlineStr">
        <is>
          <t>No</t>
        </is>
      </c>
      <c r="J150" t="inlineStr">
        <is>
          <t>0</t>
        </is>
      </c>
      <c r="K150" t="inlineStr">
        <is>
          <t>Chmelar, Robin D.</t>
        </is>
      </c>
      <c r="L150" t="inlineStr">
        <is>
          <t>Pennington, NJ : Princeton Book Co., c1990.</t>
        </is>
      </c>
      <c r="M150" t="inlineStr">
        <is>
          <t>1990</t>
        </is>
      </c>
      <c r="O150" t="inlineStr">
        <is>
          <t>eng</t>
        </is>
      </c>
      <c r="P150" t="inlineStr">
        <is>
          <t>nju</t>
        </is>
      </c>
      <c r="R150" t="inlineStr">
        <is>
          <t xml:space="preserve">RC </t>
        </is>
      </c>
      <c r="S150" t="n">
        <v>14</v>
      </c>
      <c r="T150" t="n">
        <v>14</v>
      </c>
      <c r="U150" t="inlineStr">
        <is>
          <t>2005-11-07</t>
        </is>
      </c>
      <c r="V150" t="inlineStr">
        <is>
          <t>2005-11-07</t>
        </is>
      </c>
      <c r="W150" t="inlineStr">
        <is>
          <t>1991-06-20</t>
        </is>
      </c>
      <c r="X150" t="inlineStr">
        <is>
          <t>1991-06-20</t>
        </is>
      </c>
      <c r="Y150" t="n">
        <v>160</v>
      </c>
      <c r="Z150" t="n">
        <v>147</v>
      </c>
      <c r="AA150" t="n">
        <v>271</v>
      </c>
      <c r="AB150" t="n">
        <v>2</v>
      </c>
      <c r="AC150" t="n">
        <v>2</v>
      </c>
      <c r="AD150" t="n">
        <v>5</v>
      </c>
      <c r="AE150" t="n">
        <v>9</v>
      </c>
      <c r="AF150" t="n">
        <v>4</v>
      </c>
      <c r="AG150" t="n">
        <v>7</v>
      </c>
      <c r="AH150" t="n">
        <v>2</v>
      </c>
      <c r="AI150" t="n">
        <v>2</v>
      </c>
      <c r="AJ150" t="n">
        <v>0</v>
      </c>
      <c r="AK150" t="n">
        <v>3</v>
      </c>
      <c r="AL150" t="n">
        <v>1</v>
      </c>
      <c r="AM150" t="n">
        <v>1</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HYPERLINK("https://creighton-primo.hosted.exlibrisgroup.com/primo-explore/search?tab=default_tab&amp;search_scope=EVERYTHING&amp;vid=01CRU&amp;lang=en_US&amp;offset=0&amp;query=any,contains,991001633139702656","Catalog Record")</f>
        <v/>
      </c>
      <c r="AT150">
        <f>HYPERLINK("http://www.worldcat.org/oclc/20932723","WorldCat Record")</f>
        <v/>
      </c>
      <c r="AU150" t="inlineStr">
        <is>
          <t>933705:eng</t>
        </is>
      </c>
      <c r="AV150" t="inlineStr">
        <is>
          <t>20932723</t>
        </is>
      </c>
      <c r="AW150" t="inlineStr">
        <is>
          <t>991001633139702656</t>
        </is>
      </c>
      <c r="AX150" t="inlineStr">
        <is>
          <t>991001633139702656</t>
        </is>
      </c>
      <c r="AY150" t="inlineStr">
        <is>
          <t>2265700200002656</t>
        </is>
      </c>
      <c r="AZ150" t="inlineStr">
        <is>
          <t>BOOK</t>
        </is>
      </c>
      <c r="BB150" t="inlineStr">
        <is>
          <t>9780916622893</t>
        </is>
      </c>
      <c r="BC150" t="inlineStr">
        <is>
          <t>32285000657790</t>
        </is>
      </c>
      <c r="BD150" t="inlineStr">
        <is>
          <t>893420444</t>
        </is>
      </c>
    </row>
    <row r="151">
      <c r="A151" t="inlineStr">
        <is>
          <t>No</t>
        </is>
      </c>
      <c r="B151" t="inlineStr">
        <is>
          <t>RC1220.D35 H68 2000</t>
        </is>
      </c>
      <c r="C151" t="inlineStr">
        <is>
          <t>0                      RC 1220000D  35                 H  68          2000</t>
        </is>
      </c>
      <c r="D151" t="inlineStr">
        <is>
          <t>Dance technique &amp; injury prevention / Justin Howse.</t>
        </is>
      </c>
      <c r="F151" t="inlineStr">
        <is>
          <t>No</t>
        </is>
      </c>
      <c r="G151" t="inlineStr">
        <is>
          <t>1</t>
        </is>
      </c>
      <c r="H151" t="inlineStr">
        <is>
          <t>No</t>
        </is>
      </c>
      <c r="I151" t="inlineStr">
        <is>
          <t>No</t>
        </is>
      </c>
      <c r="J151" t="inlineStr">
        <is>
          <t>0</t>
        </is>
      </c>
      <c r="K151" t="inlineStr">
        <is>
          <t>Howse, Justin.</t>
        </is>
      </c>
      <c r="L151" t="inlineStr">
        <is>
          <t>New York : Routledge, 2000.</t>
        </is>
      </c>
      <c r="M151" t="inlineStr">
        <is>
          <t>2000</t>
        </is>
      </c>
      <c r="N151" t="inlineStr">
        <is>
          <t>3rd ed.</t>
        </is>
      </c>
      <c r="O151" t="inlineStr">
        <is>
          <t>eng</t>
        </is>
      </c>
      <c r="P151" t="inlineStr">
        <is>
          <t>nyu</t>
        </is>
      </c>
      <c r="R151" t="inlineStr">
        <is>
          <t xml:space="preserve">RC </t>
        </is>
      </c>
      <c r="S151" t="n">
        <v>1</v>
      </c>
      <c r="T151" t="n">
        <v>1</v>
      </c>
      <c r="U151" t="inlineStr">
        <is>
          <t>2003-10-06</t>
        </is>
      </c>
      <c r="V151" t="inlineStr">
        <is>
          <t>2003-10-06</t>
        </is>
      </c>
      <c r="W151" t="inlineStr">
        <is>
          <t>2003-10-06</t>
        </is>
      </c>
      <c r="X151" t="inlineStr">
        <is>
          <t>2003-10-06</t>
        </is>
      </c>
      <c r="Y151" t="n">
        <v>236</v>
      </c>
      <c r="Z151" t="n">
        <v>206</v>
      </c>
      <c r="AA151" t="n">
        <v>476</v>
      </c>
      <c r="AB151" t="n">
        <v>3</v>
      </c>
      <c r="AC151" t="n">
        <v>4</v>
      </c>
      <c r="AD151" t="n">
        <v>8</v>
      </c>
      <c r="AE151" t="n">
        <v>15</v>
      </c>
      <c r="AF151" t="n">
        <v>5</v>
      </c>
      <c r="AG151" t="n">
        <v>9</v>
      </c>
      <c r="AH151" t="n">
        <v>2</v>
      </c>
      <c r="AI151" t="n">
        <v>3</v>
      </c>
      <c r="AJ151" t="n">
        <v>1</v>
      </c>
      <c r="AK151" t="n">
        <v>3</v>
      </c>
      <c r="AL151" t="n">
        <v>2</v>
      </c>
      <c r="AM151" t="n">
        <v>3</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HYPERLINK("https://creighton-primo.hosted.exlibrisgroup.com/primo-explore/search?tab=default_tab&amp;search_scope=EVERYTHING&amp;vid=01CRU&amp;lang=en_US&amp;offset=0&amp;query=any,contains,991004136159702656","Catalog Record")</f>
        <v/>
      </c>
      <c r="AT151">
        <f>HYPERLINK("http://www.worldcat.org/oclc/45177817","WorldCat Record")</f>
        <v/>
      </c>
      <c r="AU151" t="inlineStr">
        <is>
          <t>930087:eng</t>
        </is>
      </c>
      <c r="AV151" t="inlineStr">
        <is>
          <t>45177817</t>
        </is>
      </c>
      <c r="AW151" t="inlineStr">
        <is>
          <t>991004136159702656</t>
        </is>
      </c>
      <c r="AX151" t="inlineStr">
        <is>
          <t>991004136159702656</t>
        </is>
      </c>
      <c r="AY151" t="inlineStr">
        <is>
          <t>2270612710002656</t>
        </is>
      </c>
      <c r="AZ151" t="inlineStr">
        <is>
          <t>BOOK</t>
        </is>
      </c>
      <c r="BB151" t="inlineStr">
        <is>
          <t>9780878301041</t>
        </is>
      </c>
      <c r="BC151" t="inlineStr">
        <is>
          <t>32285004786595</t>
        </is>
      </c>
      <c r="BD151" t="inlineStr">
        <is>
          <t>893882101</t>
        </is>
      </c>
    </row>
    <row r="152">
      <c r="A152" t="inlineStr">
        <is>
          <t>No</t>
        </is>
      </c>
      <c r="B152" t="inlineStr">
        <is>
          <t>RC1220.M35 P47 1987</t>
        </is>
      </c>
      <c r="C152" t="inlineStr">
        <is>
          <t>0                      RC 1220000M  35                 P  47          1987</t>
        </is>
      </c>
      <c r="D152" t="inlineStr">
        <is>
          <t>Performance in endurance events : energy balance, nutrition, and temperature regulation in distance running / François Péronnet ... [et al.].</t>
        </is>
      </c>
      <c r="F152" t="inlineStr">
        <is>
          <t>No</t>
        </is>
      </c>
      <c r="G152" t="inlineStr">
        <is>
          <t>1</t>
        </is>
      </c>
      <c r="H152" t="inlineStr">
        <is>
          <t>No</t>
        </is>
      </c>
      <c r="I152" t="inlineStr">
        <is>
          <t>No</t>
        </is>
      </c>
      <c r="J152" t="inlineStr">
        <is>
          <t>0</t>
        </is>
      </c>
      <c r="L152" t="inlineStr">
        <is>
          <t>London, Ont. : Spodym Publishers, c1987.</t>
        </is>
      </c>
      <c r="M152" t="inlineStr">
        <is>
          <t>1987</t>
        </is>
      </c>
      <c r="O152" t="inlineStr">
        <is>
          <t>eng</t>
        </is>
      </c>
      <c r="P152" t="inlineStr">
        <is>
          <t>onc</t>
        </is>
      </c>
      <c r="R152" t="inlineStr">
        <is>
          <t xml:space="preserve">RC </t>
        </is>
      </c>
      <c r="S152" t="n">
        <v>11</v>
      </c>
      <c r="T152" t="n">
        <v>11</v>
      </c>
      <c r="U152" t="inlineStr">
        <is>
          <t>2001-05-16</t>
        </is>
      </c>
      <c r="V152" t="inlineStr">
        <is>
          <t>2001-05-16</t>
        </is>
      </c>
      <c r="W152" t="inlineStr">
        <is>
          <t>1993-03-25</t>
        </is>
      </c>
      <c r="X152" t="inlineStr">
        <is>
          <t>1993-03-25</t>
        </is>
      </c>
      <c r="Y152" t="n">
        <v>126</v>
      </c>
      <c r="Z152" t="n">
        <v>89</v>
      </c>
      <c r="AA152" t="n">
        <v>89</v>
      </c>
      <c r="AB152" t="n">
        <v>3</v>
      </c>
      <c r="AC152" t="n">
        <v>3</v>
      </c>
      <c r="AD152" t="n">
        <v>2</v>
      </c>
      <c r="AE152" t="n">
        <v>2</v>
      </c>
      <c r="AF152" t="n">
        <v>0</v>
      </c>
      <c r="AG152" t="n">
        <v>0</v>
      </c>
      <c r="AH152" t="n">
        <v>0</v>
      </c>
      <c r="AI152" t="n">
        <v>0</v>
      </c>
      <c r="AJ152" t="n">
        <v>0</v>
      </c>
      <c r="AK152" t="n">
        <v>0</v>
      </c>
      <c r="AL152" t="n">
        <v>2</v>
      </c>
      <c r="AM152" t="n">
        <v>2</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HYPERLINK("https://creighton-primo.hosted.exlibrisgroup.com/primo-explore/search?tab=default_tab&amp;search_scope=EVERYTHING&amp;vid=01CRU&amp;lang=en_US&amp;offset=0&amp;query=any,contains,991001188059702656","Catalog Record")</f>
        <v/>
      </c>
      <c r="AT152">
        <f>HYPERLINK("http://www.worldcat.org/oclc/17231830","WorldCat Record")</f>
        <v/>
      </c>
      <c r="AU152" t="inlineStr">
        <is>
          <t>15936859:eng</t>
        </is>
      </c>
      <c r="AV152" t="inlineStr">
        <is>
          <t>17231830</t>
        </is>
      </c>
      <c r="AW152" t="inlineStr">
        <is>
          <t>991001188059702656</t>
        </is>
      </c>
      <c r="AX152" t="inlineStr">
        <is>
          <t>991001188059702656</t>
        </is>
      </c>
      <c r="AY152" t="inlineStr">
        <is>
          <t>2271433560002656</t>
        </is>
      </c>
      <c r="AZ152" t="inlineStr">
        <is>
          <t>BOOK</t>
        </is>
      </c>
      <c r="BB152" t="inlineStr">
        <is>
          <t>9780969161998</t>
        </is>
      </c>
      <c r="BC152" t="inlineStr">
        <is>
          <t>32285001608750</t>
        </is>
      </c>
      <c r="BD152" t="inlineStr">
        <is>
          <t>893420149</t>
        </is>
      </c>
    </row>
    <row r="153">
      <c r="A153" t="inlineStr">
        <is>
          <t>No</t>
        </is>
      </c>
      <c r="B153" t="inlineStr">
        <is>
          <t>RC1220.R8 A43</t>
        </is>
      </c>
      <c r="C153" t="inlineStr">
        <is>
          <t>0                      RC 1220000R  8                  A  43</t>
        </is>
      </c>
      <c r="D153" t="inlineStr">
        <is>
          <t>Running healthy : a guide to cardiovascular fitness / by Sidney Alexander ; drawings by Francis E. Steckel.</t>
        </is>
      </c>
      <c r="F153" t="inlineStr">
        <is>
          <t>No</t>
        </is>
      </c>
      <c r="G153" t="inlineStr">
        <is>
          <t>1</t>
        </is>
      </c>
      <c r="H153" t="inlineStr">
        <is>
          <t>No</t>
        </is>
      </c>
      <c r="I153" t="inlineStr">
        <is>
          <t>No</t>
        </is>
      </c>
      <c r="J153" t="inlineStr">
        <is>
          <t>0</t>
        </is>
      </c>
      <c r="K153" t="inlineStr">
        <is>
          <t>Alexander, Sidney, 1931-</t>
        </is>
      </c>
      <c r="L153" t="inlineStr">
        <is>
          <t>Brattleboro, Vt. : Stephen Greene Press, c1980.</t>
        </is>
      </c>
      <c r="M153" t="inlineStr">
        <is>
          <t>1980</t>
        </is>
      </c>
      <c r="O153" t="inlineStr">
        <is>
          <t>eng</t>
        </is>
      </c>
      <c r="P153" t="inlineStr">
        <is>
          <t>vtu</t>
        </is>
      </c>
      <c r="R153" t="inlineStr">
        <is>
          <t xml:space="preserve">RC </t>
        </is>
      </c>
      <c r="S153" t="n">
        <v>10</v>
      </c>
      <c r="T153" t="n">
        <v>10</v>
      </c>
      <c r="U153" t="inlineStr">
        <is>
          <t>1996-09-11</t>
        </is>
      </c>
      <c r="V153" t="inlineStr">
        <is>
          <t>1996-09-11</t>
        </is>
      </c>
      <c r="W153" t="inlineStr">
        <is>
          <t>1990-06-13</t>
        </is>
      </c>
      <c r="X153" t="inlineStr">
        <is>
          <t>1990-06-13</t>
        </is>
      </c>
      <c r="Y153" t="n">
        <v>285</v>
      </c>
      <c r="Z153" t="n">
        <v>262</v>
      </c>
      <c r="AA153" t="n">
        <v>262</v>
      </c>
      <c r="AB153" t="n">
        <v>1</v>
      </c>
      <c r="AC153" t="n">
        <v>1</v>
      </c>
      <c r="AD153" t="n">
        <v>1</v>
      </c>
      <c r="AE153" t="n">
        <v>1</v>
      </c>
      <c r="AF153" t="n">
        <v>1</v>
      </c>
      <c r="AG153" t="n">
        <v>1</v>
      </c>
      <c r="AH153" t="n">
        <v>0</v>
      </c>
      <c r="AI153" t="n">
        <v>0</v>
      </c>
      <c r="AJ153" t="n">
        <v>0</v>
      </c>
      <c r="AK153" t="n">
        <v>0</v>
      </c>
      <c r="AL153" t="n">
        <v>0</v>
      </c>
      <c r="AM153" t="n">
        <v>0</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HYPERLINK("https://creighton-primo.hosted.exlibrisgroup.com/primo-explore/search?tab=default_tab&amp;search_scope=EVERYTHING&amp;vid=01CRU&amp;lang=en_US&amp;offset=0&amp;query=any,contains,991004935809702656","Catalog Record")</f>
        <v/>
      </c>
      <c r="AT153">
        <f>HYPERLINK("http://www.worldcat.org/oclc/6142922","WorldCat Record")</f>
        <v/>
      </c>
      <c r="AU153" t="inlineStr">
        <is>
          <t>894519428:eng</t>
        </is>
      </c>
      <c r="AV153" t="inlineStr">
        <is>
          <t>6142922</t>
        </is>
      </c>
      <c r="AW153" t="inlineStr">
        <is>
          <t>991004935809702656</t>
        </is>
      </c>
      <c r="AX153" t="inlineStr">
        <is>
          <t>991004935809702656</t>
        </is>
      </c>
      <c r="AY153" t="inlineStr">
        <is>
          <t>2261492120002656</t>
        </is>
      </c>
      <c r="AZ153" t="inlineStr">
        <is>
          <t>BOOK</t>
        </is>
      </c>
      <c r="BB153" t="inlineStr">
        <is>
          <t>9780828903875</t>
        </is>
      </c>
      <c r="BC153" t="inlineStr">
        <is>
          <t>32285000191675</t>
        </is>
      </c>
      <c r="BD153" t="inlineStr">
        <is>
          <t>893319795</t>
        </is>
      </c>
    </row>
    <row r="154">
      <c r="A154" t="inlineStr">
        <is>
          <t>No</t>
        </is>
      </c>
      <c r="B154" t="inlineStr">
        <is>
          <t>RC1220.R8 C67 1986</t>
        </is>
      </c>
      <c r="C154" t="inlineStr">
        <is>
          <t>0                      RC 1220000R  8                  C  67          1986</t>
        </is>
      </c>
      <c r="D154" t="inlineStr">
        <is>
          <t>Inside running : basics of sports physiology / David L. Costill.</t>
        </is>
      </c>
      <c r="F154" t="inlineStr">
        <is>
          <t>No</t>
        </is>
      </c>
      <c r="G154" t="inlineStr">
        <is>
          <t>1</t>
        </is>
      </c>
      <c r="H154" t="inlineStr">
        <is>
          <t>No</t>
        </is>
      </c>
      <c r="I154" t="inlineStr">
        <is>
          <t>No</t>
        </is>
      </c>
      <c r="J154" t="inlineStr">
        <is>
          <t>0</t>
        </is>
      </c>
      <c r="K154" t="inlineStr">
        <is>
          <t>Costill, David L.</t>
        </is>
      </c>
      <c r="L154" t="inlineStr">
        <is>
          <t>Indianapolis, Indiana : Benchmark Press, 1986.</t>
        </is>
      </c>
      <c r="M154" t="inlineStr">
        <is>
          <t>1986</t>
        </is>
      </c>
      <c r="O154" t="inlineStr">
        <is>
          <t>eng</t>
        </is>
      </c>
      <c r="P154" t="inlineStr">
        <is>
          <t>inu</t>
        </is>
      </c>
      <c r="R154" t="inlineStr">
        <is>
          <t xml:space="preserve">RC </t>
        </is>
      </c>
      <c r="S154" t="n">
        <v>9</v>
      </c>
      <c r="T154" t="n">
        <v>9</v>
      </c>
      <c r="U154" t="inlineStr">
        <is>
          <t>1999-10-03</t>
        </is>
      </c>
      <c r="V154" t="inlineStr">
        <is>
          <t>1999-10-03</t>
        </is>
      </c>
      <c r="W154" t="inlineStr">
        <is>
          <t>1993-03-25</t>
        </is>
      </c>
      <c r="X154" t="inlineStr">
        <is>
          <t>1993-03-25</t>
        </is>
      </c>
      <c r="Y154" t="n">
        <v>360</v>
      </c>
      <c r="Z154" t="n">
        <v>318</v>
      </c>
      <c r="AA154" t="n">
        <v>343</v>
      </c>
      <c r="AB154" t="n">
        <v>2</v>
      </c>
      <c r="AC154" t="n">
        <v>2</v>
      </c>
      <c r="AD154" t="n">
        <v>7</v>
      </c>
      <c r="AE154" t="n">
        <v>7</v>
      </c>
      <c r="AF154" t="n">
        <v>5</v>
      </c>
      <c r="AG154" t="n">
        <v>5</v>
      </c>
      <c r="AH154" t="n">
        <v>0</v>
      </c>
      <c r="AI154" t="n">
        <v>0</v>
      </c>
      <c r="AJ154" t="n">
        <v>2</v>
      </c>
      <c r="AK154" t="n">
        <v>2</v>
      </c>
      <c r="AL154" t="n">
        <v>1</v>
      </c>
      <c r="AM154" t="n">
        <v>1</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HYPERLINK("https://creighton-primo.hosted.exlibrisgroup.com/primo-explore/search?tab=default_tab&amp;search_scope=EVERYTHING&amp;vid=01CRU&amp;lang=en_US&amp;offset=0&amp;query=any,contains,991000876099702656","Catalog Record")</f>
        <v/>
      </c>
      <c r="AT154">
        <f>HYPERLINK("http://www.worldcat.org/oclc/13800124","WorldCat Record")</f>
        <v/>
      </c>
      <c r="AU154" t="inlineStr">
        <is>
          <t>6763012:eng</t>
        </is>
      </c>
      <c r="AV154" t="inlineStr">
        <is>
          <t>13800124</t>
        </is>
      </c>
      <c r="AW154" t="inlineStr">
        <is>
          <t>991000876099702656</t>
        </is>
      </c>
      <c r="AX154" t="inlineStr">
        <is>
          <t>991000876099702656</t>
        </is>
      </c>
      <c r="AY154" t="inlineStr">
        <is>
          <t>2269165170002656</t>
        </is>
      </c>
      <c r="AZ154" t="inlineStr">
        <is>
          <t>BOOK</t>
        </is>
      </c>
      <c r="BC154" t="inlineStr">
        <is>
          <t>32285001608768</t>
        </is>
      </c>
      <c r="BD154" t="inlineStr">
        <is>
          <t>893327663</t>
        </is>
      </c>
    </row>
    <row r="155">
      <c r="A155" t="inlineStr">
        <is>
          <t>No</t>
        </is>
      </c>
      <c r="B155" t="inlineStr">
        <is>
          <t>RC1220.R8 S9</t>
        </is>
      </c>
      <c r="C155" t="inlineStr">
        <is>
          <t>0                      RC 1220000R  8                  S  9</t>
        </is>
      </c>
      <c r="D155" t="inlineStr">
        <is>
          <t>Cures for common running injuries / by Steven I. Subotnick ; ill. by Stanley G. Newell.</t>
        </is>
      </c>
      <c r="F155" t="inlineStr">
        <is>
          <t>No</t>
        </is>
      </c>
      <c r="G155" t="inlineStr">
        <is>
          <t>1</t>
        </is>
      </c>
      <c r="H155" t="inlineStr">
        <is>
          <t>No</t>
        </is>
      </c>
      <c r="I155" t="inlineStr">
        <is>
          <t>No</t>
        </is>
      </c>
      <c r="J155" t="inlineStr">
        <is>
          <t>0</t>
        </is>
      </c>
      <c r="K155" t="inlineStr">
        <is>
          <t>Subotnick, Steven I.</t>
        </is>
      </c>
      <c r="L155" t="inlineStr">
        <is>
          <t>Mountain View, Calif. : World Publications, c1979, 1981 printing.</t>
        </is>
      </c>
      <c r="M155" t="inlineStr">
        <is>
          <t>1979</t>
        </is>
      </c>
      <c r="O155" t="inlineStr">
        <is>
          <t>eng</t>
        </is>
      </c>
      <c r="P155" t="inlineStr">
        <is>
          <t>cau</t>
        </is>
      </c>
      <c r="R155" t="inlineStr">
        <is>
          <t xml:space="preserve">RC </t>
        </is>
      </c>
      <c r="S155" t="n">
        <v>2</v>
      </c>
      <c r="T155" t="n">
        <v>2</v>
      </c>
      <c r="U155" t="inlineStr">
        <is>
          <t>2004-09-17</t>
        </is>
      </c>
      <c r="V155" t="inlineStr">
        <is>
          <t>2004-09-17</t>
        </is>
      </c>
      <c r="W155" t="inlineStr">
        <is>
          <t>1993-03-25</t>
        </is>
      </c>
      <c r="X155" t="inlineStr">
        <is>
          <t>1993-03-25</t>
        </is>
      </c>
      <c r="Y155" t="n">
        <v>210</v>
      </c>
      <c r="Z155" t="n">
        <v>179</v>
      </c>
      <c r="AA155" t="n">
        <v>210</v>
      </c>
      <c r="AB155" t="n">
        <v>1</v>
      </c>
      <c r="AC155" t="n">
        <v>1</v>
      </c>
      <c r="AD155" t="n">
        <v>1</v>
      </c>
      <c r="AE155" t="n">
        <v>1</v>
      </c>
      <c r="AF155" t="n">
        <v>1</v>
      </c>
      <c r="AG155" t="n">
        <v>1</v>
      </c>
      <c r="AH155" t="n">
        <v>0</v>
      </c>
      <c r="AI155" t="n">
        <v>0</v>
      </c>
      <c r="AJ155" t="n">
        <v>1</v>
      </c>
      <c r="AK155" t="n">
        <v>1</v>
      </c>
      <c r="AL155" t="n">
        <v>0</v>
      </c>
      <c r="AM155" t="n">
        <v>0</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HYPERLINK("https://creighton-primo.hosted.exlibrisgroup.com/primo-explore/search?tab=default_tab&amp;search_scope=EVERYTHING&amp;vid=01CRU&amp;lang=en_US&amp;offset=0&amp;query=any,contains,991004730819702656","Catalog Record")</f>
        <v/>
      </c>
      <c r="AT155">
        <f>HYPERLINK("http://www.worldcat.org/oclc/4834644","WorldCat Record")</f>
        <v/>
      </c>
      <c r="AU155" t="inlineStr">
        <is>
          <t>398064:eng</t>
        </is>
      </c>
      <c r="AV155" t="inlineStr">
        <is>
          <t>4834644</t>
        </is>
      </c>
      <c r="AW155" t="inlineStr">
        <is>
          <t>991004730819702656</t>
        </is>
      </c>
      <c r="AX155" t="inlineStr">
        <is>
          <t>991004730819702656</t>
        </is>
      </c>
      <c r="AY155" t="inlineStr">
        <is>
          <t>2267766080002656</t>
        </is>
      </c>
      <c r="AZ155" t="inlineStr">
        <is>
          <t>BOOK</t>
        </is>
      </c>
      <c r="BB155" t="inlineStr">
        <is>
          <t>9780890371558</t>
        </is>
      </c>
      <c r="BC155" t="inlineStr">
        <is>
          <t>32285001608776</t>
        </is>
      </c>
      <c r="BD155" t="inlineStr">
        <is>
          <t>893235862</t>
        </is>
      </c>
    </row>
    <row r="156">
      <c r="A156" t="inlineStr">
        <is>
          <t>No</t>
        </is>
      </c>
      <c r="B156" t="inlineStr">
        <is>
          <t>RC1220.S57 S5 1995</t>
        </is>
      </c>
      <c r="C156" t="inlineStr">
        <is>
          <t>0                      RC 1220000S  57                 S  5           1995</t>
        </is>
      </c>
      <c r="D156" t="inlineStr">
        <is>
          <t>Soccer / Adil E. Shamoo, William H. Baugher, Robert M. Germeroth.</t>
        </is>
      </c>
      <c r="F156" t="inlineStr">
        <is>
          <t>No</t>
        </is>
      </c>
      <c r="G156" t="inlineStr">
        <is>
          <t>1</t>
        </is>
      </c>
      <c r="H156" t="inlineStr">
        <is>
          <t>No</t>
        </is>
      </c>
      <c r="I156" t="inlineStr">
        <is>
          <t>No</t>
        </is>
      </c>
      <c r="J156" t="inlineStr">
        <is>
          <t>0</t>
        </is>
      </c>
      <c r="K156" t="inlineStr">
        <is>
          <t>Shamoo, Adil E.</t>
        </is>
      </c>
      <c r="L156" t="inlineStr">
        <is>
          <t>Luxembourg, Lux. : Harwood Academic Publishers, c1995.</t>
        </is>
      </c>
      <c r="M156" t="inlineStr">
        <is>
          <t>1995</t>
        </is>
      </c>
      <c r="O156" t="inlineStr">
        <is>
          <t>eng</t>
        </is>
      </c>
      <c r="P156" t="inlineStr">
        <is>
          <t xml:space="preserve">lu </t>
        </is>
      </c>
      <c r="Q156" t="inlineStr">
        <is>
          <t>Sports medicine for coaches and athletes ; v. 1</t>
        </is>
      </c>
      <c r="R156" t="inlineStr">
        <is>
          <t xml:space="preserve">RC </t>
        </is>
      </c>
      <c r="S156" t="n">
        <v>1</v>
      </c>
      <c r="T156" t="n">
        <v>1</v>
      </c>
      <c r="U156" t="inlineStr">
        <is>
          <t>2003-05-21</t>
        </is>
      </c>
      <c r="V156" t="inlineStr">
        <is>
          <t>2003-05-21</t>
        </is>
      </c>
      <c r="W156" t="inlineStr">
        <is>
          <t>1996-05-09</t>
        </is>
      </c>
      <c r="X156" t="inlineStr">
        <is>
          <t>1996-05-09</t>
        </is>
      </c>
      <c r="Y156" t="n">
        <v>77</v>
      </c>
      <c r="Z156" t="n">
        <v>64</v>
      </c>
      <c r="AA156" t="n">
        <v>64</v>
      </c>
      <c r="AB156" t="n">
        <v>1</v>
      </c>
      <c r="AC156" t="n">
        <v>1</v>
      </c>
      <c r="AD156" t="n">
        <v>2</v>
      </c>
      <c r="AE156" t="n">
        <v>2</v>
      </c>
      <c r="AF156" t="n">
        <v>0</v>
      </c>
      <c r="AG156" t="n">
        <v>0</v>
      </c>
      <c r="AH156" t="n">
        <v>2</v>
      </c>
      <c r="AI156" t="n">
        <v>2</v>
      </c>
      <c r="AJ156" t="n">
        <v>1</v>
      </c>
      <c r="AK156" t="n">
        <v>1</v>
      </c>
      <c r="AL156" t="n">
        <v>0</v>
      </c>
      <c r="AM156" t="n">
        <v>0</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HYPERLINK("https://creighton-primo.hosted.exlibrisgroup.com/primo-explore/search?tab=default_tab&amp;search_scope=EVERYTHING&amp;vid=01CRU&amp;lang=en_US&amp;offset=0&amp;query=any,contains,991002568579702656","Catalog Record")</f>
        <v/>
      </c>
      <c r="AT156">
        <f>HYPERLINK("http://www.worldcat.org/oclc/33377384","WorldCat Record")</f>
        <v/>
      </c>
      <c r="AU156" t="inlineStr">
        <is>
          <t>10568035285:eng</t>
        </is>
      </c>
      <c r="AV156" t="inlineStr">
        <is>
          <t>33377384</t>
        </is>
      </c>
      <c r="AW156" t="inlineStr">
        <is>
          <t>991002568579702656</t>
        </is>
      </c>
      <c r="AX156" t="inlineStr">
        <is>
          <t>991002568579702656</t>
        </is>
      </c>
      <c r="AY156" t="inlineStr">
        <is>
          <t>2264135990002656</t>
        </is>
      </c>
      <c r="AZ156" t="inlineStr">
        <is>
          <t>BOOK</t>
        </is>
      </c>
      <c r="BB156" t="inlineStr">
        <is>
          <t>9783718606009</t>
        </is>
      </c>
      <c r="BC156" t="inlineStr">
        <is>
          <t>32285002166196</t>
        </is>
      </c>
      <c r="BD156" t="inlineStr">
        <is>
          <t>893421533</t>
        </is>
      </c>
    </row>
    <row r="157">
      <c r="A157" t="inlineStr">
        <is>
          <t>No</t>
        </is>
      </c>
      <c r="B157" t="inlineStr">
        <is>
          <t>RC1220.S8 C67 1992</t>
        </is>
      </c>
      <c r="C157" t="inlineStr">
        <is>
          <t>0                      RC 1220000S  8                  C  67          1992</t>
        </is>
      </c>
      <c r="D157" t="inlineStr">
        <is>
          <t>Swimming / David L. Costill, Ernest W. Maglischo, Allen B. Richardson.</t>
        </is>
      </c>
      <c r="F157" t="inlineStr">
        <is>
          <t>No</t>
        </is>
      </c>
      <c r="G157" t="inlineStr">
        <is>
          <t>1</t>
        </is>
      </c>
      <c r="H157" t="inlineStr">
        <is>
          <t>No</t>
        </is>
      </c>
      <c r="I157" t="inlineStr">
        <is>
          <t>No</t>
        </is>
      </c>
      <c r="J157" t="inlineStr">
        <is>
          <t>0</t>
        </is>
      </c>
      <c r="K157" t="inlineStr">
        <is>
          <t>Costill, David L.</t>
        </is>
      </c>
      <c r="L157" t="inlineStr">
        <is>
          <t>Boston : Blackwell Scientific Publications ; Champaign, Ill. : Human Kinetics [distributor], 1992.</t>
        </is>
      </c>
      <c r="M157" t="inlineStr">
        <is>
          <t>1992</t>
        </is>
      </c>
      <c r="O157" t="inlineStr">
        <is>
          <t>eng</t>
        </is>
      </c>
      <c r="P157" t="inlineStr">
        <is>
          <t>mau</t>
        </is>
      </c>
      <c r="Q157" t="inlineStr">
        <is>
          <t>Handbook of sports medicine and science</t>
        </is>
      </c>
      <c r="R157" t="inlineStr">
        <is>
          <t xml:space="preserve">RC </t>
        </is>
      </c>
      <c r="S157" t="n">
        <v>10</v>
      </c>
      <c r="T157" t="n">
        <v>10</v>
      </c>
      <c r="U157" t="inlineStr">
        <is>
          <t>1997-11-16</t>
        </is>
      </c>
      <c r="V157" t="inlineStr">
        <is>
          <t>1997-11-16</t>
        </is>
      </c>
      <c r="W157" t="inlineStr">
        <is>
          <t>1992-09-22</t>
        </is>
      </c>
      <c r="X157" t="inlineStr">
        <is>
          <t>1992-09-22</t>
        </is>
      </c>
      <c r="Y157" t="n">
        <v>336</v>
      </c>
      <c r="Z157" t="n">
        <v>306</v>
      </c>
      <c r="AA157" t="n">
        <v>397</v>
      </c>
      <c r="AB157" t="n">
        <v>5</v>
      </c>
      <c r="AC157" t="n">
        <v>5</v>
      </c>
      <c r="AD157" t="n">
        <v>15</v>
      </c>
      <c r="AE157" t="n">
        <v>17</v>
      </c>
      <c r="AF157" t="n">
        <v>8</v>
      </c>
      <c r="AG157" t="n">
        <v>8</v>
      </c>
      <c r="AH157" t="n">
        <v>3</v>
      </c>
      <c r="AI157" t="n">
        <v>3</v>
      </c>
      <c r="AJ157" t="n">
        <v>2</v>
      </c>
      <c r="AK157" t="n">
        <v>4</v>
      </c>
      <c r="AL157" t="n">
        <v>4</v>
      </c>
      <c r="AM157" t="n">
        <v>4</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HYPERLINK("https://creighton-primo.hosted.exlibrisgroup.com/primo-explore/search?tab=default_tab&amp;search_scope=EVERYTHING&amp;vid=01CRU&amp;lang=en_US&amp;offset=0&amp;query=any,contains,991001901879702656","Catalog Record")</f>
        <v/>
      </c>
      <c r="AT157">
        <f>HYPERLINK("http://www.worldcat.org/oclc/24011293","WorldCat Record")</f>
        <v/>
      </c>
      <c r="AU157" t="inlineStr">
        <is>
          <t>25010307:eng</t>
        </is>
      </c>
      <c r="AV157" t="inlineStr">
        <is>
          <t>24011293</t>
        </is>
      </c>
      <c r="AW157" t="inlineStr">
        <is>
          <t>991001901879702656</t>
        </is>
      </c>
      <c r="AX157" t="inlineStr">
        <is>
          <t>991001901879702656</t>
        </is>
      </c>
      <c r="AY157" t="inlineStr">
        <is>
          <t>2262759080002656</t>
        </is>
      </c>
      <c r="AZ157" t="inlineStr">
        <is>
          <t>BOOK</t>
        </is>
      </c>
      <c r="BB157" t="inlineStr">
        <is>
          <t>9780632030279</t>
        </is>
      </c>
      <c r="BC157" t="inlineStr">
        <is>
          <t>32285001288041</t>
        </is>
      </c>
      <c r="BD157" t="inlineStr">
        <is>
          <t>893516653</t>
        </is>
      </c>
    </row>
    <row r="158">
      <c r="A158" t="inlineStr">
        <is>
          <t>No</t>
        </is>
      </c>
      <c r="B158" t="inlineStr">
        <is>
          <t>RC1220.S8 I6 1982</t>
        </is>
      </c>
      <c r="C158" t="inlineStr">
        <is>
          <t>0                      RC 1220000S  8                  I  6           1982</t>
        </is>
      </c>
      <c r="D158" t="inlineStr">
        <is>
          <t>Biomechanics and medicine in swimming : proceedings of the Fourth International Symposium of Biomechanics in Swimming and the Fifth International Congress on Swimming Medicine / scientific editors: A. Peter Hollander, Peter A. Huijing, Gert de Groot.</t>
        </is>
      </c>
      <c r="F158" t="inlineStr">
        <is>
          <t>No</t>
        </is>
      </c>
      <c r="G158" t="inlineStr">
        <is>
          <t>1</t>
        </is>
      </c>
      <c r="H158" t="inlineStr">
        <is>
          <t>No</t>
        </is>
      </c>
      <c r="I158" t="inlineStr">
        <is>
          <t>No</t>
        </is>
      </c>
      <c r="J158" t="inlineStr">
        <is>
          <t>0</t>
        </is>
      </c>
      <c r="K158" t="inlineStr">
        <is>
          <t>International Congress of Biomechanics and Medicine in Swimming (1st : 1982 June 21-25 : Amsterdam, Netherlands)</t>
        </is>
      </c>
      <c r="L158" t="inlineStr">
        <is>
          <t>Champaign, Ill. : Human Kinetics Publishers, c1983.</t>
        </is>
      </c>
      <c r="M158" t="inlineStr">
        <is>
          <t>1983</t>
        </is>
      </c>
      <c r="O158" t="inlineStr">
        <is>
          <t>eng</t>
        </is>
      </c>
      <c r="P158" t="inlineStr">
        <is>
          <t>ilu</t>
        </is>
      </c>
      <c r="Q158" t="inlineStr">
        <is>
          <t>International series on sport sciences ; v. 14</t>
        </is>
      </c>
      <c r="R158" t="inlineStr">
        <is>
          <t xml:space="preserve">RC </t>
        </is>
      </c>
      <c r="S158" t="n">
        <v>8</v>
      </c>
      <c r="T158" t="n">
        <v>8</v>
      </c>
      <c r="U158" t="inlineStr">
        <is>
          <t>1997-11-16</t>
        </is>
      </c>
      <c r="V158" t="inlineStr">
        <is>
          <t>1997-11-16</t>
        </is>
      </c>
      <c r="W158" t="inlineStr">
        <is>
          <t>1992-02-12</t>
        </is>
      </c>
      <c r="X158" t="inlineStr">
        <is>
          <t>1992-02-12</t>
        </is>
      </c>
      <c r="Y158" t="n">
        <v>310</v>
      </c>
      <c r="Z158" t="n">
        <v>244</v>
      </c>
      <c r="AA158" t="n">
        <v>244</v>
      </c>
      <c r="AB158" t="n">
        <v>4</v>
      </c>
      <c r="AC158" t="n">
        <v>4</v>
      </c>
      <c r="AD158" t="n">
        <v>8</v>
      </c>
      <c r="AE158" t="n">
        <v>8</v>
      </c>
      <c r="AF158" t="n">
        <v>3</v>
      </c>
      <c r="AG158" t="n">
        <v>3</v>
      </c>
      <c r="AH158" t="n">
        <v>1</v>
      </c>
      <c r="AI158" t="n">
        <v>1</v>
      </c>
      <c r="AJ158" t="n">
        <v>1</v>
      </c>
      <c r="AK158" t="n">
        <v>1</v>
      </c>
      <c r="AL158" t="n">
        <v>3</v>
      </c>
      <c r="AM158" t="n">
        <v>3</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HYPERLINK("https://creighton-primo.hosted.exlibrisgroup.com/primo-explore/search?tab=default_tab&amp;search_scope=EVERYTHING&amp;vid=01CRU&amp;lang=en_US&amp;offset=0&amp;query=any,contains,991000352519702656","Catalog Record")</f>
        <v/>
      </c>
      <c r="AT158">
        <f>HYPERLINK("http://www.worldcat.org/oclc/10319535","WorldCat Record")</f>
        <v/>
      </c>
      <c r="AU158" t="inlineStr">
        <is>
          <t>475150538:eng</t>
        </is>
      </c>
      <c r="AV158" t="inlineStr">
        <is>
          <t>10319535</t>
        </is>
      </c>
      <c r="AW158" t="inlineStr">
        <is>
          <t>991000352519702656</t>
        </is>
      </c>
      <c r="AX158" t="inlineStr">
        <is>
          <t>991000352519702656</t>
        </is>
      </c>
      <c r="AY158" t="inlineStr">
        <is>
          <t>2271211230002656</t>
        </is>
      </c>
      <c r="AZ158" t="inlineStr">
        <is>
          <t>BOOK</t>
        </is>
      </c>
      <c r="BB158" t="inlineStr">
        <is>
          <t>9780931250507</t>
        </is>
      </c>
      <c r="BC158" t="inlineStr">
        <is>
          <t>32285000957463</t>
        </is>
      </c>
      <c r="BD158" t="inlineStr">
        <is>
          <t>893607836</t>
        </is>
      </c>
    </row>
    <row r="159">
      <c r="A159" t="inlineStr">
        <is>
          <t>No</t>
        </is>
      </c>
      <c r="B159" t="inlineStr">
        <is>
          <t>RC1220.S8 S6</t>
        </is>
      </c>
      <c r="C159" t="inlineStr">
        <is>
          <t>0                      RC 1220000S  8                  S  6</t>
        </is>
      </c>
      <c r="D159" t="inlineStr">
        <is>
          <t>Sports medicine meets synchronized swimming / National Association for Girls &amp; Women in Sport.</t>
        </is>
      </c>
      <c r="F159" t="inlineStr">
        <is>
          <t>No</t>
        </is>
      </c>
      <c r="G159" t="inlineStr">
        <is>
          <t>1</t>
        </is>
      </c>
      <c r="H159" t="inlineStr">
        <is>
          <t>No</t>
        </is>
      </c>
      <c r="I159" t="inlineStr">
        <is>
          <t>No</t>
        </is>
      </c>
      <c r="J159" t="inlineStr">
        <is>
          <t>0</t>
        </is>
      </c>
      <c r="L159" t="inlineStr">
        <is>
          <t>Reston, Va. : American Alliance for Health, Physical Education, Recreation and Dance, c1980.</t>
        </is>
      </c>
      <c r="M159" t="inlineStr">
        <is>
          <t>1980</t>
        </is>
      </c>
      <c r="O159" t="inlineStr">
        <is>
          <t>eng</t>
        </is>
      </c>
      <c r="P159" t="inlineStr">
        <is>
          <t>vau</t>
        </is>
      </c>
      <c r="Q159" t="inlineStr">
        <is>
          <t>AAHPERD publications</t>
        </is>
      </c>
      <c r="R159" t="inlineStr">
        <is>
          <t xml:space="preserve">RC </t>
        </is>
      </c>
      <c r="S159" t="n">
        <v>7</v>
      </c>
      <c r="T159" t="n">
        <v>7</v>
      </c>
      <c r="U159" t="inlineStr">
        <is>
          <t>2005-10-05</t>
        </is>
      </c>
      <c r="V159" t="inlineStr">
        <is>
          <t>2005-10-05</t>
        </is>
      </c>
      <c r="W159" t="inlineStr">
        <is>
          <t>1993-03-25</t>
        </is>
      </c>
      <c r="X159" t="inlineStr">
        <is>
          <t>1993-03-25</t>
        </is>
      </c>
      <c r="Y159" t="n">
        <v>178</v>
      </c>
      <c r="Z159" t="n">
        <v>158</v>
      </c>
      <c r="AA159" t="n">
        <v>161</v>
      </c>
      <c r="AB159" t="n">
        <v>1</v>
      </c>
      <c r="AC159" t="n">
        <v>1</v>
      </c>
      <c r="AD159" t="n">
        <v>5</v>
      </c>
      <c r="AE159" t="n">
        <v>5</v>
      </c>
      <c r="AF159" t="n">
        <v>3</v>
      </c>
      <c r="AG159" t="n">
        <v>3</v>
      </c>
      <c r="AH159" t="n">
        <v>0</v>
      </c>
      <c r="AI159" t="n">
        <v>0</v>
      </c>
      <c r="AJ159" t="n">
        <v>2</v>
      </c>
      <c r="AK159" t="n">
        <v>2</v>
      </c>
      <c r="AL159" t="n">
        <v>0</v>
      </c>
      <c r="AM159" t="n">
        <v>0</v>
      </c>
      <c r="AN159" t="n">
        <v>0</v>
      </c>
      <c r="AO159" t="n">
        <v>0</v>
      </c>
      <c r="AP159" t="inlineStr">
        <is>
          <t>No</t>
        </is>
      </c>
      <c r="AQ159" t="inlineStr">
        <is>
          <t>Yes</t>
        </is>
      </c>
      <c r="AR159">
        <f>HYPERLINK("http://catalog.hathitrust.org/Record/000279934","HathiTrust Record")</f>
        <v/>
      </c>
      <c r="AS159">
        <f>HYPERLINK("https://creighton-primo.hosted.exlibrisgroup.com/primo-explore/search?tab=default_tab&amp;search_scope=EVERYTHING&amp;vid=01CRU&amp;lang=en_US&amp;offset=0&amp;query=any,contains,991005065299702656","Catalog Record")</f>
        <v/>
      </c>
      <c r="AT159">
        <f>HYPERLINK("http://www.worldcat.org/oclc/11523928","WorldCat Record")</f>
        <v/>
      </c>
      <c r="AU159" t="inlineStr">
        <is>
          <t>4040121:eng</t>
        </is>
      </c>
      <c r="AV159" t="inlineStr">
        <is>
          <t>11523928</t>
        </is>
      </c>
      <c r="AW159" t="inlineStr">
        <is>
          <t>991005065299702656</t>
        </is>
      </c>
      <c r="AX159" t="inlineStr">
        <is>
          <t>991005065299702656</t>
        </is>
      </c>
      <c r="AY159" t="inlineStr">
        <is>
          <t>2271091490002656</t>
        </is>
      </c>
      <c r="AZ159" t="inlineStr">
        <is>
          <t>BOOK</t>
        </is>
      </c>
      <c r="BC159" t="inlineStr">
        <is>
          <t>32285001608784</t>
        </is>
      </c>
      <c r="BD159" t="inlineStr">
        <is>
          <t>893526832</t>
        </is>
      </c>
    </row>
    <row r="160">
      <c r="A160" t="inlineStr">
        <is>
          <t>No</t>
        </is>
      </c>
      <c r="B160" t="inlineStr">
        <is>
          <t>RC1220.T7 E3 1985</t>
        </is>
      </c>
      <c r="C160" t="inlineStr">
        <is>
          <t>0                      RC 1220000T  7                  E  3           1985</t>
        </is>
      </c>
      <c r="D160" t="inlineStr">
        <is>
          <t>Basic track &amp; field biomechanics / Tom Ecker.</t>
        </is>
      </c>
      <c r="F160" t="inlineStr">
        <is>
          <t>No</t>
        </is>
      </c>
      <c r="G160" t="inlineStr">
        <is>
          <t>1</t>
        </is>
      </c>
      <c r="H160" t="inlineStr">
        <is>
          <t>No</t>
        </is>
      </c>
      <c r="I160" t="inlineStr">
        <is>
          <t>No</t>
        </is>
      </c>
      <c r="J160" t="inlineStr">
        <is>
          <t>0</t>
        </is>
      </c>
      <c r="K160" t="inlineStr">
        <is>
          <t>Ecker, Tom.</t>
        </is>
      </c>
      <c r="L160" t="inlineStr">
        <is>
          <t>Los Altos, Calif. : Tafnews, 1985.</t>
        </is>
      </c>
      <c r="M160" t="inlineStr">
        <is>
          <t>1985</t>
        </is>
      </c>
      <c r="O160" t="inlineStr">
        <is>
          <t>eng</t>
        </is>
      </c>
      <c r="P160" t="inlineStr">
        <is>
          <t>cau</t>
        </is>
      </c>
      <c r="R160" t="inlineStr">
        <is>
          <t xml:space="preserve">RC </t>
        </is>
      </c>
      <c r="S160" t="n">
        <v>9</v>
      </c>
      <c r="T160" t="n">
        <v>9</v>
      </c>
      <c r="U160" t="inlineStr">
        <is>
          <t>1997-11-17</t>
        </is>
      </c>
      <c r="V160" t="inlineStr">
        <is>
          <t>1997-11-17</t>
        </is>
      </c>
      <c r="W160" t="inlineStr">
        <is>
          <t>1992-02-12</t>
        </is>
      </c>
      <c r="X160" t="inlineStr">
        <is>
          <t>1992-02-12</t>
        </is>
      </c>
      <c r="Y160" t="n">
        <v>286</v>
      </c>
      <c r="Z160" t="n">
        <v>258</v>
      </c>
      <c r="AA160" t="n">
        <v>307</v>
      </c>
      <c r="AB160" t="n">
        <v>5</v>
      </c>
      <c r="AC160" t="n">
        <v>5</v>
      </c>
      <c r="AD160" t="n">
        <v>8</v>
      </c>
      <c r="AE160" t="n">
        <v>10</v>
      </c>
      <c r="AF160" t="n">
        <v>4</v>
      </c>
      <c r="AG160" t="n">
        <v>6</v>
      </c>
      <c r="AH160" t="n">
        <v>0</v>
      </c>
      <c r="AI160" t="n">
        <v>0</v>
      </c>
      <c r="AJ160" t="n">
        <v>1</v>
      </c>
      <c r="AK160" t="n">
        <v>2</v>
      </c>
      <c r="AL160" t="n">
        <v>4</v>
      </c>
      <c r="AM160" t="n">
        <v>4</v>
      </c>
      <c r="AN160" t="n">
        <v>0</v>
      </c>
      <c r="AO160" t="n">
        <v>0</v>
      </c>
      <c r="AP160" t="inlineStr">
        <is>
          <t>No</t>
        </is>
      </c>
      <c r="AQ160" t="inlineStr">
        <is>
          <t>Yes</t>
        </is>
      </c>
      <c r="AR160">
        <f>HYPERLINK("http://catalog.hathitrust.org/Record/010093627","HathiTrust Record")</f>
        <v/>
      </c>
      <c r="AS160">
        <f>HYPERLINK("https://creighton-primo.hosted.exlibrisgroup.com/primo-explore/search?tab=default_tab&amp;search_scope=EVERYTHING&amp;vid=01CRU&amp;lang=en_US&amp;offset=0&amp;query=any,contains,991000689279702656","Catalog Record")</f>
        <v/>
      </c>
      <c r="AT160">
        <f>HYPERLINK("http://www.worldcat.org/oclc/12437064","WorldCat Record")</f>
        <v/>
      </c>
      <c r="AU160" t="inlineStr">
        <is>
          <t>740064:eng</t>
        </is>
      </c>
      <c r="AV160" t="inlineStr">
        <is>
          <t>12437064</t>
        </is>
      </c>
      <c r="AW160" t="inlineStr">
        <is>
          <t>991000689279702656</t>
        </is>
      </c>
      <c r="AX160" t="inlineStr">
        <is>
          <t>991000689279702656</t>
        </is>
      </c>
      <c r="AY160" t="inlineStr">
        <is>
          <t>2258691690002656</t>
        </is>
      </c>
      <c r="AZ160" t="inlineStr">
        <is>
          <t>BOOK</t>
        </is>
      </c>
      <c r="BB160" t="inlineStr">
        <is>
          <t>9780911521160</t>
        </is>
      </c>
      <c r="BC160" t="inlineStr">
        <is>
          <t>32285000957455</t>
        </is>
      </c>
      <c r="BD160" t="inlineStr">
        <is>
          <t>893890936</t>
        </is>
      </c>
    </row>
    <row r="161">
      <c r="A161" t="inlineStr">
        <is>
          <t>No</t>
        </is>
      </c>
      <c r="B161" t="inlineStr">
        <is>
          <t>RC1225 .O43 1999</t>
        </is>
      </c>
      <c r="C161" t="inlineStr">
        <is>
          <t>0                      RC 1225000O  43          1999</t>
        </is>
      </c>
      <c r="D161" t="inlineStr">
        <is>
          <t>Pre-exercise health screening guide / Tim Olds and Kevin Norton.</t>
        </is>
      </c>
      <c r="F161" t="inlineStr">
        <is>
          <t>No</t>
        </is>
      </c>
      <c r="G161" t="inlineStr">
        <is>
          <t>1</t>
        </is>
      </c>
      <c r="H161" t="inlineStr">
        <is>
          <t>No</t>
        </is>
      </c>
      <c r="I161" t="inlineStr">
        <is>
          <t>No</t>
        </is>
      </c>
      <c r="J161" t="inlineStr">
        <is>
          <t>0</t>
        </is>
      </c>
      <c r="K161" t="inlineStr">
        <is>
          <t>Olds, Tim.</t>
        </is>
      </c>
      <c r="L161" t="inlineStr">
        <is>
          <t>Champaign, IL : Human Kinetics, 1999.</t>
        </is>
      </c>
      <c r="M161" t="inlineStr">
        <is>
          <t>1999</t>
        </is>
      </c>
      <c r="O161" t="inlineStr">
        <is>
          <t>eng</t>
        </is>
      </c>
      <c r="P161" t="inlineStr">
        <is>
          <t>ilu</t>
        </is>
      </c>
      <c r="R161" t="inlineStr">
        <is>
          <t xml:space="preserve">RC </t>
        </is>
      </c>
      <c r="S161" t="n">
        <v>1</v>
      </c>
      <c r="T161" t="n">
        <v>1</v>
      </c>
      <c r="U161" t="inlineStr">
        <is>
          <t>2001-01-30</t>
        </is>
      </c>
      <c r="V161" t="inlineStr">
        <is>
          <t>2001-01-30</t>
        </is>
      </c>
      <c r="W161" t="inlineStr">
        <is>
          <t>2001-01-30</t>
        </is>
      </c>
      <c r="X161" t="inlineStr">
        <is>
          <t>2001-01-30</t>
        </is>
      </c>
      <c r="Y161" t="n">
        <v>175</v>
      </c>
      <c r="Z161" t="n">
        <v>127</v>
      </c>
      <c r="AA161" t="n">
        <v>127</v>
      </c>
      <c r="AB161" t="n">
        <v>1</v>
      </c>
      <c r="AC161" t="n">
        <v>1</v>
      </c>
      <c r="AD161" t="n">
        <v>1</v>
      </c>
      <c r="AE161" t="n">
        <v>1</v>
      </c>
      <c r="AF161" t="n">
        <v>1</v>
      </c>
      <c r="AG161" t="n">
        <v>1</v>
      </c>
      <c r="AH161" t="n">
        <v>0</v>
      </c>
      <c r="AI161" t="n">
        <v>0</v>
      </c>
      <c r="AJ161" t="n">
        <v>0</v>
      </c>
      <c r="AK161" t="n">
        <v>0</v>
      </c>
      <c r="AL161" t="n">
        <v>0</v>
      </c>
      <c r="AM161" t="n">
        <v>0</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HYPERLINK("https://creighton-primo.hosted.exlibrisgroup.com/primo-explore/search?tab=default_tab&amp;search_scope=EVERYTHING&amp;vid=01CRU&amp;lang=en_US&amp;offset=0&amp;query=any,contains,991003353239702656","Catalog Record")</f>
        <v/>
      </c>
      <c r="AT161">
        <f>HYPERLINK("http://www.worldcat.org/oclc/41026535","WorldCat Record")</f>
        <v/>
      </c>
      <c r="AU161" t="inlineStr">
        <is>
          <t>26012258:eng</t>
        </is>
      </c>
      <c r="AV161" t="inlineStr">
        <is>
          <t>41026535</t>
        </is>
      </c>
      <c r="AW161" t="inlineStr">
        <is>
          <t>991003353239702656</t>
        </is>
      </c>
      <c r="AX161" t="inlineStr">
        <is>
          <t>991003353239702656</t>
        </is>
      </c>
      <c r="AY161" t="inlineStr">
        <is>
          <t>2257840490002656</t>
        </is>
      </c>
      <c r="AZ161" t="inlineStr">
        <is>
          <t>BOOK</t>
        </is>
      </c>
      <c r="BB161" t="inlineStr">
        <is>
          <t>9780736002103</t>
        </is>
      </c>
      <c r="BC161" t="inlineStr">
        <is>
          <t>32285004292636</t>
        </is>
      </c>
      <c r="BD161" t="inlineStr">
        <is>
          <t>893246280</t>
        </is>
      </c>
    </row>
    <row r="162">
      <c r="A162" t="inlineStr">
        <is>
          <t>No</t>
        </is>
      </c>
      <c r="B162" t="inlineStr">
        <is>
          <t>RC1230 .A522 2000</t>
        </is>
      </c>
      <c r="C162" t="inlineStr">
        <is>
          <t>0                      RC 1230000A  522         2000</t>
        </is>
      </c>
      <c r="D162" t="inlineStr">
        <is>
          <t>Anabolic steroids in sport and exercise / Charles E. Yesalis, editor.</t>
        </is>
      </c>
      <c r="F162" t="inlineStr">
        <is>
          <t>No</t>
        </is>
      </c>
      <c r="G162" t="inlineStr">
        <is>
          <t>1</t>
        </is>
      </c>
      <c r="H162" t="inlineStr">
        <is>
          <t>No</t>
        </is>
      </c>
      <c r="I162" t="inlineStr">
        <is>
          <t>No</t>
        </is>
      </c>
      <c r="J162" t="inlineStr">
        <is>
          <t>0</t>
        </is>
      </c>
      <c r="L162" t="inlineStr">
        <is>
          <t>Champaign, IL : Human Kinetics, c2000.</t>
        </is>
      </c>
      <c r="M162" t="inlineStr">
        <is>
          <t>2000</t>
        </is>
      </c>
      <c r="N162" t="inlineStr">
        <is>
          <t>2nd ed.</t>
        </is>
      </c>
      <c r="O162" t="inlineStr">
        <is>
          <t>eng</t>
        </is>
      </c>
      <c r="P162" t="inlineStr">
        <is>
          <t>ilu</t>
        </is>
      </c>
      <c r="R162" t="inlineStr">
        <is>
          <t xml:space="preserve">RC </t>
        </is>
      </c>
      <c r="S162" t="n">
        <v>18</v>
      </c>
      <c r="T162" t="n">
        <v>18</v>
      </c>
      <c r="U162" t="inlineStr">
        <is>
          <t>2010-09-21</t>
        </is>
      </c>
      <c r="V162" t="inlineStr">
        <is>
          <t>2010-09-21</t>
        </is>
      </c>
      <c r="W162" t="inlineStr">
        <is>
          <t>2002-01-29</t>
        </is>
      </c>
      <c r="X162" t="inlineStr">
        <is>
          <t>2002-01-29</t>
        </is>
      </c>
      <c r="Y162" t="n">
        <v>713</v>
      </c>
      <c r="Z162" t="n">
        <v>584</v>
      </c>
      <c r="AA162" t="n">
        <v>1285</v>
      </c>
      <c r="AB162" t="n">
        <v>7</v>
      </c>
      <c r="AC162" t="n">
        <v>10</v>
      </c>
      <c r="AD162" t="n">
        <v>19</v>
      </c>
      <c r="AE162" t="n">
        <v>39</v>
      </c>
      <c r="AF162" t="n">
        <v>9</v>
      </c>
      <c r="AG162" t="n">
        <v>19</v>
      </c>
      <c r="AH162" t="n">
        <v>5</v>
      </c>
      <c r="AI162" t="n">
        <v>8</v>
      </c>
      <c r="AJ162" t="n">
        <v>6</v>
      </c>
      <c r="AK162" t="n">
        <v>15</v>
      </c>
      <c r="AL162" t="n">
        <v>5</v>
      </c>
      <c r="AM162" t="n">
        <v>7</v>
      </c>
      <c r="AN162" t="n">
        <v>1</v>
      </c>
      <c r="AO162" t="n">
        <v>1</v>
      </c>
      <c r="AP162" t="inlineStr">
        <is>
          <t>No</t>
        </is>
      </c>
      <c r="AQ162" t="inlineStr">
        <is>
          <t>No</t>
        </is>
      </c>
      <c r="AS162">
        <f>HYPERLINK("https://creighton-primo.hosted.exlibrisgroup.com/primo-explore/search?tab=default_tab&amp;search_scope=EVERYTHING&amp;vid=01CRU&amp;lang=en_US&amp;offset=0&amp;query=any,contains,991003692659702656","Catalog Record")</f>
        <v/>
      </c>
      <c r="AT162">
        <f>HYPERLINK("http://www.worldcat.org/oclc/41885904","WorldCat Record")</f>
        <v/>
      </c>
      <c r="AU162" t="inlineStr">
        <is>
          <t>138716583:eng</t>
        </is>
      </c>
      <c r="AV162" t="inlineStr">
        <is>
          <t>41885904</t>
        </is>
      </c>
      <c r="AW162" t="inlineStr">
        <is>
          <t>991003692659702656</t>
        </is>
      </c>
      <c r="AX162" t="inlineStr">
        <is>
          <t>991003692659702656</t>
        </is>
      </c>
      <c r="AY162" t="inlineStr">
        <is>
          <t>2264573260002656</t>
        </is>
      </c>
      <c r="AZ162" t="inlineStr">
        <is>
          <t>BOOK</t>
        </is>
      </c>
      <c r="BB162" t="inlineStr">
        <is>
          <t>9780880117869</t>
        </is>
      </c>
      <c r="BC162" t="inlineStr">
        <is>
          <t>32285004451091</t>
        </is>
      </c>
      <c r="BD162" t="inlineStr">
        <is>
          <t>893416677</t>
        </is>
      </c>
    </row>
    <row r="163">
      <c r="A163" t="inlineStr">
        <is>
          <t>No</t>
        </is>
      </c>
      <c r="B163" t="inlineStr">
        <is>
          <t>RC1230 .D76 2001</t>
        </is>
      </c>
      <c r="C163" t="inlineStr">
        <is>
          <t>0                      RC 1230000D  76          2001</t>
        </is>
      </c>
      <c r="D163" t="inlineStr">
        <is>
          <t>Doping in elite sport : the politics of drugs in the Olympic movement / Wayne Wilson and Edward Derse, editors.</t>
        </is>
      </c>
      <c r="F163" t="inlineStr">
        <is>
          <t>No</t>
        </is>
      </c>
      <c r="G163" t="inlineStr">
        <is>
          <t>1</t>
        </is>
      </c>
      <c r="H163" t="inlineStr">
        <is>
          <t>No</t>
        </is>
      </c>
      <c r="I163" t="inlineStr">
        <is>
          <t>No</t>
        </is>
      </c>
      <c r="J163" t="inlineStr">
        <is>
          <t>0</t>
        </is>
      </c>
      <c r="L163" t="inlineStr">
        <is>
          <t>Champaign, IL : Human Kinetics, c2001.</t>
        </is>
      </c>
      <c r="M163" t="inlineStr">
        <is>
          <t>2001</t>
        </is>
      </c>
      <c r="O163" t="inlineStr">
        <is>
          <t>eng</t>
        </is>
      </c>
      <c r="P163" t="inlineStr">
        <is>
          <t>ilu</t>
        </is>
      </c>
      <c r="R163" t="inlineStr">
        <is>
          <t xml:space="preserve">RC </t>
        </is>
      </c>
      <c r="S163" t="n">
        <v>6</v>
      </c>
      <c r="T163" t="n">
        <v>6</v>
      </c>
      <c r="U163" t="inlineStr">
        <is>
          <t>2007-11-07</t>
        </is>
      </c>
      <c r="V163" t="inlineStr">
        <is>
          <t>2007-11-07</t>
        </is>
      </c>
      <c r="W163" t="inlineStr">
        <is>
          <t>2001-09-27</t>
        </is>
      </c>
      <c r="X163" t="inlineStr">
        <is>
          <t>2001-09-27</t>
        </is>
      </c>
      <c r="Y163" t="n">
        <v>741</v>
      </c>
      <c r="Z163" t="n">
        <v>585</v>
      </c>
      <c r="AA163" t="n">
        <v>590</v>
      </c>
      <c r="AB163" t="n">
        <v>6</v>
      </c>
      <c r="AC163" t="n">
        <v>6</v>
      </c>
      <c r="AD163" t="n">
        <v>22</v>
      </c>
      <c r="AE163" t="n">
        <v>22</v>
      </c>
      <c r="AF163" t="n">
        <v>9</v>
      </c>
      <c r="AG163" t="n">
        <v>9</v>
      </c>
      <c r="AH163" t="n">
        <v>3</v>
      </c>
      <c r="AI163" t="n">
        <v>3</v>
      </c>
      <c r="AJ163" t="n">
        <v>8</v>
      </c>
      <c r="AK163" t="n">
        <v>8</v>
      </c>
      <c r="AL163" t="n">
        <v>5</v>
      </c>
      <c r="AM163" t="n">
        <v>5</v>
      </c>
      <c r="AN163" t="n">
        <v>1</v>
      </c>
      <c r="AO163" t="n">
        <v>1</v>
      </c>
      <c r="AP163" t="inlineStr">
        <is>
          <t>No</t>
        </is>
      </c>
      <c r="AQ163" t="inlineStr">
        <is>
          <t>Yes</t>
        </is>
      </c>
      <c r="AR163">
        <f>HYPERLINK("http://catalog.hathitrust.org/Record/004200676","HathiTrust Record")</f>
        <v/>
      </c>
      <c r="AS163">
        <f>HYPERLINK("https://creighton-primo.hosted.exlibrisgroup.com/primo-explore/search?tab=default_tab&amp;search_scope=EVERYTHING&amp;vid=01CRU&amp;lang=en_US&amp;offset=0&amp;query=any,contains,991003625049702656","Catalog Record")</f>
        <v/>
      </c>
      <c r="AT163">
        <f>HYPERLINK("http://www.worldcat.org/oclc/44089413","WorldCat Record")</f>
        <v/>
      </c>
      <c r="AU163" t="inlineStr">
        <is>
          <t>837006213:eng</t>
        </is>
      </c>
      <c r="AV163" t="inlineStr">
        <is>
          <t>44089413</t>
        </is>
      </c>
      <c r="AW163" t="inlineStr">
        <is>
          <t>991003625049702656</t>
        </is>
      </c>
      <c r="AX163" t="inlineStr">
        <is>
          <t>991003625049702656</t>
        </is>
      </c>
      <c r="AY163" t="inlineStr">
        <is>
          <t>2262974290002656</t>
        </is>
      </c>
      <c r="AZ163" t="inlineStr">
        <is>
          <t>BOOK</t>
        </is>
      </c>
      <c r="BB163" t="inlineStr">
        <is>
          <t>9780736003292</t>
        </is>
      </c>
      <c r="BC163" t="inlineStr">
        <is>
          <t>32285004393756</t>
        </is>
      </c>
      <c r="BD163" t="inlineStr">
        <is>
          <t>893774963</t>
        </is>
      </c>
    </row>
    <row r="164">
      <c r="A164" t="inlineStr">
        <is>
          <t>No</t>
        </is>
      </c>
      <c r="B164" t="inlineStr">
        <is>
          <t>RC1230 .D78 1988</t>
        </is>
      </c>
      <c r="C164" t="inlineStr">
        <is>
          <t>0                      RC 1230000D  78          1988</t>
        </is>
      </c>
      <c r="D164" t="inlineStr">
        <is>
          <t>Drugs in sport / edited by D.R. Mottram.</t>
        </is>
      </c>
      <c r="F164" t="inlineStr">
        <is>
          <t>No</t>
        </is>
      </c>
      <c r="G164" t="inlineStr">
        <is>
          <t>1</t>
        </is>
      </c>
      <c r="H164" t="inlineStr">
        <is>
          <t>No</t>
        </is>
      </c>
      <c r="I164" t="inlineStr">
        <is>
          <t>No</t>
        </is>
      </c>
      <c r="J164" t="inlineStr">
        <is>
          <t>0</t>
        </is>
      </c>
      <c r="L164" t="inlineStr">
        <is>
          <t>Champaign, Ill. : Human Kinetics Books, c1988.</t>
        </is>
      </c>
      <c r="M164" t="inlineStr">
        <is>
          <t>1988</t>
        </is>
      </c>
      <c r="O164" t="inlineStr">
        <is>
          <t>eng</t>
        </is>
      </c>
      <c r="P164" t="inlineStr">
        <is>
          <t>ilu</t>
        </is>
      </c>
      <c r="R164" t="inlineStr">
        <is>
          <t xml:space="preserve">RC </t>
        </is>
      </c>
      <c r="S164" t="n">
        <v>41</v>
      </c>
      <c r="T164" t="n">
        <v>41</v>
      </c>
      <c r="U164" t="inlineStr">
        <is>
          <t>2008-11-11</t>
        </is>
      </c>
      <c r="V164" t="inlineStr">
        <is>
          <t>2008-11-11</t>
        </is>
      </c>
      <c r="W164" t="inlineStr">
        <is>
          <t>1992-11-03</t>
        </is>
      </c>
      <c r="X164" t="inlineStr">
        <is>
          <t>1992-11-03</t>
        </is>
      </c>
      <c r="Y164" t="n">
        <v>322</v>
      </c>
      <c r="Z164" t="n">
        <v>276</v>
      </c>
      <c r="AA164" t="n">
        <v>1354</v>
      </c>
      <c r="AB164" t="n">
        <v>2</v>
      </c>
      <c r="AC164" t="n">
        <v>33</v>
      </c>
      <c r="AD164" t="n">
        <v>5</v>
      </c>
      <c r="AE164" t="n">
        <v>47</v>
      </c>
      <c r="AF164" t="n">
        <v>2</v>
      </c>
      <c r="AG164" t="n">
        <v>17</v>
      </c>
      <c r="AH164" t="n">
        <v>1</v>
      </c>
      <c r="AI164" t="n">
        <v>6</v>
      </c>
      <c r="AJ164" t="n">
        <v>2</v>
      </c>
      <c r="AK164" t="n">
        <v>18</v>
      </c>
      <c r="AL164" t="n">
        <v>1</v>
      </c>
      <c r="AM164" t="n">
        <v>16</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HYPERLINK("https://creighton-primo.hosted.exlibrisgroup.com/primo-explore/search?tab=default_tab&amp;search_scope=EVERYTHING&amp;vid=01CRU&amp;lang=en_US&amp;offset=0&amp;query=any,contains,991001447369702656","Catalog Record")</f>
        <v/>
      </c>
      <c r="AT164">
        <f>HYPERLINK("http://www.worldcat.org/oclc/21228609","WorldCat Record")</f>
        <v/>
      </c>
      <c r="AU164" t="inlineStr">
        <is>
          <t>766935180:eng</t>
        </is>
      </c>
      <c r="AV164" t="inlineStr">
        <is>
          <t>21228609</t>
        </is>
      </c>
      <c r="AW164" t="inlineStr">
        <is>
          <t>991001447369702656</t>
        </is>
      </c>
      <c r="AX164" t="inlineStr">
        <is>
          <t>991001447369702656</t>
        </is>
      </c>
      <c r="AY164" t="inlineStr">
        <is>
          <t>2258227010002656</t>
        </is>
      </c>
      <c r="AZ164" t="inlineStr">
        <is>
          <t>BOOK</t>
        </is>
      </c>
      <c r="BB164" t="inlineStr">
        <is>
          <t>9780873222228</t>
        </is>
      </c>
      <c r="BC164" t="inlineStr">
        <is>
          <t>32285001380954</t>
        </is>
      </c>
      <c r="BD164" t="inlineStr">
        <is>
          <t>893703043</t>
        </is>
      </c>
    </row>
    <row r="165">
      <c r="A165" t="inlineStr">
        <is>
          <t>No</t>
        </is>
      </c>
      <c r="B165" t="inlineStr">
        <is>
          <t>RC1230 .D784 1988</t>
        </is>
      </c>
      <c r="C165" t="inlineStr">
        <is>
          <t>0                      RC 1230000D  784         1988</t>
        </is>
      </c>
      <c r="D165" t="inlineStr">
        <is>
          <t>Drugs, athletes, and physical performance / edited by John A. Thomas.</t>
        </is>
      </c>
      <c r="F165" t="inlineStr">
        <is>
          <t>No</t>
        </is>
      </c>
      <c r="G165" t="inlineStr">
        <is>
          <t>1</t>
        </is>
      </c>
      <c r="H165" t="inlineStr">
        <is>
          <t>No</t>
        </is>
      </c>
      <c r="I165" t="inlineStr">
        <is>
          <t>No</t>
        </is>
      </c>
      <c r="J165" t="inlineStr">
        <is>
          <t>0</t>
        </is>
      </c>
      <c r="L165" t="inlineStr">
        <is>
          <t>New York : Plenum Medical Book Co., c1988.</t>
        </is>
      </c>
      <c r="M165" t="inlineStr">
        <is>
          <t>1988</t>
        </is>
      </c>
      <c r="O165" t="inlineStr">
        <is>
          <t>eng</t>
        </is>
      </c>
      <c r="P165" t="inlineStr">
        <is>
          <t>nyu</t>
        </is>
      </c>
      <c r="R165" t="inlineStr">
        <is>
          <t xml:space="preserve">RC </t>
        </is>
      </c>
      <c r="S165" t="n">
        <v>42</v>
      </c>
      <c r="T165" t="n">
        <v>42</v>
      </c>
      <c r="U165" t="inlineStr">
        <is>
          <t>2006-10-03</t>
        </is>
      </c>
      <c r="V165" t="inlineStr">
        <is>
          <t>2006-10-03</t>
        </is>
      </c>
      <c r="W165" t="inlineStr">
        <is>
          <t>1991-11-21</t>
        </is>
      </c>
      <c r="X165" t="inlineStr">
        <is>
          <t>1991-11-21</t>
        </is>
      </c>
      <c r="Y165" t="n">
        <v>373</v>
      </c>
      <c r="Z165" t="n">
        <v>278</v>
      </c>
      <c r="AA165" t="n">
        <v>299</v>
      </c>
      <c r="AB165" t="n">
        <v>3</v>
      </c>
      <c r="AC165" t="n">
        <v>3</v>
      </c>
      <c r="AD165" t="n">
        <v>14</v>
      </c>
      <c r="AE165" t="n">
        <v>14</v>
      </c>
      <c r="AF165" t="n">
        <v>4</v>
      </c>
      <c r="AG165" t="n">
        <v>4</v>
      </c>
      <c r="AH165" t="n">
        <v>3</v>
      </c>
      <c r="AI165" t="n">
        <v>3</v>
      </c>
      <c r="AJ165" t="n">
        <v>6</v>
      </c>
      <c r="AK165" t="n">
        <v>6</v>
      </c>
      <c r="AL165" t="n">
        <v>2</v>
      </c>
      <c r="AM165" t="n">
        <v>2</v>
      </c>
      <c r="AN165" t="n">
        <v>1</v>
      </c>
      <c r="AO165" t="n">
        <v>1</v>
      </c>
      <c r="AP165" t="inlineStr">
        <is>
          <t>No</t>
        </is>
      </c>
      <c r="AQ165" t="inlineStr">
        <is>
          <t>Yes</t>
        </is>
      </c>
      <c r="AR165">
        <f>HYPERLINK("http://catalog.hathitrust.org/Record/000944558","HathiTrust Record")</f>
        <v/>
      </c>
      <c r="AS165">
        <f>HYPERLINK("https://creighton-primo.hosted.exlibrisgroup.com/primo-explore/search?tab=default_tab&amp;search_scope=EVERYTHING&amp;vid=01CRU&amp;lang=en_US&amp;offset=0&amp;query=any,contains,991001324939702656","Catalog Record")</f>
        <v/>
      </c>
      <c r="AT165">
        <f>HYPERLINK("http://www.worldcat.org/oclc/18259805","WorldCat Record")</f>
        <v/>
      </c>
      <c r="AU165" t="inlineStr">
        <is>
          <t>17312380:eng</t>
        </is>
      </c>
      <c r="AV165" t="inlineStr">
        <is>
          <t>18259805</t>
        </is>
      </c>
      <c r="AW165" t="inlineStr">
        <is>
          <t>991001324939702656</t>
        </is>
      </c>
      <c r="AX165" t="inlineStr">
        <is>
          <t>991001324939702656</t>
        </is>
      </c>
      <c r="AY165" t="inlineStr">
        <is>
          <t>2255307370002656</t>
        </is>
      </c>
      <c r="AZ165" t="inlineStr">
        <is>
          <t>BOOK</t>
        </is>
      </c>
      <c r="BB165" t="inlineStr">
        <is>
          <t>9780306428883</t>
        </is>
      </c>
      <c r="BC165" t="inlineStr">
        <is>
          <t>32285000843507</t>
        </is>
      </c>
      <c r="BD165" t="inlineStr">
        <is>
          <t>893509552</t>
        </is>
      </c>
    </row>
    <row r="166">
      <c r="A166" t="inlineStr">
        <is>
          <t>No</t>
        </is>
      </c>
      <c r="B166" t="inlineStr">
        <is>
          <t>RC1230 .G65 1984</t>
        </is>
      </c>
      <c r="C166" t="inlineStr">
        <is>
          <t>0                      RC 1230000G  65          1984</t>
        </is>
      </c>
      <c r="D166" t="inlineStr">
        <is>
          <t>Death in the locker room : steroids &amp; sports / Bob Goldman ; with Patricia Bush, Ronald Klatz.</t>
        </is>
      </c>
      <c r="F166" t="inlineStr">
        <is>
          <t>No</t>
        </is>
      </c>
      <c r="G166" t="inlineStr">
        <is>
          <t>1</t>
        </is>
      </c>
      <c r="H166" t="inlineStr">
        <is>
          <t>No</t>
        </is>
      </c>
      <c r="I166" t="inlineStr">
        <is>
          <t>No</t>
        </is>
      </c>
      <c r="J166" t="inlineStr">
        <is>
          <t>0</t>
        </is>
      </c>
      <c r="K166" t="inlineStr">
        <is>
          <t>Goldman, Bob, 1955-</t>
        </is>
      </c>
      <c r="L166" t="inlineStr">
        <is>
          <t>South Bend, Ind. : Icarus Press, 1984.</t>
        </is>
      </c>
      <c r="M166" t="inlineStr">
        <is>
          <t>1984</t>
        </is>
      </c>
      <c r="O166" t="inlineStr">
        <is>
          <t>eng</t>
        </is>
      </c>
      <c r="P166" t="inlineStr">
        <is>
          <t>inu</t>
        </is>
      </c>
      <c r="R166" t="inlineStr">
        <is>
          <t xml:space="preserve">RC </t>
        </is>
      </c>
      <c r="S166" t="n">
        <v>35</v>
      </c>
      <c r="T166" t="n">
        <v>35</v>
      </c>
      <c r="U166" t="inlineStr">
        <is>
          <t>2006-10-03</t>
        </is>
      </c>
      <c r="V166" t="inlineStr">
        <is>
          <t>2006-10-03</t>
        </is>
      </c>
      <c r="W166" t="inlineStr">
        <is>
          <t>1992-04-26</t>
        </is>
      </c>
      <c r="X166" t="inlineStr">
        <is>
          <t>1992-04-26</t>
        </is>
      </c>
      <c r="Y166" t="n">
        <v>888</v>
      </c>
      <c r="Z166" t="n">
        <v>823</v>
      </c>
      <c r="AA166" t="n">
        <v>947</v>
      </c>
      <c r="AB166" t="n">
        <v>9</v>
      </c>
      <c r="AC166" t="n">
        <v>11</v>
      </c>
      <c r="AD166" t="n">
        <v>21</v>
      </c>
      <c r="AE166" t="n">
        <v>24</v>
      </c>
      <c r="AF166" t="n">
        <v>11</v>
      </c>
      <c r="AG166" t="n">
        <v>12</v>
      </c>
      <c r="AH166" t="n">
        <v>2</v>
      </c>
      <c r="AI166" t="n">
        <v>2</v>
      </c>
      <c r="AJ166" t="n">
        <v>7</v>
      </c>
      <c r="AK166" t="n">
        <v>8</v>
      </c>
      <c r="AL166" t="n">
        <v>5</v>
      </c>
      <c r="AM166" t="n">
        <v>6</v>
      </c>
      <c r="AN166" t="n">
        <v>0</v>
      </c>
      <c r="AO166" t="n">
        <v>0</v>
      </c>
      <c r="AP166" t="inlineStr">
        <is>
          <t>No</t>
        </is>
      </c>
      <c r="AQ166" t="inlineStr">
        <is>
          <t>Yes</t>
        </is>
      </c>
      <c r="AR166">
        <f>HYPERLINK("http://catalog.hathitrust.org/Record/000414957","HathiTrust Record")</f>
        <v/>
      </c>
      <c r="AS166">
        <f>HYPERLINK("https://creighton-primo.hosted.exlibrisgroup.com/primo-explore/search?tab=default_tab&amp;search_scope=EVERYTHING&amp;vid=01CRU&amp;lang=en_US&amp;offset=0&amp;query=any,contains,991000412209702656","Catalog Record")</f>
        <v/>
      </c>
      <c r="AT166">
        <f>HYPERLINK("http://www.worldcat.org/oclc/10711732","WorldCat Record")</f>
        <v/>
      </c>
      <c r="AU166" t="inlineStr">
        <is>
          <t>836661472:eng</t>
        </is>
      </c>
      <c r="AV166" t="inlineStr">
        <is>
          <t>10711732</t>
        </is>
      </c>
      <c r="AW166" t="inlineStr">
        <is>
          <t>991000412209702656</t>
        </is>
      </c>
      <c r="AX166" t="inlineStr">
        <is>
          <t>991000412209702656</t>
        </is>
      </c>
      <c r="AY166" t="inlineStr">
        <is>
          <t>2260288040002656</t>
        </is>
      </c>
      <c r="AZ166" t="inlineStr">
        <is>
          <t>BOOK</t>
        </is>
      </c>
      <c r="BB166" t="inlineStr">
        <is>
          <t>9780896511552</t>
        </is>
      </c>
      <c r="BC166" t="inlineStr">
        <is>
          <t>32285001087195</t>
        </is>
      </c>
      <c r="BD166" t="inlineStr">
        <is>
          <t>893890644</t>
        </is>
      </c>
    </row>
    <row r="167">
      <c r="A167" t="inlineStr">
        <is>
          <t>No</t>
        </is>
      </c>
      <c r="B167" t="inlineStr">
        <is>
          <t>RC1230 .K845 2000</t>
        </is>
      </c>
      <c r="C167" t="inlineStr">
        <is>
          <t>0                      RC 1230000K  845         2000</t>
        </is>
      </c>
      <c r="D167" t="inlineStr">
        <is>
          <t>Pumped : straight facts for athletes about drugs, supplements, and training / Cynthia Kuhn, Scott Swartzwelder, and Wilkie Wilson.</t>
        </is>
      </c>
      <c r="F167" t="inlineStr">
        <is>
          <t>No</t>
        </is>
      </c>
      <c r="G167" t="inlineStr">
        <is>
          <t>1</t>
        </is>
      </c>
      <c r="H167" t="inlineStr">
        <is>
          <t>No</t>
        </is>
      </c>
      <c r="I167" t="inlineStr">
        <is>
          <t>No</t>
        </is>
      </c>
      <c r="J167" t="inlineStr">
        <is>
          <t>0</t>
        </is>
      </c>
      <c r="K167" t="inlineStr">
        <is>
          <t>Kuhn, Cynthia.</t>
        </is>
      </c>
      <c r="L167" t="inlineStr">
        <is>
          <t>New York : W.W. Norton &amp; Co., c2000.</t>
        </is>
      </c>
      <c r="M167" t="inlineStr">
        <is>
          <t>2000</t>
        </is>
      </c>
      <c r="N167" t="inlineStr">
        <is>
          <t>1st ed.</t>
        </is>
      </c>
      <c r="O167" t="inlineStr">
        <is>
          <t>eng</t>
        </is>
      </c>
      <c r="P167" t="inlineStr">
        <is>
          <t>nyu</t>
        </is>
      </c>
      <c r="R167" t="inlineStr">
        <is>
          <t xml:space="preserve">RC </t>
        </is>
      </c>
      <c r="S167" t="n">
        <v>13</v>
      </c>
      <c r="T167" t="n">
        <v>13</v>
      </c>
      <c r="U167" t="inlineStr">
        <is>
          <t>2009-04-06</t>
        </is>
      </c>
      <c r="V167" t="inlineStr">
        <is>
          <t>2009-04-06</t>
        </is>
      </c>
      <c r="W167" t="inlineStr">
        <is>
          <t>2000-11-13</t>
        </is>
      </c>
      <c r="X167" t="inlineStr">
        <is>
          <t>2000-11-13</t>
        </is>
      </c>
      <c r="Y167" t="n">
        <v>919</v>
      </c>
      <c r="Z167" t="n">
        <v>831</v>
      </c>
      <c r="AA167" t="n">
        <v>834</v>
      </c>
      <c r="AB167" t="n">
        <v>10</v>
      </c>
      <c r="AC167" t="n">
        <v>10</v>
      </c>
      <c r="AD167" t="n">
        <v>16</v>
      </c>
      <c r="AE167" t="n">
        <v>16</v>
      </c>
      <c r="AF167" t="n">
        <v>7</v>
      </c>
      <c r="AG167" t="n">
        <v>7</v>
      </c>
      <c r="AH167" t="n">
        <v>1</v>
      </c>
      <c r="AI167" t="n">
        <v>1</v>
      </c>
      <c r="AJ167" t="n">
        <v>6</v>
      </c>
      <c r="AK167" t="n">
        <v>6</v>
      </c>
      <c r="AL167" t="n">
        <v>4</v>
      </c>
      <c r="AM167" t="n">
        <v>4</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HYPERLINK("https://creighton-primo.hosted.exlibrisgroup.com/primo-explore/search?tab=default_tab&amp;search_scope=EVERYTHING&amp;vid=01CRU&amp;lang=en_US&amp;offset=0&amp;query=any,contains,991003331739702656","Catalog Record")</f>
        <v/>
      </c>
      <c r="AT167">
        <f>HYPERLINK("http://www.worldcat.org/oclc/43913127","WorldCat Record")</f>
        <v/>
      </c>
      <c r="AU167" t="inlineStr">
        <is>
          <t>4160963519:eng</t>
        </is>
      </c>
      <c r="AV167" t="inlineStr">
        <is>
          <t>43913127</t>
        </is>
      </c>
      <c r="AW167" t="inlineStr">
        <is>
          <t>991003331739702656</t>
        </is>
      </c>
      <c r="AX167" t="inlineStr">
        <is>
          <t>991003331739702656</t>
        </is>
      </c>
      <c r="AY167" t="inlineStr">
        <is>
          <t>2263972210002656</t>
        </is>
      </c>
      <c r="AZ167" t="inlineStr">
        <is>
          <t>BOOK</t>
        </is>
      </c>
      <c r="BB167" t="inlineStr">
        <is>
          <t>9780393321296</t>
        </is>
      </c>
      <c r="BC167" t="inlineStr">
        <is>
          <t>32285004265384</t>
        </is>
      </c>
      <c r="BD167" t="inlineStr">
        <is>
          <t>893717551</t>
        </is>
      </c>
    </row>
    <row r="168">
      <c r="A168" t="inlineStr">
        <is>
          <t>No</t>
        </is>
      </c>
      <c r="B168" t="inlineStr">
        <is>
          <t>RC1230 .L54 2006</t>
        </is>
      </c>
      <c r="C168" t="inlineStr">
        <is>
          <t>0                      RC 1230000L  54          2006</t>
        </is>
      </c>
      <c r="D168" t="inlineStr">
        <is>
          <t>Muscles, speed &amp; lies : what the sport supplement industry does not want athletes or consumers to know / David Lightsey.</t>
        </is>
      </c>
      <c r="F168" t="inlineStr">
        <is>
          <t>No</t>
        </is>
      </c>
      <c r="G168" t="inlineStr">
        <is>
          <t>1</t>
        </is>
      </c>
      <c r="H168" t="inlineStr">
        <is>
          <t>No</t>
        </is>
      </c>
      <c r="I168" t="inlineStr">
        <is>
          <t>No</t>
        </is>
      </c>
      <c r="J168" t="inlineStr">
        <is>
          <t>0</t>
        </is>
      </c>
      <c r="K168" t="inlineStr">
        <is>
          <t>Lightsey, David.</t>
        </is>
      </c>
      <c r="L168" t="inlineStr">
        <is>
          <t>Guilford, Conn. : Lyons Press, c2006.</t>
        </is>
      </c>
      <c r="M168" t="inlineStr">
        <is>
          <t>2006</t>
        </is>
      </c>
      <c r="O168" t="inlineStr">
        <is>
          <t>eng</t>
        </is>
      </c>
      <c r="P168" t="inlineStr">
        <is>
          <t>ctu</t>
        </is>
      </c>
      <c r="R168" t="inlineStr">
        <is>
          <t xml:space="preserve">RC </t>
        </is>
      </c>
      <c r="S168" t="n">
        <v>4</v>
      </c>
      <c r="T168" t="n">
        <v>4</v>
      </c>
      <c r="U168" t="inlineStr">
        <is>
          <t>2010-08-04</t>
        </is>
      </c>
      <c r="V168" t="inlineStr">
        <is>
          <t>2010-08-04</t>
        </is>
      </c>
      <c r="W168" t="inlineStr">
        <is>
          <t>2007-12-18</t>
        </is>
      </c>
      <c r="X168" t="inlineStr">
        <is>
          <t>2007-12-18</t>
        </is>
      </c>
      <c r="Y168" t="n">
        <v>214</v>
      </c>
      <c r="Z168" t="n">
        <v>180</v>
      </c>
      <c r="AA168" t="n">
        <v>181</v>
      </c>
      <c r="AB168" t="n">
        <v>3</v>
      </c>
      <c r="AC168" t="n">
        <v>3</v>
      </c>
      <c r="AD168" t="n">
        <v>4</v>
      </c>
      <c r="AE168" t="n">
        <v>4</v>
      </c>
      <c r="AF168" t="n">
        <v>1</v>
      </c>
      <c r="AG168" t="n">
        <v>1</v>
      </c>
      <c r="AH168" t="n">
        <v>0</v>
      </c>
      <c r="AI168" t="n">
        <v>0</v>
      </c>
      <c r="AJ168" t="n">
        <v>1</v>
      </c>
      <c r="AK168" t="n">
        <v>1</v>
      </c>
      <c r="AL168" t="n">
        <v>2</v>
      </c>
      <c r="AM168" t="n">
        <v>2</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HYPERLINK("https://creighton-primo.hosted.exlibrisgroup.com/primo-explore/search?tab=default_tab&amp;search_scope=EVERYTHING&amp;vid=01CRU&amp;lang=en_US&amp;offset=0&amp;query=any,contains,991005132689702656","Catalog Record")</f>
        <v/>
      </c>
      <c r="AT168">
        <f>HYPERLINK("http://www.worldcat.org/oclc/70114642","WorldCat Record")</f>
        <v/>
      </c>
      <c r="AU168" t="inlineStr">
        <is>
          <t>307132548:eng</t>
        </is>
      </c>
      <c r="AV168" t="inlineStr">
        <is>
          <t>70114642</t>
        </is>
      </c>
      <c r="AW168" t="inlineStr">
        <is>
          <t>991005132689702656</t>
        </is>
      </c>
      <c r="AX168" t="inlineStr">
        <is>
          <t>991005132689702656</t>
        </is>
      </c>
      <c r="AY168" t="inlineStr">
        <is>
          <t>2269566600002656</t>
        </is>
      </c>
      <c r="AZ168" t="inlineStr">
        <is>
          <t>BOOK</t>
        </is>
      </c>
      <c r="BB168" t="inlineStr">
        <is>
          <t>9781592289127</t>
        </is>
      </c>
      <c r="BC168" t="inlineStr">
        <is>
          <t>32285005373757</t>
        </is>
      </c>
      <c r="BD168" t="inlineStr">
        <is>
          <t>893801783</t>
        </is>
      </c>
    </row>
    <row r="169">
      <c r="A169" t="inlineStr">
        <is>
          <t>No</t>
        </is>
      </c>
      <c r="B169" t="inlineStr">
        <is>
          <t>RC1230 .M645 2010</t>
        </is>
      </c>
      <c r="C169" t="inlineStr">
        <is>
          <t>0                      RC 1230000M  645         2010</t>
        </is>
      </c>
      <c r="D169" t="inlineStr">
        <is>
          <t>The ethics of doping and anti-doping : redeeming the soul of sport? / Verner Møller.</t>
        </is>
      </c>
      <c r="F169" t="inlineStr">
        <is>
          <t>No</t>
        </is>
      </c>
      <c r="G169" t="inlineStr">
        <is>
          <t>1</t>
        </is>
      </c>
      <c r="H169" t="inlineStr">
        <is>
          <t>No</t>
        </is>
      </c>
      <c r="I169" t="inlineStr">
        <is>
          <t>No</t>
        </is>
      </c>
      <c r="J169" t="inlineStr">
        <is>
          <t>0</t>
        </is>
      </c>
      <c r="K169" t="inlineStr">
        <is>
          <t>Møller, Verner.</t>
        </is>
      </c>
      <c r="L169" t="inlineStr">
        <is>
          <t>London ; New York : Routledge, 2010.</t>
        </is>
      </c>
      <c r="M169" t="inlineStr">
        <is>
          <t>2010</t>
        </is>
      </c>
      <c r="O169" t="inlineStr">
        <is>
          <t>eng</t>
        </is>
      </c>
      <c r="P169" t="inlineStr">
        <is>
          <t>enk</t>
        </is>
      </c>
      <c r="Q169" t="inlineStr">
        <is>
          <t>Ethics and sport</t>
        </is>
      </c>
      <c r="R169" t="inlineStr">
        <is>
          <t xml:space="preserve">RC </t>
        </is>
      </c>
      <c r="S169" t="n">
        <v>1</v>
      </c>
      <c r="T169" t="n">
        <v>1</v>
      </c>
      <c r="U169" t="inlineStr">
        <is>
          <t>2010-05-25</t>
        </is>
      </c>
      <c r="V169" t="inlineStr">
        <is>
          <t>2010-05-25</t>
        </is>
      </c>
      <c r="W169" t="inlineStr">
        <is>
          <t>2010-05-25</t>
        </is>
      </c>
      <c r="X169" t="inlineStr">
        <is>
          <t>2010-05-25</t>
        </is>
      </c>
      <c r="Y169" t="n">
        <v>457</v>
      </c>
      <c r="Z169" t="n">
        <v>375</v>
      </c>
      <c r="AA169" t="n">
        <v>460</v>
      </c>
      <c r="AB169" t="n">
        <v>2</v>
      </c>
      <c r="AC169" t="n">
        <v>2</v>
      </c>
      <c r="AD169" t="n">
        <v>12</v>
      </c>
      <c r="AE169" t="n">
        <v>15</v>
      </c>
      <c r="AF169" t="n">
        <v>6</v>
      </c>
      <c r="AG169" t="n">
        <v>6</v>
      </c>
      <c r="AH169" t="n">
        <v>3</v>
      </c>
      <c r="AI169" t="n">
        <v>4</v>
      </c>
      <c r="AJ169" t="n">
        <v>4</v>
      </c>
      <c r="AK169" t="n">
        <v>5</v>
      </c>
      <c r="AL169" t="n">
        <v>1</v>
      </c>
      <c r="AM169" t="n">
        <v>1</v>
      </c>
      <c r="AN169" t="n">
        <v>1</v>
      </c>
      <c r="AO169" t="n">
        <v>2</v>
      </c>
      <c r="AP169" t="inlineStr">
        <is>
          <t>No</t>
        </is>
      </c>
      <c r="AQ169" t="inlineStr">
        <is>
          <t>No</t>
        </is>
      </c>
      <c r="AS169">
        <f>HYPERLINK("https://creighton-primo.hosted.exlibrisgroup.com/primo-explore/search?tab=default_tab&amp;search_scope=EVERYTHING&amp;vid=01CRU&amp;lang=en_US&amp;offset=0&amp;query=any,contains,991005395059702656","Catalog Record")</f>
        <v/>
      </c>
      <c r="AT169">
        <f>HYPERLINK("http://www.worldcat.org/oclc/237880850","WorldCat Record")</f>
        <v/>
      </c>
      <c r="AU169" t="inlineStr">
        <is>
          <t>796432394:eng</t>
        </is>
      </c>
      <c r="AV169" t="inlineStr">
        <is>
          <t>237880850</t>
        </is>
      </c>
      <c r="AW169" t="inlineStr">
        <is>
          <t>991005395059702656</t>
        </is>
      </c>
      <c r="AX169" t="inlineStr">
        <is>
          <t>991005395059702656</t>
        </is>
      </c>
      <c r="AY169" t="inlineStr">
        <is>
          <t>2260942700002656</t>
        </is>
      </c>
      <c r="AZ169" t="inlineStr">
        <is>
          <t>BOOK</t>
        </is>
      </c>
      <c r="BB169" t="inlineStr">
        <is>
          <t>9780415484657</t>
        </is>
      </c>
      <c r="BC169" t="inlineStr">
        <is>
          <t>32285005585889</t>
        </is>
      </c>
      <c r="BD169" t="inlineStr">
        <is>
          <t>893613638</t>
        </is>
      </c>
    </row>
    <row r="170">
      <c r="A170" t="inlineStr">
        <is>
          <t>No</t>
        </is>
      </c>
      <c r="B170" t="inlineStr">
        <is>
          <t>RC1230 .U544 2001</t>
        </is>
      </c>
      <c r="C170" t="inlineStr">
        <is>
          <t>0                      RC 1230000U  544         2001</t>
        </is>
      </c>
      <c r="D170" t="inlineStr">
        <is>
          <t>Faust's gold : inside the East German doping machine / Steven Ungerleider.</t>
        </is>
      </c>
      <c r="F170" t="inlineStr">
        <is>
          <t>No</t>
        </is>
      </c>
      <c r="G170" t="inlineStr">
        <is>
          <t>1</t>
        </is>
      </c>
      <c r="H170" t="inlineStr">
        <is>
          <t>No</t>
        </is>
      </c>
      <c r="I170" t="inlineStr">
        <is>
          <t>No</t>
        </is>
      </c>
      <c r="J170" t="inlineStr">
        <is>
          <t>0</t>
        </is>
      </c>
      <c r="K170" t="inlineStr">
        <is>
          <t>Ungerleider, Steven.</t>
        </is>
      </c>
      <c r="L170" t="inlineStr">
        <is>
          <t>New York : Thomas Dunne Books/St. Martin's Press, 2001.</t>
        </is>
      </c>
      <c r="M170" t="inlineStr">
        <is>
          <t>2001</t>
        </is>
      </c>
      <c r="N170" t="inlineStr">
        <is>
          <t>1st ed.</t>
        </is>
      </c>
      <c r="O170" t="inlineStr">
        <is>
          <t>eng</t>
        </is>
      </c>
      <c r="P170" t="inlineStr">
        <is>
          <t>nyu</t>
        </is>
      </c>
      <c r="R170" t="inlineStr">
        <is>
          <t xml:space="preserve">RC </t>
        </is>
      </c>
      <c r="S170" t="n">
        <v>6</v>
      </c>
      <c r="T170" t="n">
        <v>6</v>
      </c>
      <c r="U170" t="inlineStr">
        <is>
          <t>2006-10-03</t>
        </is>
      </c>
      <c r="V170" t="inlineStr">
        <is>
          <t>2006-10-03</t>
        </is>
      </c>
      <c r="W170" t="inlineStr">
        <is>
          <t>2002-02-20</t>
        </is>
      </c>
      <c r="X170" t="inlineStr">
        <is>
          <t>2002-02-20</t>
        </is>
      </c>
      <c r="Y170" t="n">
        <v>422</v>
      </c>
      <c r="Z170" t="n">
        <v>374</v>
      </c>
      <c r="AA170" t="n">
        <v>385</v>
      </c>
      <c r="AB170" t="n">
        <v>4</v>
      </c>
      <c r="AC170" t="n">
        <v>4</v>
      </c>
      <c r="AD170" t="n">
        <v>11</v>
      </c>
      <c r="AE170" t="n">
        <v>11</v>
      </c>
      <c r="AF170" t="n">
        <v>4</v>
      </c>
      <c r="AG170" t="n">
        <v>4</v>
      </c>
      <c r="AH170" t="n">
        <v>3</v>
      </c>
      <c r="AI170" t="n">
        <v>3</v>
      </c>
      <c r="AJ170" t="n">
        <v>3</v>
      </c>
      <c r="AK170" t="n">
        <v>3</v>
      </c>
      <c r="AL170" t="n">
        <v>3</v>
      </c>
      <c r="AM170" t="n">
        <v>3</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HYPERLINK("https://creighton-primo.hosted.exlibrisgroup.com/primo-explore/search?tab=default_tab&amp;search_scope=EVERYTHING&amp;vid=01CRU&amp;lang=en_US&amp;offset=0&amp;query=any,contains,991003729259702656","Catalog Record")</f>
        <v/>
      </c>
      <c r="AT170">
        <f>HYPERLINK("http://www.worldcat.org/oclc/45917042","WorldCat Record")</f>
        <v/>
      </c>
      <c r="AU170" t="inlineStr">
        <is>
          <t>367095449:eng</t>
        </is>
      </c>
      <c r="AV170" t="inlineStr">
        <is>
          <t>45917042</t>
        </is>
      </c>
      <c r="AW170" t="inlineStr">
        <is>
          <t>991003729259702656</t>
        </is>
      </c>
      <c r="AX170" t="inlineStr">
        <is>
          <t>991003729259702656</t>
        </is>
      </c>
      <c r="AY170" t="inlineStr">
        <is>
          <t>2270091130002656</t>
        </is>
      </c>
      <c r="AZ170" t="inlineStr">
        <is>
          <t>BOOK</t>
        </is>
      </c>
      <c r="BB170" t="inlineStr">
        <is>
          <t>9780312269777</t>
        </is>
      </c>
      <c r="BC170" t="inlineStr">
        <is>
          <t>32285004455191</t>
        </is>
      </c>
      <c r="BD170" t="inlineStr">
        <is>
          <t>893330711</t>
        </is>
      </c>
    </row>
    <row r="171">
      <c r="A171" t="inlineStr">
        <is>
          <t>No</t>
        </is>
      </c>
      <c r="B171" t="inlineStr">
        <is>
          <t>RC1230 .V68 1991</t>
        </is>
      </c>
      <c r="C171" t="inlineStr">
        <is>
          <t>0                      RC 1230000V  68          1991</t>
        </is>
      </c>
      <c r="D171" t="inlineStr">
        <is>
          <t>Drugs, sport, and politics / Robert Voy with Kirk D. Deeter.</t>
        </is>
      </c>
      <c r="F171" t="inlineStr">
        <is>
          <t>No</t>
        </is>
      </c>
      <c r="G171" t="inlineStr">
        <is>
          <t>1</t>
        </is>
      </c>
      <c r="H171" t="inlineStr">
        <is>
          <t>No</t>
        </is>
      </c>
      <c r="I171" t="inlineStr">
        <is>
          <t>No</t>
        </is>
      </c>
      <c r="J171" t="inlineStr">
        <is>
          <t>0</t>
        </is>
      </c>
      <c r="K171" t="inlineStr">
        <is>
          <t>Voy, Robert O., 1933-</t>
        </is>
      </c>
      <c r="L171" t="inlineStr">
        <is>
          <t>Champaign, Ill. : Leisure Press, c1991.</t>
        </is>
      </c>
      <c r="M171" t="inlineStr">
        <is>
          <t>1991</t>
        </is>
      </c>
      <c r="O171" t="inlineStr">
        <is>
          <t>eng</t>
        </is>
      </c>
      <c r="P171" t="inlineStr">
        <is>
          <t>ilu</t>
        </is>
      </c>
      <c r="R171" t="inlineStr">
        <is>
          <t xml:space="preserve">RC </t>
        </is>
      </c>
      <c r="S171" t="n">
        <v>37</v>
      </c>
      <c r="T171" t="n">
        <v>37</v>
      </c>
      <c r="U171" t="inlineStr">
        <is>
          <t>2008-11-11</t>
        </is>
      </c>
      <c r="V171" t="inlineStr">
        <is>
          <t>2008-11-11</t>
        </is>
      </c>
      <c r="W171" t="inlineStr">
        <is>
          <t>1991-04-17</t>
        </is>
      </c>
      <c r="X171" t="inlineStr">
        <is>
          <t>1991-04-17</t>
        </is>
      </c>
      <c r="Y171" t="n">
        <v>879</v>
      </c>
      <c r="Z171" t="n">
        <v>726</v>
      </c>
      <c r="AA171" t="n">
        <v>736</v>
      </c>
      <c r="AB171" t="n">
        <v>12</v>
      </c>
      <c r="AC171" t="n">
        <v>12</v>
      </c>
      <c r="AD171" t="n">
        <v>20</v>
      </c>
      <c r="AE171" t="n">
        <v>20</v>
      </c>
      <c r="AF171" t="n">
        <v>5</v>
      </c>
      <c r="AG171" t="n">
        <v>5</v>
      </c>
      <c r="AH171" t="n">
        <v>2</v>
      </c>
      <c r="AI171" t="n">
        <v>2</v>
      </c>
      <c r="AJ171" t="n">
        <v>9</v>
      </c>
      <c r="AK171" t="n">
        <v>9</v>
      </c>
      <c r="AL171" t="n">
        <v>8</v>
      </c>
      <c r="AM171" t="n">
        <v>8</v>
      </c>
      <c r="AN171" t="n">
        <v>1</v>
      </c>
      <c r="AO171" t="n">
        <v>1</v>
      </c>
      <c r="AP171" t="inlineStr">
        <is>
          <t>No</t>
        </is>
      </c>
      <c r="AQ171" t="inlineStr">
        <is>
          <t>Yes</t>
        </is>
      </c>
      <c r="AR171">
        <f>HYPERLINK("http://catalog.hathitrust.org/Record/002432667","HathiTrust Record")</f>
        <v/>
      </c>
      <c r="AS171">
        <f>HYPERLINK("https://creighton-primo.hosted.exlibrisgroup.com/primo-explore/search?tab=default_tab&amp;search_scope=EVERYTHING&amp;vid=01CRU&amp;lang=en_US&amp;offset=0&amp;query=any,contains,991001723939702656","Catalog Record")</f>
        <v/>
      </c>
      <c r="AT171">
        <f>HYPERLINK("http://www.worldcat.org/oclc/21873349","WorldCat Record")</f>
        <v/>
      </c>
      <c r="AU171" t="inlineStr">
        <is>
          <t>23234002:eng</t>
        </is>
      </c>
      <c r="AV171" t="inlineStr">
        <is>
          <t>21873349</t>
        </is>
      </c>
      <c r="AW171" t="inlineStr">
        <is>
          <t>991001723939702656</t>
        </is>
      </c>
      <c r="AX171" t="inlineStr">
        <is>
          <t>991001723939702656</t>
        </is>
      </c>
      <c r="AY171" t="inlineStr">
        <is>
          <t>2268938330002656</t>
        </is>
      </c>
      <c r="AZ171" t="inlineStr">
        <is>
          <t>BOOK</t>
        </is>
      </c>
      <c r="BB171" t="inlineStr">
        <is>
          <t>9780880114097</t>
        </is>
      </c>
      <c r="BC171" t="inlineStr">
        <is>
          <t>32285000568120</t>
        </is>
      </c>
      <c r="BD171" t="inlineStr">
        <is>
          <t>893420537</t>
        </is>
      </c>
    </row>
    <row r="172">
      <c r="A172" t="inlineStr">
        <is>
          <t>No</t>
        </is>
      </c>
      <c r="B172" t="inlineStr">
        <is>
          <t>RC1230 .W54</t>
        </is>
      </c>
      <c r="C172" t="inlineStr">
        <is>
          <t>0                      RC 1230000W  54</t>
        </is>
      </c>
      <c r="D172" t="inlineStr">
        <is>
          <t>Drugs and athletic performance / by Melvin H. Williams.</t>
        </is>
      </c>
      <c r="F172" t="inlineStr">
        <is>
          <t>No</t>
        </is>
      </c>
      <c r="G172" t="inlineStr">
        <is>
          <t>1</t>
        </is>
      </c>
      <c r="H172" t="inlineStr">
        <is>
          <t>No</t>
        </is>
      </c>
      <c r="I172" t="inlineStr">
        <is>
          <t>No</t>
        </is>
      </c>
      <c r="J172" t="inlineStr">
        <is>
          <t>0</t>
        </is>
      </c>
      <c r="K172" t="inlineStr">
        <is>
          <t>Williams, Melvin H.</t>
        </is>
      </c>
      <c r="L172" t="inlineStr">
        <is>
          <t>Springfield, Ill. : Thomas, 1974.</t>
        </is>
      </c>
      <c r="M172" t="inlineStr">
        <is>
          <t>1974</t>
        </is>
      </c>
      <c r="O172" t="inlineStr">
        <is>
          <t>eng</t>
        </is>
      </c>
      <c r="P172" t="inlineStr">
        <is>
          <t>ilu</t>
        </is>
      </c>
      <c r="R172" t="inlineStr">
        <is>
          <t xml:space="preserve">RC </t>
        </is>
      </c>
      <c r="S172" t="n">
        <v>33</v>
      </c>
      <c r="T172" t="n">
        <v>33</v>
      </c>
      <c r="U172" t="inlineStr">
        <is>
          <t>2007-11-07</t>
        </is>
      </c>
      <c r="V172" t="inlineStr">
        <is>
          <t>2007-11-07</t>
        </is>
      </c>
      <c r="W172" t="inlineStr">
        <is>
          <t>1991-11-21</t>
        </is>
      </c>
      <c r="X172" t="inlineStr">
        <is>
          <t>1991-11-21</t>
        </is>
      </c>
      <c r="Y172" t="n">
        <v>333</v>
      </c>
      <c r="Z172" t="n">
        <v>280</v>
      </c>
      <c r="AA172" t="n">
        <v>280</v>
      </c>
      <c r="AB172" t="n">
        <v>4</v>
      </c>
      <c r="AC172" t="n">
        <v>4</v>
      </c>
      <c r="AD172" t="n">
        <v>8</v>
      </c>
      <c r="AE172" t="n">
        <v>8</v>
      </c>
      <c r="AF172" t="n">
        <v>4</v>
      </c>
      <c r="AG172" t="n">
        <v>4</v>
      </c>
      <c r="AH172" t="n">
        <v>0</v>
      </c>
      <c r="AI172" t="n">
        <v>0</v>
      </c>
      <c r="AJ172" t="n">
        <v>3</v>
      </c>
      <c r="AK172" t="n">
        <v>3</v>
      </c>
      <c r="AL172" t="n">
        <v>3</v>
      </c>
      <c r="AM172" t="n">
        <v>3</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HYPERLINK("https://creighton-primo.hosted.exlibrisgroup.com/primo-explore/search?tab=default_tab&amp;search_scope=EVERYTHING&amp;vid=01CRU&amp;lang=en_US&amp;offset=0&amp;query=any,contains,991003224759702656","Catalog Record")</f>
        <v/>
      </c>
      <c r="AT172">
        <f>HYPERLINK("http://www.worldcat.org/oclc/749789","WorldCat Record")</f>
        <v/>
      </c>
      <c r="AU172" t="inlineStr">
        <is>
          <t>471503:eng</t>
        </is>
      </c>
      <c r="AV172" t="inlineStr">
        <is>
          <t>749789</t>
        </is>
      </c>
      <c r="AW172" t="inlineStr">
        <is>
          <t>991003224759702656</t>
        </is>
      </c>
      <c r="AX172" t="inlineStr">
        <is>
          <t>991003224759702656</t>
        </is>
      </c>
      <c r="AY172" t="inlineStr">
        <is>
          <t>2255419880002656</t>
        </is>
      </c>
      <c r="AZ172" t="inlineStr">
        <is>
          <t>BOOK</t>
        </is>
      </c>
      <c r="BB172" t="inlineStr">
        <is>
          <t>9780398030643</t>
        </is>
      </c>
      <c r="BC172" t="inlineStr">
        <is>
          <t>32285000843499</t>
        </is>
      </c>
      <c r="BD172" t="inlineStr">
        <is>
          <t>893336263</t>
        </is>
      </c>
    </row>
    <row r="173">
      <c r="A173" t="inlineStr">
        <is>
          <t>No</t>
        </is>
      </c>
      <c r="B173" t="inlineStr">
        <is>
          <t>RC1230 .W74 1978</t>
        </is>
      </c>
      <c r="C173" t="inlineStr">
        <is>
          <t>0                      RC 1230000W  74          1978</t>
        </is>
      </c>
      <c r="D173" t="inlineStr">
        <is>
          <t>Anabolic steroids and sports : a comprehensive, up-to-date summary and discussion of the scientific findings about the controversial drugs widely used to increase muscle size and strength / James E. Wright.</t>
        </is>
      </c>
      <c r="E173" t="inlineStr">
        <is>
          <t>V. 1</t>
        </is>
      </c>
      <c r="F173" t="inlineStr">
        <is>
          <t>Yes</t>
        </is>
      </c>
      <c r="G173" t="inlineStr">
        <is>
          <t>1</t>
        </is>
      </c>
      <c r="H173" t="inlineStr">
        <is>
          <t>No</t>
        </is>
      </c>
      <c r="I173" t="inlineStr">
        <is>
          <t>No</t>
        </is>
      </c>
      <c r="J173" t="inlineStr">
        <is>
          <t>0</t>
        </is>
      </c>
      <c r="K173" t="inlineStr">
        <is>
          <t>Wright, James Edward, 1946-</t>
        </is>
      </c>
      <c r="L173" t="inlineStr">
        <is>
          <t>Natick, Mass. : Sports Science Consultants, 1978-1982.</t>
        </is>
      </c>
      <c r="M173" t="inlineStr">
        <is>
          <t>1978</t>
        </is>
      </c>
      <c r="O173" t="inlineStr">
        <is>
          <t>eng</t>
        </is>
      </c>
      <c r="P173" t="inlineStr">
        <is>
          <t>mau</t>
        </is>
      </c>
      <c r="R173" t="inlineStr">
        <is>
          <t xml:space="preserve">RC </t>
        </is>
      </c>
      <c r="S173" t="n">
        <v>41</v>
      </c>
      <c r="T173" t="n">
        <v>41</v>
      </c>
      <c r="U173" t="inlineStr">
        <is>
          <t>2007-11-07</t>
        </is>
      </c>
      <c r="V173" t="inlineStr">
        <is>
          <t>2007-11-07</t>
        </is>
      </c>
      <c r="W173" t="inlineStr">
        <is>
          <t>1991-11-21</t>
        </is>
      </c>
      <c r="X173" t="inlineStr">
        <is>
          <t>1991-11-21</t>
        </is>
      </c>
      <c r="Y173" t="n">
        <v>29</v>
      </c>
      <c r="Z173" t="n">
        <v>28</v>
      </c>
      <c r="AA173" t="n">
        <v>68</v>
      </c>
      <c r="AB173" t="n">
        <v>1</v>
      </c>
      <c r="AC173" t="n">
        <v>1</v>
      </c>
      <c r="AD173" t="n">
        <v>0</v>
      </c>
      <c r="AE173" t="n">
        <v>1</v>
      </c>
      <c r="AF173" t="n">
        <v>0</v>
      </c>
      <c r="AG173" t="n">
        <v>1</v>
      </c>
      <c r="AH173" t="n">
        <v>0</v>
      </c>
      <c r="AI173" t="n">
        <v>0</v>
      </c>
      <c r="AJ173" t="n">
        <v>0</v>
      </c>
      <c r="AK173" t="n">
        <v>0</v>
      </c>
      <c r="AL173" t="n">
        <v>0</v>
      </c>
      <c r="AM173" t="n">
        <v>0</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HYPERLINK("https://creighton-primo.hosted.exlibrisgroup.com/primo-explore/search?tab=default_tab&amp;search_scope=EVERYTHING&amp;vid=01CRU&amp;lang=en_US&amp;offset=0&amp;query=any,contains,991000330399702656","Catalog Record")</f>
        <v/>
      </c>
      <c r="AT173">
        <f>HYPERLINK("http://www.worldcat.org/oclc/10198483","WorldCat Record")</f>
        <v/>
      </c>
      <c r="AU173" t="inlineStr">
        <is>
          <t>3620797:eng</t>
        </is>
      </c>
      <c r="AV173" t="inlineStr">
        <is>
          <t>10198483</t>
        </is>
      </c>
      <c r="AW173" t="inlineStr">
        <is>
          <t>991000330399702656</t>
        </is>
      </c>
      <c r="AX173" t="inlineStr">
        <is>
          <t>991000330399702656</t>
        </is>
      </c>
      <c r="AY173" t="inlineStr">
        <is>
          <t>2265417930002656</t>
        </is>
      </c>
      <c r="AZ173" t="inlineStr">
        <is>
          <t>BOOK</t>
        </is>
      </c>
      <c r="BB173" t="inlineStr">
        <is>
          <t>9780960930609</t>
        </is>
      </c>
      <c r="BC173" t="inlineStr">
        <is>
          <t>32285000843481</t>
        </is>
      </c>
      <c r="BD173" t="inlineStr">
        <is>
          <t>893231036</t>
        </is>
      </c>
    </row>
    <row r="174">
      <c r="A174" t="inlineStr">
        <is>
          <t>No</t>
        </is>
      </c>
      <c r="B174" t="inlineStr">
        <is>
          <t>RC1230 .Y47 1998</t>
        </is>
      </c>
      <c r="C174" t="inlineStr">
        <is>
          <t>0                      RC 1230000Y  47          1998</t>
        </is>
      </c>
      <c r="D174" t="inlineStr">
        <is>
          <t>The steroids game / Charles E. Yesalis, Virginia S. Cowart.</t>
        </is>
      </c>
      <c r="F174" t="inlineStr">
        <is>
          <t>No</t>
        </is>
      </c>
      <c r="G174" t="inlineStr">
        <is>
          <t>1</t>
        </is>
      </c>
      <c r="H174" t="inlineStr">
        <is>
          <t>No</t>
        </is>
      </c>
      <c r="I174" t="inlineStr">
        <is>
          <t>No</t>
        </is>
      </c>
      <c r="J174" t="inlineStr">
        <is>
          <t>0</t>
        </is>
      </c>
      <c r="K174" t="inlineStr">
        <is>
          <t>Yesalis, Charles.</t>
        </is>
      </c>
      <c r="L174" t="inlineStr">
        <is>
          <t>Champaign, IL : Human Kinetics, c1998.</t>
        </is>
      </c>
      <c r="M174" t="inlineStr">
        <is>
          <t>1998</t>
        </is>
      </c>
      <c r="O174" t="inlineStr">
        <is>
          <t>eng</t>
        </is>
      </c>
      <c r="P174" t="inlineStr">
        <is>
          <t>ilu</t>
        </is>
      </c>
      <c r="R174" t="inlineStr">
        <is>
          <t xml:space="preserve">RC </t>
        </is>
      </c>
      <c r="S174" t="n">
        <v>30</v>
      </c>
      <c r="T174" t="n">
        <v>30</v>
      </c>
      <c r="U174" t="inlineStr">
        <is>
          <t>2010-02-06</t>
        </is>
      </c>
      <c r="V174" t="inlineStr">
        <is>
          <t>2010-02-06</t>
        </is>
      </c>
      <c r="W174" t="inlineStr">
        <is>
          <t>1998-07-20</t>
        </is>
      </c>
      <c r="X174" t="inlineStr">
        <is>
          <t>1998-07-20</t>
        </is>
      </c>
      <c r="Y174" t="n">
        <v>940</v>
      </c>
      <c r="Z174" t="n">
        <v>775</v>
      </c>
      <c r="AA174" t="n">
        <v>781</v>
      </c>
      <c r="AB174" t="n">
        <v>8</v>
      </c>
      <c r="AC174" t="n">
        <v>8</v>
      </c>
      <c r="AD174" t="n">
        <v>19</v>
      </c>
      <c r="AE174" t="n">
        <v>19</v>
      </c>
      <c r="AF174" t="n">
        <v>9</v>
      </c>
      <c r="AG174" t="n">
        <v>9</v>
      </c>
      <c r="AH174" t="n">
        <v>2</v>
      </c>
      <c r="AI174" t="n">
        <v>2</v>
      </c>
      <c r="AJ174" t="n">
        <v>8</v>
      </c>
      <c r="AK174" t="n">
        <v>8</v>
      </c>
      <c r="AL174" t="n">
        <v>4</v>
      </c>
      <c r="AM174" t="n">
        <v>4</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HYPERLINK("https://creighton-primo.hosted.exlibrisgroup.com/primo-explore/search?tab=default_tab&amp;search_scope=EVERYTHING&amp;vid=01CRU&amp;lang=en_US&amp;offset=0&amp;query=any,contains,991002879369702656","Catalog Record")</f>
        <v/>
      </c>
      <c r="AT174">
        <f>HYPERLINK("http://www.worldcat.org/oclc/37947231","WorldCat Record")</f>
        <v/>
      </c>
      <c r="AU174" t="inlineStr">
        <is>
          <t>645044:eng</t>
        </is>
      </c>
      <c r="AV174" t="inlineStr">
        <is>
          <t>37947231</t>
        </is>
      </c>
      <c r="AW174" t="inlineStr">
        <is>
          <t>991002879369702656</t>
        </is>
      </c>
      <c r="AX174" t="inlineStr">
        <is>
          <t>991002879369702656</t>
        </is>
      </c>
      <c r="AY174" t="inlineStr">
        <is>
          <t>2268280720002656</t>
        </is>
      </c>
      <c r="AZ174" t="inlineStr">
        <is>
          <t>BOOK</t>
        </is>
      </c>
      <c r="BB174" t="inlineStr">
        <is>
          <t>9780880114943</t>
        </is>
      </c>
      <c r="BC174" t="inlineStr">
        <is>
          <t>32285003433231</t>
        </is>
      </c>
      <c r="BD174" t="inlineStr">
        <is>
          <t>893692116</t>
        </is>
      </c>
    </row>
    <row r="175">
      <c r="A175" t="inlineStr">
        <is>
          <t>No</t>
        </is>
      </c>
      <c r="B175" t="inlineStr">
        <is>
          <t>RC1230 W73 1990c</t>
        </is>
      </c>
      <c r="C175" t="inlineStr">
        <is>
          <t>0                      RC 1230000W  73          1990c</t>
        </is>
      </c>
      <c r="D175" t="inlineStr">
        <is>
          <t>Anabolic steroids : altered states / James E. Wright, Virginia S. Cowart.</t>
        </is>
      </c>
      <c r="F175" t="inlineStr">
        <is>
          <t>No</t>
        </is>
      </c>
      <c r="G175" t="inlineStr">
        <is>
          <t>1</t>
        </is>
      </c>
      <c r="H175" t="inlineStr">
        <is>
          <t>No</t>
        </is>
      </c>
      <c r="I175" t="inlineStr">
        <is>
          <t>No</t>
        </is>
      </c>
      <c r="J175" t="inlineStr">
        <is>
          <t>0</t>
        </is>
      </c>
      <c r="K175" t="inlineStr">
        <is>
          <t>Wright, James Edward, 1946-</t>
        </is>
      </c>
      <c r="L175" t="inlineStr">
        <is>
          <t>Carmel, IA : Cooper Publishing Group, c1990.</t>
        </is>
      </c>
      <c r="M175" t="inlineStr">
        <is>
          <t>1990</t>
        </is>
      </c>
      <c r="O175" t="inlineStr">
        <is>
          <t>eng</t>
        </is>
      </c>
      <c r="P175" t="inlineStr">
        <is>
          <t>inu</t>
        </is>
      </c>
      <c r="R175" t="inlineStr">
        <is>
          <t xml:space="preserve">RC </t>
        </is>
      </c>
      <c r="S175" t="n">
        <v>31</v>
      </c>
      <c r="T175" t="n">
        <v>31</v>
      </c>
      <c r="U175" t="inlineStr">
        <is>
          <t>2010-09-21</t>
        </is>
      </c>
      <c r="V175" t="inlineStr">
        <is>
          <t>2010-09-21</t>
        </is>
      </c>
      <c r="W175" t="inlineStr">
        <is>
          <t>1995-03-19</t>
        </is>
      </c>
      <c r="X175" t="inlineStr">
        <is>
          <t>1995-03-19</t>
        </is>
      </c>
      <c r="Y175" t="n">
        <v>49</v>
      </c>
      <c r="Z175" t="n">
        <v>43</v>
      </c>
      <c r="AA175" t="n">
        <v>566</v>
      </c>
      <c r="AB175" t="n">
        <v>1</v>
      </c>
      <c r="AC175" t="n">
        <v>5</v>
      </c>
      <c r="AD175" t="n">
        <v>0</v>
      </c>
      <c r="AE175" t="n">
        <v>7</v>
      </c>
      <c r="AF175" t="n">
        <v>0</v>
      </c>
      <c r="AG175" t="n">
        <v>2</v>
      </c>
      <c r="AH175" t="n">
        <v>0</v>
      </c>
      <c r="AI175" t="n">
        <v>0</v>
      </c>
      <c r="AJ175" t="n">
        <v>0</v>
      </c>
      <c r="AK175" t="n">
        <v>2</v>
      </c>
      <c r="AL175" t="n">
        <v>0</v>
      </c>
      <c r="AM175" t="n">
        <v>3</v>
      </c>
      <c r="AN175" t="n">
        <v>0</v>
      </c>
      <c r="AO175" t="n">
        <v>0</v>
      </c>
      <c r="AP175" t="inlineStr">
        <is>
          <t>No</t>
        </is>
      </c>
      <c r="AQ175" t="inlineStr">
        <is>
          <t>Yes</t>
        </is>
      </c>
      <c r="AR175">
        <f>HYPERLINK("http://catalog.hathitrust.org/Record/007047379","HathiTrust Record")</f>
        <v/>
      </c>
      <c r="AS175">
        <f>HYPERLINK("https://creighton-primo.hosted.exlibrisgroup.com/primo-explore/search?tab=default_tab&amp;search_scope=EVERYTHING&amp;vid=01CRU&amp;lang=en_US&amp;offset=0&amp;query=any,contains,991002254049702656","Catalog Record")</f>
        <v/>
      </c>
      <c r="AT175">
        <f>HYPERLINK("http://www.worldcat.org/oclc/29212092","WorldCat Record")</f>
        <v/>
      </c>
      <c r="AU175" t="inlineStr">
        <is>
          <t>24403366:eng</t>
        </is>
      </c>
      <c r="AV175" t="inlineStr">
        <is>
          <t>29212092</t>
        </is>
      </c>
      <c r="AW175" t="inlineStr">
        <is>
          <t>991002254049702656</t>
        </is>
      </c>
      <c r="AX175" t="inlineStr">
        <is>
          <t>991002254049702656</t>
        </is>
      </c>
      <c r="AY175" t="inlineStr">
        <is>
          <t>2266648180002656</t>
        </is>
      </c>
      <c r="AZ175" t="inlineStr">
        <is>
          <t>BOOK</t>
        </is>
      </c>
      <c r="BB175" t="inlineStr">
        <is>
          <t>9781884125034</t>
        </is>
      </c>
      <c r="BC175" t="inlineStr">
        <is>
          <t>32285002002763</t>
        </is>
      </c>
      <c r="BD175" t="inlineStr">
        <is>
          <t>893898540</t>
        </is>
      </c>
    </row>
    <row r="176">
      <c r="A176" t="inlineStr">
        <is>
          <t>No</t>
        </is>
      </c>
      <c r="B176" t="inlineStr">
        <is>
          <t>RC1235 .A335 1995</t>
        </is>
      </c>
      <c r="C176" t="inlineStr">
        <is>
          <t>0                      RC 1235000A  335         1995</t>
        </is>
      </c>
      <c r="D176" t="inlineStr">
        <is>
          <t>Adaptation in sports training / Atko Viru.</t>
        </is>
      </c>
      <c r="F176" t="inlineStr">
        <is>
          <t>No</t>
        </is>
      </c>
      <c r="G176" t="inlineStr">
        <is>
          <t>1</t>
        </is>
      </c>
      <c r="H176" t="inlineStr">
        <is>
          <t>No</t>
        </is>
      </c>
      <c r="I176" t="inlineStr">
        <is>
          <t>No</t>
        </is>
      </c>
      <c r="J176" t="inlineStr">
        <is>
          <t>0</t>
        </is>
      </c>
      <c r="K176" t="inlineStr">
        <is>
          <t>Viru, A. A.</t>
        </is>
      </c>
      <c r="L176" t="inlineStr">
        <is>
          <t>Boca Raton, Fla. : CRC Press, c1995.</t>
        </is>
      </c>
      <c r="M176" t="inlineStr">
        <is>
          <t>1995</t>
        </is>
      </c>
      <c r="O176" t="inlineStr">
        <is>
          <t>eng</t>
        </is>
      </c>
      <c r="P176" t="inlineStr">
        <is>
          <t>flu</t>
        </is>
      </c>
      <c r="R176" t="inlineStr">
        <is>
          <t xml:space="preserve">RC </t>
        </is>
      </c>
      <c r="S176" t="n">
        <v>7</v>
      </c>
      <c r="T176" t="n">
        <v>7</v>
      </c>
      <c r="U176" t="inlineStr">
        <is>
          <t>2000-02-04</t>
        </is>
      </c>
      <c r="V176" t="inlineStr">
        <is>
          <t>2000-02-04</t>
        </is>
      </c>
      <c r="W176" t="inlineStr">
        <is>
          <t>1995-11-14</t>
        </is>
      </c>
      <c r="X176" t="inlineStr">
        <is>
          <t>1995-11-14</t>
        </is>
      </c>
      <c r="Y176" t="n">
        <v>237</v>
      </c>
      <c r="Z176" t="n">
        <v>171</v>
      </c>
      <c r="AA176" t="n">
        <v>198</v>
      </c>
      <c r="AB176" t="n">
        <v>2</v>
      </c>
      <c r="AC176" t="n">
        <v>2</v>
      </c>
      <c r="AD176" t="n">
        <v>5</v>
      </c>
      <c r="AE176" t="n">
        <v>5</v>
      </c>
      <c r="AF176" t="n">
        <v>3</v>
      </c>
      <c r="AG176" t="n">
        <v>3</v>
      </c>
      <c r="AH176" t="n">
        <v>1</v>
      </c>
      <c r="AI176" t="n">
        <v>1</v>
      </c>
      <c r="AJ176" t="n">
        <v>1</v>
      </c>
      <c r="AK176" t="n">
        <v>1</v>
      </c>
      <c r="AL176" t="n">
        <v>1</v>
      </c>
      <c r="AM176" t="n">
        <v>1</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HYPERLINK("https://creighton-primo.hosted.exlibrisgroup.com/primo-explore/search?tab=default_tab&amp;search_scope=EVERYTHING&amp;vid=01CRU&amp;lang=en_US&amp;offset=0&amp;query=any,contains,991002343009702656","Catalog Record")</f>
        <v/>
      </c>
      <c r="AT176">
        <f>HYPERLINK("http://www.worldcat.org/oclc/30510816","WorldCat Record")</f>
        <v/>
      </c>
      <c r="AU176" t="inlineStr">
        <is>
          <t>32172766:eng</t>
        </is>
      </c>
      <c r="AV176" t="inlineStr">
        <is>
          <t>30510816</t>
        </is>
      </c>
      <c r="AW176" t="inlineStr">
        <is>
          <t>991002343009702656</t>
        </is>
      </c>
      <c r="AX176" t="inlineStr">
        <is>
          <t>991002343009702656</t>
        </is>
      </c>
      <c r="AY176" t="inlineStr">
        <is>
          <t>2254902880002656</t>
        </is>
      </c>
      <c r="AZ176" t="inlineStr">
        <is>
          <t>BOOK</t>
        </is>
      </c>
      <c r="BB176" t="inlineStr">
        <is>
          <t>9780849301711</t>
        </is>
      </c>
      <c r="BC176" t="inlineStr">
        <is>
          <t>32285002102621</t>
        </is>
      </c>
      <c r="BD176" t="inlineStr">
        <is>
          <t>893786022</t>
        </is>
      </c>
    </row>
    <row r="177">
      <c r="A177" t="inlineStr">
        <is>
          <t>No</t>
        </is>
      </c>
      <c r="B177" t="inlineStr">
        <is>
          <t>RC1235 .B548 1989, v...</t>
        </is>
      </c>
      <c r="C177" t="inlineStr">
        <is>
          <t>0                      RC 1235000B  548         1989                                        v...</t>
        </is>
      </c>
      <c r="D177" t="inlineStr">
        <is>
          <t>Biomechanics of sport / editor, Christopher L. Vaughan.</t>
        </is>
      </c>
      <c r="E177" t="inlineStr">
        <is>
          <t>V. 1</t>
        </is>
      </c>
      <c r="F177" t="inlineStr">
        <is>
          <t>No</t>
        </is>
      </c>
      <c r="G177" t="inlineStr">
        <is>
          <t>1</t>
        </is>
      </c>
      <c r="H177" t="inlineStr">
        <is>
          <t>No</t>
        </is>
      </c>
      <c r="I177" t="inlineStr">
        <is>
          <t>No</t>
        </is>
      </c>
      <c r="J177" t="inlineStr">
        <is>
          <t>0</t>
        </is>
      </c>
      <c r="L177" t="inlineStr">
        <is>
          <t>Boca Raton, Fla. : CRC Press, c1989-</t>
        </is>
      </c>
      <c r="M177" t="inlineStr">
        <is>
          <t>1989</t>
        </is>
      </c>
      <c r="O177" t="inlineStr">
        <is>
          <t>eng</t>
        </is>
      </c>
      <c r="P177" t="inlineStr">
        <is>
          <t>flu</t>
        </is>
      </c>
      <c r="R177" t="inlineStr">
        <is>
          <t xml:space="preserve">RC </t>
        </is>
      </c>
      <c r="S177" t="n">
        <v>11</v>
      </c>
      <c r="T177" t="n">
        <v>11</v>
      </c>
      <c r="U177" t="inlineStr">
        <is>
          <t>2001-09-18</t>
        </is>
      </c>
      <c r="V177" t="inlineStr">
        <is>
          <t>2001-09-18</t>
        </is>
      </c>
      <c r="W177" t="inlineStr">
        <is>
          <t>1990-10-26</t>
        </is>
      </c>
      <c r="X177" t="inlineStr">
        <is>
          <t>1990-10-26</t>
        </is>
      </c>
      <c r="Y177" t="n">
        <v>425</v>
      </c>
      <c r="Z177" t="n">
        <v>343</v>
      </c>
      <c r="AA177" t="n">
        <v>366</v>
      </c>
      <c r="AB177" t="n">
        <v>6</v>
      </c>
      <c r="AC177" t="n">
        <v>6</v>
      </c>
      <c r="AD177" t="n">
        <v>11</v>
      </c>
      <c r="AE177" t="n">
        <v>11</v>
      </c>
      <c r="AF177" t="n">
        <v>4</v>
      </c>
      <c r="AG177" t="n">
        <v>4</v>
      </c>
      <c r="AH177" t="n">
        <v>2</v>
      </c>
      <c r="AI177" t="n">
        <v>2</v>
      </c>
      <c r="AJ177" t="n">
        <v>4</v>
      </c>
      <c r="AK177" t="n">
        <v>4</v>
      </c>
      <c r="AL177" t="n">
        <v>4</v>
      </c>
      <c r="AM177" t="n">
        <v>4</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HYPERLINK("https://creighton-primo.hosted.exlibrisgroup.com/primo-explore/search?tab=default_tab&amp;search_scope=EVERYTHING&amp;vid=01CRU&amp;lang=en_US&amp;offset=0&amp;query=any,contains,991001188969702656","Catalog Record")</f>
        <v/>
      </c>
      <c r="AT177">
        <f>HYPERLINK("http://www.worldcat.org/oclc/17234151","WorldCat Record")</f>
        <v/>
      </c>
      <c r="AU177" t="inlineStr">
        <is>
          <t>55044427:eng</t>
        </is>
      </c>
      <c r="AV177" t="inlineStr">
        <is>
          <t>17234151</t>
        </is>
      </c>
      <c r="AW177" t="inlineStr">
        <is>
          <t>991001188969702656</t>
        </is>
      </c>
      <c r="AX177" t="inlineStr">
        <is>
          <t>991001188969702656</t>
        </is>
      </c>
      <c r="AY177" t="inlineStr">
        <is>
          <t>2271839680002656</t>
        </is>
      </c>
      <c r="AZ177" t="inlineStr">
        <is>
          <t>BOOK</t>
        </is>
      </c>
      <c r="BB177" t="inlineStr">
        <is>
          <t>9780849368219</t>
        </is>
      </c>
      <c r="BC177" t="inlineStr">
        <is>
          <t>32285000312198</t>
        </is>
      </c>
      <c r="BD177" t="inlineStr">
        <is>
          <t>893872357</t>
        </is>
      </c>
    </row>
    <row r="178">
      <c r="A178" t="inlineStr">
        <is>
          <t>No</t>
        </is>
      </c>
      <c r="B178" t="inlineStr">
        <is>
          <t>RC1235 .B73 1984</t>
        </is>
      </c>
      <c r="C178" t="inlineStr">
        <is>
          <t>0                      RC 1235000B  73          1984</t>
        </is>
      </c>
      <c r="D178" t="inlineStr">
        <is>
          <t>SportScience : physical laws and optimum performance / Peter J. Brancazio.</t>
        </is>
      </c>
      <c r="F178" t="inlineStr">
        <is>
          <t>No</t>
        </is>
      </c>
      <c r="G178" t="inlineStr">
        <is>
          <t>1</t>
        </is>
      </c>
      <c r="H178" t="inlineStr">
        <is>
          <t>No</t>
        </is>
      </c>
      <c r="I178" t="inlineStr">
        <is>
          <t>No</t>
        </is>
      </c>
      <c r="J178" t="inlineStr">
        <is>
          <t>0</t>
        </is>
      </c>
      <c r="K178" t="inlineStr">
        <is>
          <t>Brancazio, Peter J.</t>
        </is>
      </c>
      <c r="L178" t="inlineStr">
        <is>
          <t>New York : Simon and Schuster, c1984.</t>
        </is>
      </c>
      <c r="M178" t="inlineStr">
        <is>
          <t>1984</t>
        </is>
      </c>
      <c r="O178" t="inlineStr">
        <is>
          <t>eng</t>
        </is>
      </c>
      <c r="P178" t="inlineStr">
        <is>
          <t>nyu</t>
        </is>
      </c>
      <c r="R178" t="inlineStr">
        <is>
          <t xml:space="preserve">RC </t>
        </is>
      </c>
      <c r="S178" t="n">
        <v>13</v>
      </c>
      <c r="T178" t="n">
        <v>13</v>
      </c>
      <c r="U178" t="inlineStr">
        <is>
          <t>2008-07-31</t>
        </is>
      </c>
      <c r="V178" t="inlineStr">
        <is>
          <t>2008-07-31</t>
        </is>
      </c>
      <c r="W178" t="inlineStr">
        <is>
          <t>1993-04-16</t>
        </is>
      </c>
      <c r="X178" t="inlineStr">
        <is>
          <t>1993-04-16</t>
        </is>
      </c>
      <c r="Y178" t="n">
        <v>707</v>
      </c>
      <c r="Z178" t="n">
        <v>636</v>
      </c>
      <c r="AA178" t="n">
        <v>647</v>
      </c>
      <c r="AB178" t="n">
        <v>7</v>
      </c>
      <c r="AC178" t="n">
        <v>7</v>
      </c>
      <c r="AD178" t="n">
        <v>17</v>
      </c>
      <c r="AE178" t="n">
        <v>17</v>
      </c>
      <c r="AF178" t="n">
        <v>6</v>
      </c>
      <c r="AG178" t="n">
        <v>6</v>
      </c>
      <c r="AH178" t="n">
        <v>2</v>
      </c>
      <c r="AI178" t="n">
        <v>2</v>
      </c>
      <c r="AJ178" t="n">
        <v>7</v>
      </c>
      <c r="AK178" t="n">
        <v>7</v>
      </c>
      <c r="AL178" t="n">
        <v>5</v>
      </c>
      <c r="AM178" t="n">
        <v>5</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HYPERLINK("https://creighton-primo.hosted.exlibrisgroup.com/primo-explore/search?tab=default_tab&amp;search_scope=EVERYTHING&amp;vid=01CRU&amp;lang=en_US&amp;offset=0&amp;query=any,contains,991000316319702656","Catalog Record")</f>
        <v/>
      </c>
      <c r="AT178">
        <f>HYPERLINK("http://www.worldcat.org/oclc/10122152","WorldCat Record")</f>
        <v/>
      </c>
      <c r="AU178" t="inlineStr">
        <is>
          <t>474088592:eng</t>
        </is>
      </c>
      <c r="AV178" t="inlineStr">
        <is>
          <t>10122152</t>
        </is>
      </c>
      <c r="AW178" t="inlineStr">
        <is>
          <t>991000316319702656</t>
        </is>
      </c>
      <c r="AX178" t="inlineStr">
        <is>
          <t>991000316319702656</t>
        </is>
      </c>
      <c r="AY178" t="inlineStr">
        <is>
          <t>2267151100002656</t>
        </is>
      </c>
      <c r="AZ178" t="inlineStr">
        <is>
          <t>BOOK</t>
        </is>
      </c>
      <c r="BB178" t="inlineStr">
        <is>
          <t>9780671458447</t>
        </is>
      </c>
      <c r="BC178" t="inlineStr">
        <is>
          <t>32285001621167</t>
        </is>
      </c>
      <c r="BD178" t="inlineStr">
        <is>
          <t>893527957</t>
        </is>
      </c>
    </row>
    <row r="179">
      <c r="A179" t="inlineStr">
        <is>
          <t>No</t>
        </is>
      </c>
      <c r="B179" t="inlineStr">
        <is>
          <t>RC1235 .D35 1987</t>
        </is>
      </c>
      <c r="C179" t="inlineStr">
        <is>
          <t>0                      RC 1235000D  35          1987</t>
        </is>
      </c>
      <c r="D179" t="inlineStr">
        <is>
          <t>Standardizing biomechanical testing in sport / David A. Dainty, Robert W. Norman.</t>
        </is>
      </c>
      <c r="F179" t="inlineStr">
        <is>
          <t>No</t>
        </is>
      </c>
      <c r="G179" t="inlineStr">
        <is>
          <t>1</t>
        </is>
      </c>
      <c r="H179" t="inlineStr">
        <is>
          <t>No</t>
        </is>
      </c>
      <c r="I179" t="inlineStr">
        <is>
          <t>No</t>
        </is>
      </c>
      <c r="J179" t="inlineStr">
        <is>
          <t>0</t>
        </is>
      </c>
      <c r="K179" t="inlineStr">
        <is>
          <t>Dainty, David A., 1946-</t>
        </is>
      </c>
      <c r="L179" t="inlineStr">
        <is>
          <t>Champaign, IL : Human Kinetics Publishers, c1987.</t>
        </is>
      </c>
      <c r="M179" t="inlineStr">
        <is>
          <t>1987</t>
        </is>
      </c>
      <c r="O179" t="inlineStr">
        <is>
          <t>eng</t>
        </is>
      </c>
      <c r="P179" t="inlineStr">
        <is>
          <t>ilu</t>
        </is>
      </c>
      <c r="R179" t="inlineStr">
        <is>
          <t xml:space="preserve">RC </t>
        </is>
      </c>
      <c r="S179" t="n">
        <v>4</v>
      </c>
      <c r="T179" t="n">
        <v>4</v>
      </c>
      <c r="U179" t="inlineStr">
        <is>
          <t>1995-04-06</t>
        </is>
      </c>
      <c r="V179" t="inlineStr">
        <is>
          <t>1995-04-06</t>
        </is>
      </c>
      <c r="W179" t="inlineStr">
        <is>
          <t>1992-11-17</t>
        </is>
      </c>
      <c r="X179" t="inlineStr">
        <is>
          <t>1992-11-17</t>
        </is>
      </c>
      <c r="Y179" t="n">
        <v>413</v>
      </c>
      <c r="Z179" t="n">
        <v>294</v>
      </c>
      <c r="AA179" t="n">
        <v>296</v>
      </c>
      <c r="AB179" t="n">
        <v>5</v>
      </c>
      <c r="AC179" t="n">
        <v>5</v>
      </c>
      <c r="AD179" t="n">
        <v>11</v>
      </c>
      <c r="AE179" t="n">
        <v>11</v>
      </c>
      <c r="AF179" t="n">
        <v>6</v>
      </c>
      <c r="AG179" t="n">
        <v>6</v>
      </c>
      <c r="AH179" t="n">
        <v>1</v>
      </c>
      <c r="AI179" t="n">
        <v>1</v>
      </c>
      <c r="AJ179" t="n">
        <v>3</v>
      </c>
      <c r="AK179" t="n">
        <v>3</v>
      </c>
      <c r="AL179" t="n">
        <v>4</v>
      </c>
      <c r="AM179" t="n">
        <v>4</v>
      </c>
      <c r="AN179" t="n">
        <v>0</v>
      </c>
      <c r="AO179" t="n">
        <v>0</v>
      </c>
      <c r="AP179" t="inlineStr">
        <is>
          <t>No</t>
        </is>
      </c>
      <c r="AQ179" t="inlineStr">
        <is>
          <t>Yes</t>
        </is>
      </c>
      <c r="AR179">
        <f>HYPERLINK("http://catalog.hathitrust.org/Record/004520070","HathiTrust Record")</f>
        <v/>
      </c>
      <c r="AS179">
        <f>HYPERLINK("https://creighton-primo.hosted.exlibrisgroup.com/primo-explore/search?tab=default_tab&amp;search_scope=EVERYTHING&amp;vid=01CRU&amp;lang=en_US&amp;offset=0&amp;query=any,contains,991000878119702656","Catalog Record")</f>
        <v/>
      </c>
      <c r="AT179">
        <f>HYPERLINK("http://www.worldcat.org/oclc/13821670","WorldCat Record")</f>
        <v/>
      </c>
      <c r="AU179" t="inlineStr">
        <is>
          <t>7293428:eng</t>
        </is>
      </c>
      <c r="AV179" t="inlineStr">
        <is>
          <t>13821670</t>
        </is>
      </c>
      <c r="AW179" t="inlineStr">
        <is>
          <t>991000878119702656</t>
        </is>
      </c>
      <c r="AX179" t="inlineStr">
        <is>
          <t>991000878119702656</t>
        </is>
      </c>
      <c r="AY179" t="inlineStr">
        <is>
          <t>2266663420002656</t>
        </is>
      </c>
      <c r="AZ179" t="inlineStr">
        <is>
          <t>BOOK</t>
        </is>
      </c>
      <c r="BB179" t="inlineStr">
        <is>
          <t>9780873220743</t>
        </is>
      </c>
      <c r="BC179" t="inlineStr">
        <is>
          <t>32285001405553</t>
        </is>
      </c>
      <c r="BD179" t="inlineStr">
        <is>
          <t>893255823</t>
        </is>
      </c>
    </row>
    <row r="180">
      <c r="A180" t="inlineStr">
        <is>
          <t>No</t>
        </is>
      </c>
      <c r="B180" t="inlineStr">
        <is>
          <t>RC1235 .D76 1996</t>
        </is>
      </c>
      <c r="C180" t="inlineStr">
        <is>
          <t>0                      RC 1235000D  76          1996</t>
        </is>
      </c>
      <c r="D180" t="inlineStr">
        <is>
          <t>Ethical decision making in physical activity research / John N. Drowatzky.</t>
        </is>
      </c>
      <c r="F180" t="inlineStr">
        <is>
          <t>No</t>
        </is>
      </c>
      <c r="G180" t="inlineStr">
        <is>
          <t>1</t>
        </is>
      </c>
      <c r="H180" t="inlineStr">
        <is>
          <t>No</t>
        </is>
      </c>
      <c r="I180" t="inlineStr">
        <is>
          <t>No</t>
        </is>
      </c>
      <c r="J180" t="inlineStr">
        <is>
          <t>0</t>
        </is>
      </c>
      <c r="K180" t="inlineStr">
        <is>
          <t>Drowatzky, John N.</t>
        </is>
      </c>
      <c r="L180" t="inlineStr">
        <is>
          <t>Champaign, IL : Human Kinetics, c1996.</t>
        </is>
      </c>
      <c r="M180" t="inlineStr">
        <is>
          <t>1996</t>
        </is>
      </c>
      <c r="O180" t="inlineStr">
        <is>
          <t>eng</t>
        </is>
      </c>
      <c r="P180" t="inlineStr">
        <is>
          <t>ilu</t>
        </is>
      </c>
      <c r="R180" t="inlineStr">
        <is>
          <t xml:space="preserve">RC </t>
        </is>
      </c>
      <c r="S180" t="n">
        <v>3</v>
      </c>
      <c r="T180" t="n">
        <v>3</v>
      </c>
      <c r="U180" t="inlineStr">
        <is>
          <t>2006-10-03</t>
        </is>
      </c>
      <c r="V180" t="inlineStr">
        <is>
          <t>2006-10-03</t>
        </is>
      </c>
      <c r="W180" t="inlineStr">
        <is>
          <t>1996-07-08</t>
        </is>
      </c>
      <c r="X180" t="inlineStr">
        <is>
          <t>1996-07-08</t>
        </is>
      </c>
      <c r="Y180" t="n">
        <v>376</v>
      </c>
      <c r="Z180" t="n">
        <v>278</v>
      </c>
      <c r="AA180" t="n">
        <v>283</v>
      </c>
      <c r="AB180" t="n">
        <v>3</v>
      </c>
      <c r="AC180" t="n">
        <v>3</v>
      </c>
      <c r="AD180" t="n">
        <v>15</v>
      </c>
      <c r="AE180" t="n">
        <v>15</v>
      </c>
      <c r="AF180" t="n">
        <v>6</v>
      </c>
      <c r="AG180" t="n">
        <v>6</v>
      </c>
      <c r="AH180" t="n">
        <v>3</v>
      </c>
      <c r="AI180" t="n">
        <v>3</v>
      </c>
      <c r="AJ180" t="n">
        <v>10</v>
      </c>
      <c r="AK180" t="n">
        <v>10</v>
      </c>
      <c r="AL180" t="n">
        <v>2</v>
      </c>
      <c r="AM180" t="n">
        <v>2</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HYPERLINK("https://creighton-primo.hosted.exlibrisgroup.com/primo-explore/search?tab=default_tab&amp;search_scope=EVERYTHING&amp;vid=01CRU&amp;lang=en_US&amp;offset=0&amp;query=any,contains,991002573619702656","Catalog Record")</f>
        <v/>
      </c>
      <c r="AT180">
        <f>HYPERLINK("http://www.worldcat.org/oclc/33440987","WorldCat Record")</f>
        <v/>
      </c>
      <c r="AU180" t="inlineStr">
        <is>
          <t>38420748:eng</t>
        </is>
      </c>
      <c r="AV180" t="inlineStr">
        <is>
          <t>33440987</t>
        </is>
      </c>
      <c r="AW180" t="inlineStr">
        <is>
          <t>991002573619702656</t>
        </is>
      </c>
      <c r="AX180" t="inlineStr">
        <is>
          <t>991002573619702656</t>
        </is>
      </c>
      <c r="AY180" t="inlineStr">
        <is>
          <t>2265883560002656</t>
        </is>
      </c>
      <c r="AZ180" t="inlineStr">
        <is>
          <t>BOOK</t>
        </is>
      </c>
      <c r="BB180" t="inlineStr">
        <is>
          <t>9780873224734</t>
        </is>
      </c>
      <c r="BC180" t="inlineStr">
        <is>
          <t>32285002206927</t>
        </is>
      </c>
      <c r="BD180" t="inlineStr">
        <is>
          <t>893262359</t>
        </is>
      </c>
    </row>
    <row r="181">
      <c r="A181" t="inlineStr">
        <is>
          <t>No</t>
        </is>
      </c>
      <c r="B181" t="inlineStr">
        <is>
          <t>RC1235 .E73 1983</t>
        </is>
      </c>
      <c r="C181" t="inlineStr">
        <is>
          <t>0                      RC 1235000E  73          1983</t>
        </is>
      </c>
      <c r="D181" t="inlineStr">
        <is>
          <t>Ergogenic aids in sport / edited by Melvin H. Williams.</t>
        </is>
      </c>
      <c r="F181" t="inlineStr">
        <is>
          <t>No</t>
        </is>
      </c>
      <c r="G181" t="inlineStr">
        <is>
          <t>1</t>
        </is>
      </c>
      <c r="H181" t="inlineStr">
        <is>
          <t>No</t>
        </is>
      </c>
      <c r="I181" t="inlineStr">
        <is>
          <t>No</t>
        </is>
      </c>
      <c r="J181" t="inlineStr">
        <is>
          <t>0</t>
        </is>
      </c>
      <c r="L181" t="inlineStr">
        <is>
          <t>Champaign, IL : Human Kinetics Publishers, c1983.</t>
        </is>
      </c>
      <c r="M181" t="inlineStr">
        <is>
          <t>1983</t>
        </is>
      </c>
      <c r="O181" t="inlineStr">
        <is>
          <t>eng</t>
        </is>
      </c>
      <c r="P181" t="inlineStr">
        <is>
          <t>ilu</t>
        </is>
      </c>
      <c r="R181" t="inlineStr">
        <is>
          <t xml:space="preserve">RC </t>
        </is>
      </c>
      <c r="S181" t="n">
        <v>17</v>
      </c>
      <c r="T181" t="n">
        <v>17</v>
      </c>
      <c r="U181" t="inlineStr">
        <is>
          <t>1999-04-02</t>
        </is>
      </c>
      <c r="V181" t="inlineStr">
        <is>
          <t>1999-04-02</t>
        </is>
      </c>
      <c r="W181" t="inlineStr">
        <is>
          <t>1993-03-25</t>
        </is>
      </c>
      <c r="X181" t="inlineStr">
        <is>
          <t>1993-03-25</t>
        </is>
      </c>
      <c r="Y181" t="n">
        <v>572</v>
      </c>
      <c r="Z181" t="n">
        <v>466</v>
      </c>
      <c r="AA181" t="n">
        <v>469</v>
      </c>
      <c r="AB181" t="n">
        <v>8</v>
      </c>
      <c r="AC181" t="n">
        <v>8</v>
      </c>
      <c r="AD181" t="n">
        <v>22</v>
      </c>
      <c r="AE181" t="n">
        <v>22</v>
      </c>
      <c r="AF181" t="n">
        <v>10</v>
      </c>
      <c r="AG181" t="n">
        <v>10</v>
      </c>
      <c r="AH181" t="n">
        <v>3</v>
      </c>
      <c r="AI181" t="n">
        <v>3</v>
      </c>
      <c r="AJ181" t="n">
        <v>6</v>
      </c>
      <c r="AK181" t="n">
        <v>6</v>
      </c>
      <c r="AL181" t="n">
        <v>7</v>
      </c>
      <c r="AM181" t="n">
        <v>7</v>
      </c>
      <c r="AN181" t="n">
        <v>0</v>
      </c>
      <c r="AO181" t="n">
        <v>0</v>
      </c>
      <c r="AP181" t="inlineStr">
        <is>
          <t>No</t>
        </is>
      </c>
      <c r="AQ181" t="inlineStr">
        <is>
          <t>Yes</t>
        </is>
      </c>
      <c r="AR181">
        <f>HYPERLINK("http://catalog.hathitrust.org/Record/000784080","HathiTrust Record")</f>
        <v/>
      </c>
      <c r="AS181">
        <f>HYPERLINK("https://creighton-primo.hosted.exlibrisgroup.com/primo-explore/search?tab=default_tab&amp;search_scope=EVERYTHING&amp;vid=01CRU&amp;lang=en_US&amp;offset=0&amp;query=any,contains,991000260179702656","Catalog Record")</f>
        <v/>
      </c>
      <c r="AT181">
        <f>HYPERLINK("http://www.worldcat.org/oclc/9797438","WorldCat Record")</f>
        <v/>
      </c>
      <c r="AU181" t="inlineStr">
        <is>
          <t>54589125:eng</t>
        </is>
      </c>
      <c r="AV181" t="inlineStr">
        <is>
          <t>9797438</t>
        </is>
      </c>
      <c r="AW181" t="inlineStr">
        <is>
          <t>991000260179702656</t>
        </is>
      </c>
      <c r="AX181" t="inlineStr">
        <is>
          <t>991000260179702656</t>
        </is>
      </c>
      <c r="AY181" t="inlineStr">
        <is>
          <t>2268275870002656</t>
        </is>
      </c>
      <c r="AZ181" t="inlineStr">
        <is>
          <t>BOOK</t>
        </is>
      </c>
      <c r="BB181" t="inlineStr">
        <is>
          <t>9780931250392</t>
        </is>
      </c>
      <c r="BC181" t="inlineStr">
        <is>
          <t>32285001608792</t>
        </is>
      </c>
      <c r="BD181" t="inlineStr">
        <is>
          <t>893620337</t>
        </is>
      </c>
    </row>
    <row r="182">
      <c r="A182" t="inlineStr">
        <is>
          <t>No</t>
        </is>
      </c>
      <c r="B182" t="inlineStr">
        <is>
          <t>RC1235 .F66 1988</t>
        </is>
      </c>
      <c r="C182" t="inlineStr">
        <is>
          <t>0                      RC 1235000F  66          1988</t>
        </is>
      </c>
      <c r="D182" t="inlineStr">
        <is>
          <t>The physiological basis of physical education and athletics / Edward L. Fox, Richard W. Bowers, Merle L. Foss.</t>
        </is>
      </c>
      <c r="F182" t="inlineStr">
        <is>
          <t>No</t>
        </is>
      </c>
      <c r="G182" t="inlineStr">
        <is>
          <t>1</t>
        </is>
      </c>
      <c r="H182" t="inlineStr">
        <is>
          <t>No</t>
        </is>
      </c>
      <c r="I182" t="inlineStr">
        <is>
          <t>No</t>
        </is>
      </c>
      <c r="J182" t="inlineStr">
        <is>
          <t>0</t>
        </is>
      </c>
      <c r="K182" t="inlineStr">
        <is>
          <t>Fox, Edward L.</t>
        </is>
      </c>
      <c r="L182" t="inlineStr">
        <is>
          <t>Philadelphia : Saunders College Pub., c1988.</t>
        </is>
      </c>
      <c r="M182" t="inlineStr">
        <is>
          <t>1988</t>
        </is>
      </c>
      <c r="N182" t="inlineStr">
        <is>
          <t>4th ed.</t>
        </is>
      </c>
      <c r="O182" t="inlineStr">
        <is>
          <t>eng</t>
        </is>
      </c>
      <c r="P182" t="inlineStr">
        <is>
          <t>pau</t>
        </is>
      </c>
      <c r="R182" t="inlineStr">
        <is>
          <t xml:space="preserve">RC </t>
        </is>
      </c>
      <c r="S182" t="n">
        <v>8</v>
      </c>
      <c r="T182" t="n">
        <v>8</v>
      </c>
      <c r="U182" t="inlineStr">
        <is>
          <t>2001-09-10</t>
        </is>
      </c>
      <c r="V182" t="inlineStr">
        <is>
          <t>2001-09-10</t>
        </is>
      </c>
      <c r="W182" t="inlineStr">
        <is>
          <t>1993-03-25</t>
        </is>
      </c>
      <c r="X182" t="inlineStr">
        <is>
          <t>1993-03-25</t>
        </is>
      </c>
      <c r="Y182" t="n">
        <v>240</v>
      </c>
      <c r="Z182" t="n">
        <v>210</v>
      </c>
      <c r="AA182" t="n">
        <v>621</v>
      </c>
      <c r="AB182" t="n">
        <v>3</v>
      </c>
      <c r="AC182" t="n">
        <v>8</v>
      </c>
      <c r="AD182" t="n">
        <v>9</v>
      </c>
      <c r="AE182" t="n">
        <v>23</v>
      </c>
      <c r="AF182" t="n">
        <v>2</v>
      </c>
      <c r="AG182" t="n">
        <v>9</v>
      </c>
      <c r="AH182" t="n">
        <v>3</v>
      </c>
      <c r="AI182" t="n">
        <v>4</v>
      </c>
      <c r="AJ182" t="n">
        <v>5</v>
      </c>
      <c r="AK182" t="n">
        <v>8</v>
      </c>
      <c r="AL182" t="n">
        <v>2</v>
      </c>
      <c r="AM182" t="n">
        <v>7</v>
      </c>
      <c r="AN182" t="n">
        <v>0</v>
      </c>
      <c r="AO182" t="n">
        <v>0</v>
      </c>
      <c r="AP182" t="inlineStr">
        <is>
          <t>No</t>
        </is>
      </c>
      <c r="AQ182" t="inlineStr">
        <is>
          <t>Yes</t>
        </is>
      </c>
      <c r="AR182">
        <f>HYPERLINK("http://catalog.hathitrust.org/Record/009491714","HathiTrust Record")</f>
        <v/>
      </c>
      <c r="AS182">
        <f>HYPERLINK("https://creighton-primo.hosted.exlibrisgroup.com/primo-explore/search?tab=default_tab&amp;search_scope=EVERYTHING&amp;vid=01CRU&amp;lang=en_US&amp;offset=0&amp;query=any,contains,991001075129702656","Catalog Record")</f>
        <v/>
      </c>
      <c r="AT182">
        <f>HYPERLINK("http://www.worldcat.org/oclc/15590209","WorldCat Record")</f>
        <v/>
      </c>
      <c r="AU182" t="inlineStr">
        <is>
          <t>10589113:eng</t>
        </is>
      </c>
      <c r="AV182" t="inlineStr">
        <is>
          <t>15590209</t>
        </is>
      </c>
      <c r="AW182" t="inlineStr">
        <is>
          <t>991001075129702656</t>
        </is>
      </c>
      <c r="AX182" t="inlineStr">
        <is>
          <t>991001075129702656</t>
        </is>
      </c>
      <c r="AY182" t="inlineStr">
        <is>
          <t>2262693900002656</t>
        </is>
      </c>
      <c r="AZ182" t="inlineStr">
        <is>
          <t>BOOK</t>
        </is>
      </c>
      <c r="BB182" t="inlineStr">
        <is>
          <t>9780030112737</t>
        </is>
      </c>
      <c r="BC182" t="inlineStr">
        <is>
          <t>32285001608818</t>
        </is>
      </c>
      <c r="BD182" t="inlineStr">
        <is>
          <t>893891273</t>
        </is>
      </c>
    </row>
    <row r="183">
      <c r="A183" t="inlineStr">
        <is>
          <t>No</t>
        </is>
      </c>
      <c r="B183" t="inlineStr">
        <is>
          <t>RC1235 .F67 1984</t>
        </is>
      </c>
      <c r="C183" t="inlineStr">
        <is>
          <t>0                      RC 1235000F  67          1984</t>
        </is>
      </c>
      <c r="D183" t="inlineStr">
        <is>
          <t>Sports physiology / Edward L. Fox ; illustrated by Nancy Allison Close.</t>
        </is>
      </c>
      <c r="F183" t="inlineStr">
        <is>
          <t>No</t>
        </is>
      </c>
      <c r="G183" t="inlineStr">
        <is>
          <t>1</t>
        </is>
      </c>
      <c r="H183" t="inlineStr">
        <is>
          <t>No</t>
        </is>
      </c>
      <c r="I183" t="inlineStr">
        <is>
          <t>No</t>
        </is>
      </c>
      <c r="J183" t="inlineStr">
        <is>
          <t>0</t>
        </is>
      </c>
      <c r="K183" t="inlineStr">
        <is>
          <t>Fox, Edward L.</t>
        </is>
      </c>
      <c r="L183" t="inlineStr">
        <is>
          <t>Philadelphia, PA : Saunders College Pub., c1984.</t>
        </is>
      </c>
      <c r="M183" t="inlineStr">
        <is>
          <t>1984</t>
        </is>
      </c>
      <c r="N183" t="inlineStr">
        <is>
          <t>2nd ed.</t>
        </is>
      </c>
      <c r="O183" t="inlineStr">
        <is>
          <t>eng</t>
        </is>
      </c>
      <c r="P183" t="inlineStr">
        <is>
          <t>pau</t>
        </is>
      </c>
      <c r="R183" t="inlineStr">
        <is>
          <t xml:space="preserve">RC </t>
        </is>
      </c>
      <c r="S183" t="n">
        <v>1</v>
      </c>
      <c r="T183" t="n">
        <v>1</v>
      </c>
      <c r="U183" t="inlineStr">
        <is>
          <t>2001-09-10</t>
        </is>
      </c>
      <c r="V183" t="inlineStr">
        <is>
          <t>2001-09-10</t>
        </is>
      </c>
      <c r="W183" t="inlineStr">
        <is>
          <t>1992-05-18</t>
        </is>
      </c>
      <c r="X183" t="inlineStr">
        <is>
          <t>1992-05-18</t>
        </is>
      </c>
      <c r="Y183" t="n">
        <v>326</v>
      </c>
      <c r="Z183" t="n">
        <v>252</v>
      </c>
      <c r="AA183" t="n">
        <v>381</v>
      </c>
      <c r="AB183" t="n">
        <v>1</v>
      </c>
      <c r="AC183" t="n">
        <v>3</v>
      </c>
      <c r="AD183" t="n">
        <v>9</v>
      </c>
      <c r="AE183" t="n">
        <v>12</v>
      </c>
      <c r="AF183" t="n">
        <v>6</v>
      </c>
      <c r="AG183" t="n">
        <v>7</v>
      </c>
      <c r="AH183" t="n">
        <v>2</v>
      </c>
      <c r="AI183" t="n">
        <v>2</v>
      </c>
      <c r="AJ183" t="n">
        <v>2</v>
      </c>
      <c r="AK183" t="n">
        <v>2</v>
      </c>
      <c r="AL183" t="n">
        <v>0</v>
      </c>
      <c r="AM183" t="n">
        <v>2</v>
      </c>
      <c r="AN183" t="n">
        <v>0</v>
      </c>
      <c r="AO183" t="n">
        <v>0</v>
      </c>
      <c r="AP183" t="inlineStr">
        <is>
          <t>No</t>
        </is>
      </c>
      <c r="AQ183" t="inlineStr">
        <is>
          <t>Yes</t>
        </is>
      </c>
      <c r="AR183">
        <f>HYPERLINK("http://catalog.hathitrust.org/Record/000558872","HathiTrust Record")</f>
        <v/>
      </c>
      <c r="AS183">
        <f>HYPERLINK("https://creighton-primo.hosted.exlibrisgroup.com/primo-explore/search?tab=default_tab&amp;search_scope=EVERYTHING&amp;vid=01CRU&amp;lang=en_US&amp;offset=0&amp;query=any,contains,991000259599702656","Catalog Record")</f>
        <v/>
      </c>
      <c r="AT183">
        <f>HYPERLINK("http://www.worldcat.org/oclc/9786028","WorldCat Record")</f>
        <v/>
      </c>
      <c r="AU183" t="inlineStr">
        <is>
          <t>10076333294:eng</t>
        </is>
      </c>
      <c r="AV183" t="inlineStr">
        <is>
          <t>9786028</t>
        </is>
      </c>
      <c r="AW183" t="inlineStr">
        <is>
          <t>991000259599702656</t>
        </is>
      </c>
      <c r="AX183" t="inlineStr">
        <is>
          <t>991000259599702656</t>
        </is>
      </c>
      <c r="AY183" t="inlineStr">
        <is>
          <t>2260677670002656</t>
        </is>
      </c>
      <c r="AZ183" t="inlineStr">
        <is>
          <t>BOOK</t>
        </is>
      </c>
      <c r="BB183" t="inlineStr">
        <is>
          <t>9780030637711</t>
        </is>
      </c>
      <c r="BC183" t="inlineStr">
        <is>
          <t>32285001111359</t>
        </is>
      </c>
      <c r="BD183" t="inlineStr">
        <is>
          <t>893407058</t>
        </is>
      </c>
    </row>
    <row r="184">
      <c r="A184" t="inlineStr">
        <is>
          <t>No</t>
        </is>
      </c>
      <c r="B184" t="inlineStr">
        <is>
          <t>RC1235 .G65 1988</t>
        </is>
      </c>
      <c r="C184" t="inlineStr">
        <is>
          <t>0                      RC 1235000G  65          1988</t>
        </is>
      </c>
      <c r="D184" t="inlineStr">
        <is>
          <t>The "E" factor : the secrets of new tech training and fitness for the winning edge / Bob Goldman and Ronald Klatz.</t>
        </is>
      </c>
      <c r="F184" t="inlineStr">
        <is>
          <t>No</t>
        </is>
      </c>
      <c r="G184" t="inlineStr">
        <is>
          <t>1</t>
        </is>
      </c>
      <c r="H184" t="inlineStr">
        <is>
          <t>No</t>
        </is>
      </c>
      <c r="I184" t="inlineStr">
        <is>
          <t>No</t>
        </is>
      </c>
      <c r="J184" t="inlineStr">
        <is>
          <t>0</t>
        </is>
      </c>
      <c r="K184" t="inlineStr">
        <is>
          <t>Goldman, Bob, 1955-</t>
        </is>
      </c>
      <c r="L184" t="inlineStr">
        <is>
          <t>New York : Morrow, 1988.</t>
        </is>
      </c>
      <c r="M184" t="inlineStr">
        <is>
          <t>1988</t>
        </is>
      </c>
      <c r="N184" t="inlineStr">
        <is>
          <t>1st ed.</t>
        </is>
      </c>
      <c r="O184" t="inlineStr">
        <is>
          <t>eng</t>
        </is>
      </c>
      <c r="P184" t="inlineStr">
        <is>
          <t>nyu</t>
        </is>
      </c>
      <c r="R184" t="inlineStr">
        <is>
          <t xml:space="preserve">RC </t>
        </is>
      </c>
      <c r="S184" t="n">
        <v>8</v>
      </c>
      <c r="T184" t="n">
        <v>8</v>
      </c>
      <c r="U184" t="inlineStr">
        <is>
          <t>1995-02-16</t>
        </is>
      </c>
      <c r="V184" t="inlineStr">
        <is>
          <t>1995-02-16</t>
        </is>
      </c>
      <c r="W184" t="inlineStr">
        <is>
          <t>1991-10-28</t>
        </is>
      </c>
      <c r="X184" t="inlineStr">
        <is>
          <t>1991-10-28</t>
        </is>
      </c>
      <c r="Y184" t="n">
        <v>289</v>
      </c>
      <c r="Z184" t="n">
        <v>272</v>
      </c>
      <c r="AA184" t="n">
        <v>278</v>
      </c>
      <c r="AB184" t="n">
        <v>3</v>
      </c>
      <c r="AC184" t="n">
        <v>3</v>
      </c>
      <c r="AD184" t="n">
        <v>6</v>
      </c>
      <c r="AE184" t="n">
        <v>6</v>
      </c>
      <c r="AF184" t="n">
        <v>2</v>
      </c>
      <c r="AG184" t="n">
        <v>2</v>
      </c>
      <c r="AH184" t="n">
        <v>0</v>
      </c>
      <c r="AI184" t="n">
        <v>0</v>
      </c>
      <c r="AJ184" t="n">
        <v>2</v>
      </c>
      <c r="AK184" t="n">
        <v>2</v>
      </c>
      <c r="AL184" t="n">
        <v>2</v>
      </c>
      <c r="AM184" t="n">
        <v>2</v>
      </c>
      <c r="AN184" t="n">
        <v>0</v>
      </c>
      <c r="AO184" t="n">
        <v>0</v>
      </c>
      <c r="AP184" t="inlineStr">
        <is>
          <t>No</t>
        </is>
      </c>
      <c r="AQ184" t="inlineStr">
        <is>
          <t>Yes</t>
        </is>
      </c>
      <c r="AR184">
        <f>HYPERLINK("http://catalog.hathitrust.org/Record/101879103","HathiTrust Record")</f>
        <v/>
      </c>
      <c r="AS184">
        <f>HYPERLINK("https://creighton-primo.hosted.exlibrisgroup.com/primo-explore/search?tab=default_tab&amp;search_scope=EVERYTHING&amp;vid=01CRU&amp;lang=en_US&amp;offset=0&amp;query=any,contains,991001121409702656","Catalog Record")</f>
        <v/>
      </c>
      <c r="AT184">
        <f>HYPERLINK("http://www.worldcat.org/oclc/16581274","WorldCat Record")</f>
        <v/>
      </c>
      <c r="AU184" t="inlineStr">
        <is>
          <t>12478722:eng</t>
        </is>
      </c>
      <c r="AV184" t="inlineStr">
        <is>
          <t>16581274</t>
        </is>
      </c>
      <c r="AW184" t="inlineStr">
        <is>
          <t>991001121409702656</t>
        </is>
      </c>
      <c r="AX184" t="inlineStr">
        <is>
          <t>991001121409702656</t>
        </is>
      </c>
      <c r="AY184" t="inlineStr">
        <is>
          <t>2261039680002656</t>
        </is>
      </c>
      <c r="AZ184" t="inlineStr">
        <is>
          <t>BOOK</t>
        </is>
      </c>
      <c r="BB184" t="inlineStr">
        <is>
          <t>9780688064686</t>
        </is>
      </c>
      <c r="BC184" t="inlineStr">
        <is>
          <t>32285000802081</t>
        </is>
      </c>
      <c r="BD184" t="inlineStr">
        <is>
          <t>893709014</t>
        </is>
      </c>
    </row>
    <row r="185">
      <c r="A185" t="inlineStr">
        <is>
          <t>No</t>
        </is>
      </c>
      <c r="B185" t="inlineStr">
        <is>
          <t>RC1235 .H63 1992</t>
        </is>
      </c>
      <c r="C185" t="inlineStr">
        <is>
          <t>0                      RC 1235000H  63          1992</t>
        </is>
      </c>
      <c r="D185" t="inlineStr">
        <is>
          <t>Mortal engines : the science of performance and the dehumanization of sport / John M. Hoberman.</t>
        </is>
      </c>
      <c r="F185" t="inlineStr">
        <is>
          <t>No</t>
        </is>
      </c>
      <c r="G185" t="inlineStr">
        <is>
          <t>1</t>
        </is>
      </c>
      <c r="H185" t="inlineStr">
        <is>
          <t>No</t>
        </is>
      </c>
      <c r="I185" t="inlineStr">
        <is>
          <t>No</t>
        </is>
      </c>
      <c r="J185" t="inlineStr">
        <is>
          <t>0</t>
        </is>
      </c>
      <c r="K185" t="inlineStr">
        <is>
          <t>Hoberman, John M. (John Milton), 1944-</t>
        </is>
      </c>
      <c r="L185" t="inlineStr">
        <is>
          <t>New York : Free Press ; Toronto : Maxwell Macmillan Canada ; New York : Maxwell Macmillan International, c1992.</t>
        </is>
      </c>
      <c r="M185" t="inlineStr">
        <is>
          <t>1992</t>
        </is>
      </c>
      <c r="O185" t="inlineStr">
        <is>
          <t>eng</t>
        </is>
      </c>
      <c r="P185" t="inlineStr">
        <is>
          <t>nyu</t>
        </is>
      </c>
      <c r="R185" t="inlineStr">
        <is>
          <t xml:space="preserve">RC </t>
        </is>
      </c>
      <c r="S185" t="n">
        <v>7</v>
      </c>
      <c r="T185" t="n">
        <v>7</v>
      </c>
      <c r="U185" t="inlineStr">
        <is>
          <t>1997-02-10</t>
        </is>
      </c>
      <c r="V185" t="inlineStr">
        <is>
          <t>1997-02-10</t>
        </is>
      </c>
      <c r="W185" t="inlineStr">
        <is>
          <t>1992-10-13</t>
        </is>
      </c>
      <c r="X185" t="inlineStr">
        <is>
          <t>1992-10-13</t>
        </is>
      </c>
      <c r="Y185" t="n">
        <v>453</v>
      </c>
      <c r="Z185" t="n">
        <v>373</v>
      </c>
      <c r="AA185" t="n">
        <v>395</v>
      </c>
      <c r="AB185" t="n">
        <v>2</v>
      </c>
      <c r="AC185" t="n">
        <v>2</v>
      </c>
      <c r="AD185" t="n">
        <v>7</v>
      </c>
      <c r="AE185" t="n">
        <v>7</v>
      </c>
      <c r="AF185" t="n">
        <v>2</v>
      </c>
      <c r="AG185" t="n">
        <v>2</v>
      </c>
      <c r="AH185" t="n">
        <v>4</v>
      </c>
      <c r="AI185" t="n">
        <v>4</v>
      </c>
      <c r="AJ185" t="n">
        <v>3</v>
      </c>
      <c r="AK185" t="n">
        <v>3</v>
      </c>
      <c r="AL185" t="n">
        <v>1</v>
      </c>
      <c r="AM185" t="n">
        <v>1</v>
      </c>
      <c r="AN185" t="n">
        <v>0</v>
      </c>
      <c r="AO185" t="n">
        <v>0</v>
      </c>
      <c r="AP185" t="inlineStr">
        <is>
          <t>No</t>
        </is>
      </c>
      <c r="AQ185" t="inlineStr">
        <is>
          <t>Yes</t>
        </is>
      </c>
      <c r="AR185">
        <f>HYPERLINK("http://catalog.hathitrust.org/Record/002577901","HathiTrust Record")</f>
        <v/>
      </c>
      <c r="AS185">
        <f>HYPERLINK("https://creighton-primo.hosted.exlibrisgroup.com/primo-explore/search?tab=default_tab&amp;search_scope=EVERYTHING&amp;vid=01CRU&amp;lang=en_US&amp;offset=0&amp;query=any,contains,991002000079702656","Catalog Record")</f>
        <v/>
      </c>
      <c r="AT185">
        <f>HYPERLINK("http://www.worldcat.org/oclc/25410786","WorldCat Record")</f>
        <v/>
      </c>
      <c r="AU185" t="inlineStr">
        <is>
          <t>27864351:eng</t>
        </is>
      </c>
      <c r="AV185" t="inlineStr">
        <is>
          <t>25410786</t>
        </is>
      </c>
      <c r="AW185" t="inlineStr">
        <is>
          <t>991002000079702656</t>
        </is>
      </c>
      <c r="AX185" t="inlineStr">
        <is>
          <t>991002000079702656</t>
        </is>
      </c>
      <c r="AY185" t="inlineStr">
        <is>
          <t>2254725120002656</t>
        </is>
      </c>
      <c r="AZ185" t="inlineStr">
        <is>
          <t>BOOK</t>
        </is>
      </c>
      <c r="BB185" t="inlineStr">
        <is>
          <t>9780029147658</t>
        </is>
      </c>
      <c r="BC185" t="inlineStr">
        <is>
          <t>32285001317568</t>
        </is>
      </c>
      <c r="BD185" t="inlineStr">
        <is>
          <t>893697230</t>
        </is>
      </c>
    </row>
    <row r="186">
      <c r="A186" t="inlineStr">
        <is>
          <t>No</t>
        </is>
      </c>
      <c r="B186" t="inlineStr">
        <is>
          <t>RC1235 .J46 1990</t>
        </is>
      </c>
      <c r="C186" t="inlineStr">
        <is>
          <t>0                      RC 1235000J  46          1990</t>
        </is>
      </c>
      <c r="D186" t="inlineStr">
        <is>
          <t>Scientific basis of athletic conditioning / A. Garth Fisher, Clayne R. Jensen.</t>
        </is>
      </c>
      <c r="F186" t="inlineStr">
        <is>
          <t>No</t>
        </is>
      </c>
      <c r="G186" t="inlineStr">
        <is>
          <t>1</t>
        </is>
      </c>
      <c r="H186" t="inlineStr">
        <is>
          <t>No</t>
        </is>
      </c>
      <c r="I186" t="inlineStr">
        <is>
          <t>No</t>
        </is>
      </c>
      <c r="J186" t="inlineStr">
        <is>
          <t>0</t>
        </is>
      </c>
      <c r="K186" t="inlineStr">
        <is>
          <t>Fisher, A. Garth.</t>
        </is>
      </c>
      <c r="L186" t="inlineStr">
        <is>
          <t>Philadelphia : Lea &amp; Febiger, 1990.</t>
        </is>
      </c>
      <c r="M186" t="inlineStr">
        <is>
          <t>1990</t>
        </is>
      </c>
      <c r="N186" t="inlineStr">
        <is>
          <t>3rd ed.</t>
        </is>
      </c>
      <c r="O186" t="inlineStr">
        <is>
          <t>eng</t>
        </is>
      </c>
      <c r="P186" t="inlineStr">
        <is>
          <t>pau</t>
        </is>
      </c>
      <c r="R186" t="inlineStr">
        <is>
          <t xml:space="preserve">RC </t>
        </is>
      </c>
      <c r="S186" t="n">
        <v>8</v>
      </c>
      <c r="T186" t="n">
        <v>8</v>
      </c>
      <c r="U186" t="inlineStr">
        <is>
          <t>2006-10-03</t>
        </is>
      </c>
      <c r="V186" t="inlineStr">
        <is>
          <t>2006-10-03</t>
        </is>
      </c>
      <c r="W186" t="inlineStr">
        <is>
          <t>1990-06-28</t>
        </is>
      </c>
      <c r="X186" t="inlineStr">
        <is>
          <t>1990-06-28</t>
        </is>
      </c>
      <c r="Y186" t="n">
        <v>292</v>
      </c>
      <c r="Z186" t="n">
        <v>223</v>
      </c>
      <c r="AA186" t="n">
        <v>620</v>
      </c>
      <c r="AB186" t="n">
        <v>3</v>
      </c>
      <c r="AC186" t="n">
        <v>6</v>
      </c>
      <c r="AD186" t="n">
        <v>7</v>
      </c>
      <c r="AE186" t="n">
        <v>18</v>
      </c>
      <c r="AF186" t="n">
        <v>3</v>
      </c>
      <c r="AG186" t="n">
        <v>5</v>
      </c>
      <c r="AH186" t="n">
        <v>1</v>
      </c>
      <c r="AI186" t="n">
        <v>4</v>
      </c>
      <c r="AJ186" t="n">
        <v>2</v>
      </c>
      <c r="AK186" t="n">
        <v>6</v>
      </c>
      <c r="AL186" t="n">
        <v>2</v>
      </c>
      <c r="AM186" t="n">
        <v>5</v>
      </c>
      <c r="AN186" t="n">
        <v>0</v>
      </c>
      <c r="AO186" t="n">
        <v>0</v>
      </c>
      <c r="AP186" t="inlineStr">
        <is>
          <t>No</t>
        </is>
      </c>
      <c r="AQ186" t="inlineStr">
        <is>
          <t>Yes</t>
        </is>
      </c>
      <c r="AR186">
        <f>HYPERLINK("http://catalog.hathitrust.org/Record/002180949","HathiTrust Record")</f>
        <v/>
      </c>
      <c r="AS186">
        <f>HYPERLINK("https://creighton-primo.hosted.exlibrisgroup.com/primo-explore/search?tab=default_tab&amp;search_scope=EVERYTHING&amp;vid=01CRU&amp;lang=en_US&amp;offset=0&amp;query=any,contains,991001503889702656","Catalog Record")</f>
        <v/>
      </c>
      <c r="AT186">
        <f>HYPERLINK("http://www.worldcat.org/oclc/19815291","WorldCat Record")</f>
        <v/>
      </c>
      <c r="AU186" t="inlineStr">
        <is>
          <t>1449251:eng</t>
        </is>
      </c>
      <c r="AV186" t="inlineStr">
        <is>
          <t>19815291</t>
        </is>
      </c>
      <c r="AW186" t="inlineStr">
        <is>
          <t>991001503889702656</t>
        </is>
      </c>
      <c r="AX186" t="inlineStr">
        <is>
          <t>991001503889702656</t>
        </is>
      </c>
      <c r="AY186" t="inlineStr">
        <is>
          <t>2265452470002656</t>
        </is>
      </c>
      <c r="AZ186" t="inlineStr">
        <is>
          <t>BOOK</t>
        </is>
      </c>
      <c r="BB186" t="inlineStr">
        <is>
          <t>9780812112382</t>
        </is>
      </c>
      <c r="BC186" t="inlineStr">
        <is>
          <t>32285000206143</t>
        </is>
      </c>
      <c r="BD186" t="inlineStr">
        <is>
          <t>893244186</t>
        </is>
      </c>
    </row>
    <row r="187">
      <c r="A187" t="inlineStr">
        <is>
          <t>No</t>
        </is>
      </c>
      <c r="B187" t="inlineStr">
        <is>
          <t>RC1235 .M53</t>
        </is>
      </c>
      <c r="C187" t="inlineStr">
        <is>
          <t>0                      RC 1235000M  53</t>
        </is>
      </c>
      <c r="D187" t="inlineStr">
        <is>
          <t>Biomechanics of sport; a research approach [by] Doris I. Miller [and] Richard C. Nelson.</t>
        </is>
      </c>
      <c r="F187" t="inlineStr">
        <is>
          <t>No</t>
        </is>
      </c>
      <c r="G187" t="inlineStr">
        <is>
          <t>1</t>
        </is>
      </c>
      <c r="H187" t="inlineStr">
        <is>
          <t>No</t>
        </is>
      </c>
      <c r="I187" t="inlineStr">
        <is>
          <t>No</t>
        </is>
      </c>
      <c r="J187" t="inlineStr">
        <is>
          <t>0</t>
        </is>
      </c>
      <c r="K187" t="inlineStr">
        <is>
          <t>Miller, Doris I.</t>
        </is>
      </c>
      <c r="L187" t="inlineStr">
        <is>
          <t>Philadelphia, Lea &amp; Febiger, 1973.</t>
        </is>
      </c>
      <c r="M187" t="inlineStr">
        <is>
          <t>1973</t>
        </is>
      </c>
      <c r="O187" t="inlineStr">
        <is>
          <t>eng</t>
        </is>
      </c>
      <c r="P187" t="inlineStr">
        <is>
          <t>pau</t>
        </is>
      </c>
      <c r="Q187" t="inlineStr">
        <is>
          <t>Health education, physical education, and recreation series</t>
        </is>
      </c>
      <c r="R187" t="inlineStr">
        <is>
          <t xml:space="preserve">RC </t>
        </is>
      </c>
      <c r="S187" t="n">
        <v>8</v>
      </c>
      <c r="T187" t="n">
        <v>8</v>
      </c>
      <c r="U187" t="inlineStr">
        <is>
          <t>1995-10-12</t>
        </is>
      </c>
      <c r="V187" t="inlineStr">
        <is>
          <t>1995-10-12</t>
        </is>
      </c>
      <c r="W187" t="inlineStr">
        <is>
          <t>1992-04-14</t>
        </is>
      </c>
      <c r="X187" t="inlineStr">
        <is>
          <t>1992-04-14</t>
        </is>
      </c>
      <c r="Y187" t="n">
        <v>383</v>
      </c>
      <c r="Z187" t="n">
        <v>313</v>
      </c>
      <c r="AA187" t="n">
        <v>320</v>
      </c>
      <c r="AB187" t="n">
        <v>3</v>
      </c>
      <c r="AC187" t="n">
        <v>3</v>
      </c>
      <c r="AD187" t="n">
        <v>7</v>
      </c>
      <c r="AE187" t="n">
        <v>7</v>
      </c>
      <c r="AF187" t="n">
        <v>2</v>
      </c>
      <c r="AG187" t="n">
        <v>2</v>
      </c>
      <c r="AH187" t="n">
        <v>1</v>
      </c>
      <c r="AI187" t="n">
        <v>1</v>
      </c>
      <c r="AJ187" t="n">
        <v>2</v>
      </c>
      <c r="AK187" t="n">
        <v>2</v>
      </c>
      <c r="AL187" t="n">
        <v>2</v>
      </c>
      <c r="AM187" t="n">
        <v>2</v>
      </c>
      <c r="AN187" t="n">
        <v>0</v>
      </c>
      <c r="AO187" t="n">
        <v>0</v>
      </c>
      <c r="AP187" t="inlineStr">
        <is>
          <t>No</t>
        </is>
      </c>
      <c r="AQ187" t="inlineStr">
        <is>
          <t>Yes</t>
        </is>
      </c>
      <c r="AR187">
        <f>HYPERLINK("http://catalog.hathitrust.org/Record/000008005","HathiTrust Record")</f>
        <v/>
      </c>
      <c r="AS187">
        <f>HYPERLINK("https://creighton-primo.hosted.exlibrisgroup.com/primo-explore/search?tab=default_tab&amp;search_scope=EVERYTHING&amp;vid=01CRU&amp;lang=en_US&amp;offset=0&amp;query=any,contains,991003025989702656","Catalog Record")</f>
        <v/>
      </c>
      <c r="AT187">
        <f>HYPERLINK("http://www.worldcat.org/oclc/590085","WorldCat Record")</f>
        <v/>
      </c>
      <c r="AU187" t="inlineStr">
        <is>
          <t>5615859794:eng</t>
        </is>
      </c>
      <c r="AV187" t="inlineStr">
        <is>
          <t>590085</t>
        </is>
      </c>
      <c r="AW187" t="inlineStr">
        <is>
          <t>991003025989702656</t>
        </is>
      </c>
      <c r="AX187" t="inlineStr">
        <is>
          <t>991003025989702656</t>
        </is>
      </c>
      <c r="AY187" t="inlineStr">
        <is>
          <t>2262990990002656</t>
        </is>
      </c>
      <c r="AZ187" t="inlineStr">
        <is>
          <t>BOOK</t>
        </is>
      </c>
      <c r="BB187" t="inlineStr">
        <is>
          <t>9780812104318</t>
        </is>
      </c>
      <c r="BC187" t="inlineStr">
        <is>
          <t>32285001068518</t>
        </is>
      </c>
      <c r="BD187" t="inlineStr">
        <is>
          <t>893874341</t>
        </is>
      </c>
    </row>
    <row r="188">
      <c r="A188" t="inlineStr">
        <is>
          <t>No</t>
        </is>
      </c>
      <c r="B188" t="inlineStr">
        <is>
          <t>RC1235 .N48 1984</t>
        </is>
      </c>
      <c r="C188" t="inlineStr">
        <is>
          <t>0                      RC 1235000N  48          1984</t>
        </is>
      </c>
      <c r="D188" t="inlineStr">
        <is>
          <t>Newton at the bat : the science in sports / edited by Eric W. Schrier and William F. Allman.</t>
        </is>
      </c>
      <c r="F188" t="inlineStr">
        <is>
          <t>No</t>
        </is>
      </c>
      <c r="G188" t="inlineStr">
        <is>
          <t>1</t>
        </is>
      </c>
      <c r="H188" t="inlineStr">
        <is>
          <t>No</t>
        </is>
      </c>
      <c r="I188" t="inlineStr">
        <is>
          <t>No</t>
        </is>
      </c>
      <c r="J188" t="inlineStr">
        <is>
          <t>0</t>
        </is>
      </c>
      <c r="L188" t="inlineStr">
        <is>
          <t>New York : Scribner, 1984.</t>
        </is>
      </c>
      <c r="M188" t="inlineStr">
        <is>
          <t>1984</t>
        </is>
      </c>
      <c r="O188" t="inlineStr">
        <is>
          <t>eng</t>
        </is>
      </c>
      <c r="P188" t="inlineStr">
        <is>
          <t>nyu</t>
        </is>
      </c>
      <c r="R188" t="inlineStr">
        <is>
          <t xml:space="preserve">RC </t>
        </is>
      </c>
      <c r="S188" t="n">
        <v>9</v>
      </c>
      <c r="T188" t="n">
        <v>9</v>
      </c>
      <c r="U188" t="inlineStr">
        <is>
          <t>2004-09-07</t>
        </is>
      </c>
      <c r="V188" t="inlineStr">
        <is>
          <t>2004-09-07</t>
        </is>
      </c>
      <c r="W188" t="inlineStr">
        <is>
          <t>1993-03-25</t>
        </is>
      </c>
      <c r="X188" t="inlineStr">
        <is>
          <t>1993-03-25</t>
        </is>
      </c>
      <c r="Y188" t="n">
        <v>786</v>
      </c>
      <c r="Z188" t="n">
        <v>727</v>
      </c>
      <c r="AA188" t="n">
        <v>846</v>
      </c>
      <c r="AB188" t="n">
        <v>7</v>
      </c>
      <c r="AC188" t="n">
        <v>8</v>
      </c>
      <c r="AD188" t="n">
        <v>18</v>
      </c>
      <c r="AE188" t="n">
        <v>18</v>
      </c>
      <c r="AF188" t="n">
        <v>6</v>
      </c>
      <c r="AG188" t="n">
        <v>6</v>
      </c>
      <c r="AH188" t="n">
        <v>2</v>
      </c>
      <c r="AI188" t="n">
        <v>2</v>
      </c>
      <c r="AJ188" t="n">
        <v>9</v>
      </c>
      <c r="AK188" t="n">
        <v>9</v>
      </c>
      <c r="AL188" t="n">
        <v>4</v>
      </c>
      <c r="AM188" t="n">
        <v>4</v>
      </c>
      <c r="AN188" t="n">
        <v>0</v>
      </c>
      <c r="AO188" t="n">
        <v>0</v>
      </c>
      <c r="AP188" t="inlineStr">
        <is>
          <t>No</t>
        </is>
      </c>
      <c r="AQ188" t="inlineStr">
        <is>
          <t>Yes</t>
        </is>
      </c>
      <c r="AR188">
        <f>HYPERLINK("http://catalog.hathitrust.org/Record/000407616","HathiTrust Record")</f>
        <v/>
      </c>
      <c r="AS188">
        <f>HYPERLINK("https://creighton-primo.hosted.exlibrisgroup.com/primo-explore/search?tab=default_tab&amp;search_scope=EVERYTHING&amp;vid=01CRU&amp;lang=en_US&amp;offset=0&amp;query=any,contains,991000366419702656","Catalog Record")</f>
        <v/>
      </c>
      <c r="AT188">
        <f>HYPERLINK("http://www.worldcat.org/oclc/10403492","WorldCat Record")</f>
        <v/>
      </c>
      <c r="AU188" t="inlineStr">
        <is>
          <t>938837433:eng</t>
        </is>
      </c>
      <c r="AV188" t="inlineStr">
        <is>
          <t>10403492</t>
        </is>
      </c>
      <c r="AW188" t="inlineStr">
        <is>
          <t>991000366419702656</t>
        </is>
      </c>
      <c r="AX188" t="inlineStr">
        <is>
          <t>991000366419702656</t>
        </is>
      </c>
      <c r="AY188" t="inlineStr">
        <is>
          <t>2267151310002656</t>
        </is>
      </c>
      <c r="AZ188" t="inlineStr">
        <is>
          <t>BOOK</t>
        </is>
      </c>
      <c r="BB188" t="inlineStr">
        <is>
          <t>9780684181301</t>
        </is>
      </c>
      <c r="BC188" t="inlineStr">
        <is>
          <t>32285001608834</t>
        </is>
      </c>
      <c r="BD188" t="inlineStr">
        <is>
          <t>893339483</t>
        </is>
      </c>
    </row>
    <row r="189">
      <c r="A189" t="inlineStr">
        <is>
          <t>No</t>
        </is>
      </c>
      <c r="B189" t="inlineStr">
        <is>
          <t>RC1235 .N63 1986</t>
        </is>
      </c>
      <c r="C189" t="inlineStr">
        <is>
          <t>0                      RC 1235000N  63          1986</t>
        </is>
      </c>
      <c r="D189" t="inlineStr">
        <is>
          <t>Physiology of exercise and sport / Bruce J. Noble.</t>
        </is>
      </c>
      <c r="F189" t="inlineStr">
        <is>
          <t>No</t>
        </is>
      </c>
      <c r="G189" t="inlineStr">
        <is>
          <t>1</t>
        </is>
      </c>
      <c r="H189" t="inlineStr">
        <is>
          <t>No</t>
        </is>
      </c>
      <c r="I189" t="inlineStr">
        <is>
          <t>No</t>
        </is>
      </c>
      <c r="J189" t="inlineStr">
        <is>
          <t>0</t>
        </is>
      </c>
      <c r="K189" t="inlineStr">
        <is>
          <t>Noble, Bruce J.</t>
        </is>
      </c>
      <c r="L189" t="inlineStr">
        <is>
          <t>St. Louis : Times Mirror/Mosby College Pub., 1986.</t>
        </is>
      </c>
      <c r="M189" t="inlineStr">
        <is>
          <t>1986</t>
        </is>
      </c>
      <c r="O189" t="inlineStr">
        <is>
          <t>eng</t>
        </is>
      </c>
      <c r="P189" t="inlineStr">
        <is>
          <t>mou</t>
        </is>
      </c>
      <c r="R189" t="inlineStr">
        <is>
          <t xml:space="preserve">RC </t>
        </is>
      </c>
      <c r="S189" t="n">
        <v>5</v>
      </c>
      <c r="T189" t="n">
        <v>5</v>
      </c>
      <c r="U189" t="inlineStr">
        <is>
          <t>2006-10-03</t>
        </is>
      </c>
      <c r="V189" t="inlineStr">
        <is>
          <t>2006-10-03</t>
        </is>
      </c>
      <c r="W189" t="inlineStr">
        <is>
          <t>1991-12-03</t>
        </is>
      </c>
      <c r="X189" t="inlineStr">
        <is>
          <t>1991-12-03</t>
        </is>
      </c>
      <c r="Y189" t="n">
        <v>298</v>
      </c>
      <c r="Z189" t="n">
        <v>227</v>
      </c>
      <c r="AA189" t="n">
        <v>232</v>
      </c>
      <c r="AB189" t="n">
        <v>4</v>
      </c>
      <c r="AC189" t="n">
        <v>4</v>
      </c>
      <c r="AD189" t="n">
        <v>8</v>
      </c>
      <c r="AE189" t="n">
        <v>8</v>
      </c>
      <c r="AF189" t="n">
        <v>2</v>
      </c>
      <c r="AG189" t="n">
        <v>2</v>
      </c>
      <c r="AH189" t="n">
        <v>1</v>
      </c>
      <c r="AI189" t="n">
        <v>1</v>
      </c>
      <c r="AJ189" t="n">
        <v>4</v>
      </c>
      <c r="AK189" t="n">
        <v>4</v>
      </c>
      <c r="AL189" t="n">
        <v>3</v>
      </c>
      <c r="AM189" t="n">
        <v>3</v>
      </c>
      <c r="AN189" t="n">
        <v>0</v>
      </c>
      <c r="AO189" t="n">
        <v>0</v>
      </c>
      <c r="AP189" t="inlineStr">
        <is>
          <t>No</t>
        </is>
      </c>
      <c r="AQ189" t="inlineStr">
        <is>
          <t>Yes</t>
        </is>
      </c>
      <c r="AR189">
        <f>HYPERLINK("http://catalog.hathitrust.org/Record/101887202","HathiTrust Record")</f>
        <v/>
      </c>
      <c r="AS189">
        <f>HYPERLINK("https://creighton-primo.hosted.exlibrisgroup.com/primo-explore/search?tab=default_tab&amp;search_scope=EVERYTHING&amp;vid=01CRU&amp;lang=en_US&amp;offset=0&amp;query=any,contains,991000757419702656","Catalog Record")</f>
        <v/>
      </c>
      <c r="AT189">
        <f>HYPERLINK("http://www.worldcat.org/oclc/12949918","WorldCat Record")</f>
        <v/>
      </c>
      <c r="AU189" t="inlineStr">
        <is>
          <t>5888924:eng</t>
        </is>
      </c>
      <c r="AV189" t="inlineStr">
        <is>
          <t>12949918</t>
        </is>
      </c>
      <c r="AW189" t="inlineStr">
        <is>
          <t>991000757419702656</t>
        </is>
      </c>
      <c r="AX189" t="inlineStr">
        <is>
          <t>991000757419702656</t>
        </is>
      </c>
      <c r="AY189" t="inlineStr">
        <is>
          <t>2255931210002656</t>
        </is>
      </c>
      <c r="AZ189" t="inlineStr">
        <is>
          <t>BOOK</t>
        </is>
      </c>
      <c r="BB189" t="inlineStr">
        <is>
          <t>9780801637117</t>
        </is>
      </c>
      <c r="BC189" t="inlineStr">
        <is>
          <t>32285000818855</t>
        </is>
      </c>
      <c r="BD189" t="inlineStr">
        <is>
          <t>893225279</t>
        </is>
      </c>
    </row>
    <row r="190">
      <c r="A190" t="inlineStr">
        <is>
          <t>No</t>
        </is>
      </c>
      <c r="B190" t="inlineStr">
        <is>
          <t>RC1235 .N66</t>
        </is>
      </c>
      <c r="C190" t="inlineStr">
        <is>
          <t>0                      RC 1235000N  66</t>
        </is>
      </c>
      <c r="D190" t="inlineStr">
        <is>
          <t>Introduction to biomechanic analysis of sport / [by] John W. Northrip, Gene A. Logan [and] Wayne C. McKinney.</t>
        </is>
      </c>
      <c r="F190" t="inlineStr">
        <is>
          <t>No</t>
        </is>
      </c>
      <c r="G190" t="inlineStr">
        <is>
          <t>1</t>
        </is>
      </c>
      <c r="H190" t="inlineStr">
        <is>
          <t>No</t>
        </is>
      </c>
      <c r="I190" t="inlineStr">
        <is>
          <t>No</t>
        </is>
      </c>
      <c r="J190" t="inlineStr">
        <is>
          <t>0</t>
        </is>
      </c>
      <c r="K190" t="inlineStr">
        <is>
          <t>Northrip, John W.</t>
        </is>
      </c>
      <c r="L190" t="inlineStr">
        <is>
          <t>Dubuque, Iowa : W. C. Brown Co., [1974]</t>
        </is>
      </c>
      <c r="M190" t="inlineStr">
        <is>
          <t>1974</t>
        </is>
      </c>
      <c r="O190" t="inlineStr">
        <is>
          <t>eng</t>
        </is>
      </c>
      <c r="P190" t="inlineStr">
        <is>
          <t>iau</t>
        </is>
      </c>
      <c r="R190" t="inlineStr">
        <is>
          <t xml:space="preserve">RC </t>
        </is>
      </c>
      <c r="S190" t="n">
        <v>8</v>
      </c>
      <c r="T190" t="n">
        <v>8</v>
      </c>
      <c r="U190" t="inlineStr">
        <is>
          <t>1995-10-12</t>
        </is>
      </c>
      <c r="V190" t="inlineStr">
        <is>
          <t>1995-10-12</t>
        </is>
      </c>
      <c r="W190" t="inlineStr">
        <is>
          <t>1993-04-21</t>
        </is>
      </c>
      <c r="X190" t="inlineStr">
        <is>
          <t>1993-04-21</t>
        </is>
      </c>
      <c r="Y190" t="n">
        <v>291</v>
      </c>
      <c r="Z190" t="n">
        <v>253</v>
      </c>
      <c r="AA190" t="n">
        <v>339</v>
      </c>
      <c r="AB190" t="n">
        <v>3</v>
      </c>
      <c r="AC190" t="n">
        <v>3</v>
      </c>
      <c r="AD190" t="n">
        <v>5</v>
      </c>
      <c r="AE190" t="n">
        <v>8</v>
      </c>
      <c r="AF190" t="n">
        <v>2</v>
      </c>
      <c r="AG190" t="n">
        <v>4</v>
      </c>
      <c r="AH190" t="n">
        <v>1</v>
      </c>
      <c r="AI190" t="n">
        <v>1</v>
      </c>
      <c r="AJ190" t="n">
        <v>0</v>
      </c>
      <c r="AK190" t="n">
        <v>1</v>
      </c>
      <c r="AL190" t="n">
        <v>2</v>
      </c>
      <c r="AM190" t="n">
        <v>2</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HYPERLINK("https://creighton-primo.hosted.exlibrisgroup.com/primo-explore/search?tab=default_tab&amp;search_scope=EVERYTHING&amp;vid=01CRU&amp;lang=en_US&amp;offset=0&amp;query=any,contains,991003342569702656","Catalog Record")</f>
        <v/>
      </c>
      <c r="AT190">
        <f>HYPERLINK("http://www.worldcat.org/oclc/873848","WorldCat Record")</f>
        <v/>
      </c>
      <c r="AU190" t="inlineStr">
        <is>
          <t>443334:eng</t>
        </is>
      </c>
      <c r="AV190" t="inlineStr">
        <is>
          <t>873848</t>
        </is>
      </c>
      <c r="AW190" t="inlineStr">
        <is>
          <t>991003342569702656</t>
        </is>
      </c>
      <c r="AX190" t="inlineStr">
        <is>
          <t>991003342569702656</t>
        </is>
      </c>
      <c r="AY190" t="inlineStr">
        <is>
          <t>2261913430002656</t>
        </is>
      </c>
      <c r="AZ190" t="inlineStr">
        <is>
          <t>BOOK</t>
        </is>
      </c>
      <c r="BC190" t="inlineStr">
        <is>
          <t>32285001621829</t>
        </is>
      </c>
      <c r="BD190" t="inlineStr">
        <is>
          <t>893604701</t>
        </is>
      </c>
    </row>
    <row r="191">
      <c r="A191" t="inlineStr">
        <is>
          <t>No</t>
        </is>
      </c>
      <c r="B191" t="inlineStr">
        <is>
          <t>RC1235 .N66 1983</t>
        </is>
      </c>
      <c r="C191" t="inlineStr">
        <is>
          <t>0                      RC 1235000N  66          1983</t>
        </is>
      </c>
      <c r="D191" t="inlineStr">
        <is>
          <t>Analysis of sport motion : anatomic and biomechanic perspectives / John W. Northrip, Gene A. Logan, Wayne C. McKinney.</t>
        </is>
      </c>
      <c r="F191" t="inlineStr">
        <is>
          <t>No</t>
        </is>
      </c>
      <c r="G191" t="inlineStr">
        <is>
          <t>1</t>
        </is>
      </c>
      <c r="H191" t="inlineStr">
        <is>
          <t>No</t>
        </is>
      </c>
      <c r="I191" t="inlineStr">
        <is>
          <t>No</t>
        </is>
      </c>
      <c r="J191" t="inlineStr">
        <is>
          <t>0</t>
        </is>
      </c>
      <c r="K191" t="inlineStr">
        <is>
          <t>Northrip, John W.</t>
        </is>
      </c>
      <c r="L191" t="inlineStr">
        <is>
          <t>Dubuque, Iowa : W.C. Brown, c1983.</t>
        </is>
      </c>
      <c r="M191" t="inlineStr">
        <is>
          <t>1983</t>
        </is>
      </c>
      <c r="N191" t="inlineStr">
        <is>
          <t>3rd ed.</t>
        </is>
      </c>
      <c r="O191" t="inlineStr">
        <is>
          <t>eng</t>
        </is>
      </c>
      <c r="P191" t="inlineStr">
        <is>
          <t>iau</t>
        </is>
      </c>
      <c r="R191" t="inlineStr">
        <is>
          <t xml:space="preserve">RC </t>
        </is>
      </c>
      <c r="S191" t="n">
        <v>13</v>
      </c>
      <c r="T191" t="n">
        <v>13</v>
      </c>
      <c r="U191" t="inlineStr">
        <is>
          <t>2004-10-09</t>
        </is>
      </c>
      <c r="V191" t="inlineStr">
        <is>
          <t>2004-10-09</t>
        </is>
      </c>
      <c r="W191" t="inlineStr">
        <is>
          <t>1993-04-20</t>
        </is>
      </c>
      <c r="X191" t="inlineStr">
        <is>
          <t>1993-04-20</t>
        </is>
      </c>
      <c r="Y191" t="n">
        <v>228</v>
      </c>
      <c r="Z191" t="n">
        <v>180</v>
      </c>
      <c r="AA191" t="n">
        <v>188</v>
      </c>
      <c r="AB191" t="n">
        <v>3</v>
      </c>
      <c r="AC191" t="n">
        <v>3</v>
      </c>
      <c r="AD191" t="n">
        <v>9</v>
      </c>
      <c r="AE191" t="n">
        <v>9</v>
      </c>
      <c r="AF191" t="n">
        <v>5</v>
      </c>
      <c r="AG191" t="n">
        <v>5</v>
      </c>
      <c r="AH191" t="n">
        <v>1</v>
      </c>
      <c r="AI191" t="n">
        <v>1</v>
      </c>
      <c r="AJ191" t="n">
        <v>3</v>
      </c>
      <c r="AK191" t="n">
        <v>3</v>
      </c>
      <c r="AL191" t="n">
        <v>2</v>
      </c>
      <c r="AM191" t="n">
        <v>2</v>
      </c>
      <c r="AN191" t="n">
        <v>0</v>
      </c>
      <c r="AO191" t="n">
        <v>0</v>
      </c>
      <c r="AP191" t="inlineStr">
        <is>
          <t>No</t>
        </is>
      </c>
      <c r="AQ191" t="inlineStr">
        <is>
          <t>Yes</t>
        </is>
      </c>
      <c r="AR191">
        <f>HYPERLINK("http://catalog.hathitrust.org/Record/000120783","HathiTrust Record")</f>
        <v/>
      </c>
      <c r="AS191">
        <f>HYPERLINK("https://creighton-primo.hosted.exlibrisgroup.com/primo-explore/search?tab=default_tab&amp;search_scope=EVERYTHING&amp;vid=01CRU&amp;lang=en_US&amp;offset=0&amp;query=any,contains,991000225329702656","Catalog Record")</f>
        <v/>
      </c>
      <c r="AT191">
        <f>HYPERLINK("http://www.worldcat.org/oclc/9617409","WorldCat Record")</f>
        <v/>
      </c>
      <c r="AU191" t="inlineStr">
        <is>
          <t>309069188:eng</t>
        </is>
      </c>
      <c r="AV191" t="inlineStr">
        <is>
          <t>9617409</t>
        </is>
      </c>
      <c r="AW191" t="inlineStr">
        <is>
          <t>991000225329702656</t>
        </is>
      </c>
      <c r="AX191" t="inlineStr">
        <is>
          <t>991000225329702656</t>
        </is>
      </c>
      <c r="AY191" t="inlineStr">
        <is>
          <t>2258588710002656</t>
        </is>
      </c>
      <c r="AZ191" t="inlineStr">
        <is>
          <t>BOOK</t>
        </is>
      </c>
      <c r="BB191" t="inlineStr">
        <is>
          <t>9780697072061</t>
        </is>
      </c>
      <c r="BC191" t="inlineStr">
        <is>
          <t>32285001621811</t>
        </is>
      </c>
      <c r="BD191" t="inlineStr">
        <is>
          <t>893784077</t>
        </is>
      </c>
    </row>
    <row r="192">
      <c r="A192" t="inlineStr">
        <is>
          <t>No</t>
        </is>
      </c>
      <c r="B192" t="inlineStr">
        <is>
          <t>RC1235 .N67 1983</t>
        </is>
      </c>
      <c r="C192" t="inlineStr">
        <is>
          <t>0                      RC 1235000N  67          1983</t>
        </is>
      </c>
      <c r="D192" t="inlineStr">
        <is>
          <t>Training and conditioning of athletes / Max M. Novich, Buddy Taylor.</t>
        </is>
      </c>
      <c r="F192" t="inlineStr">
        <is>
          <t>No</t>
        </is>
      </c>
      <c r="G192" t="inlineStr">
        <is>
          <t>1</t>
        </is>
      </c>
      <c r="H192" t="inlineStr">
        <is>
          <t>Yes</t>
        </is>
      </c>
      <c r="I192" t="inlineStr">
        <is>
          <t>No</t>
        </is>
      </c>
      <c r="J192" t="inlineStr">
        <is>
          <t>0</t>
        </is>
      </c>
      <c r="K192" t="inlineStr">
        <is>
          <t>Novich, Max M., 1914-</t>
        </is>
      </c>
      <c r="L192" t="inlineStr">
        <is>
          <t>Philadelphia : Lea &amp; Febiger, 1983.</t>
        </is>
      </c>
      <c r="M192" t="inlineStr">
        <is>
          <t>1983</t>
        </is>
      </c>
      <c r="N192" t="inlineStr">
        <is>
          <t>2nd ed.</t>
        </is>
      </c>
      <c r="O192" t="inlineStr">
        <is>
          <t>eng</t>
        </is>
      </c>
      <c r="P192" t="inlineStr">
        <is>
          <t>pau</t>
        </is>
      </c>
      <c r="R192" t="inlineStr">
        <is>
          <t xml:space="preserve">RC </t>
        </is>
      </c>
      <c r="S192" t="n">
        <v>5</v>
      </c>
      <c r="T192" t="n">
        <v>13</v>
      </c>
      <c r="U192" t="inlineStr">
        <is>
          <t>2009-03-16</t>
        </is>
      </c>
      <c r="V192" t="inlineStr">
        <is>
          <t>2009-03-16</t>
        </is>
      </c>
      <c r="W192" t="inlineStr">
        <is>
          <t>1993-03-25</t>
        </is>
      </c>
      <c r="X192" t="inlineStr">
        <is>
          <t>1993-03-25</t>
        </is>
      </c>
      <c r="Y192" t="n">
        <v>315</v>
      </c>
      <c r="Z192" t="n">
        <v>259</v>
      </c>
      <c r="AA192" t="n">
        <v>398</v>
      </c>
      <c r="AB192" t="n">
        <v>3</v>
      </c>
      <c r="AC192" t="n">
        <v>6</v>
      </c>
      <c r="AD192" t="n">
        <v>8</v>
      </c>
      <c r="AE192" t="n">
        <v>14</v>
      </c>
      <c r="AF192" t="n">
        <v>4</v>
      </c>
      <c r="AG192" t="n">
        <v>7</v>
      </c>
      <c r="AH192" t="n">
        <v>3</v>
      </c>
      <c r="AI192" t="n">
        <v>3</v>
      </c>
      <c r="AJ192" t="n">
        <v>3</v>
      </c>
      <c r="AK192" t="n">
        <v>4</v>
      </c>
      <c r="AL192" t="n">
        <v>1</v>
      </c>
      <c r="AM192" t="n">
        <v>4</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HYPERLINK("https://creighton-primo.hosted.exlibrisgroup.com/primo-explore/search?tab=default_tab&amp;search_scope=EVERYTHING&amp;vid=01CRU&amp;lang=en_US&amp;offset=0&amp;query=any,contains,991001771779702656","Catalog Record")</f>
        <v/>
      </c>
      <c r="AT192">
        <f>HYPERLINK("http://www.worldcat.org/oclc/8827198","WorldCat Record")</f>
        <v/>
      </c>
      <c r="AU192" t="inlineStr">
        <is>
          <t>42934213:eng</t>
        </is>
      </c>
      <c r="AV192" t="inlineStr">
        <is>
          <t>8827198</t>
        </is>
      </c>
      <c r="AW192" t="inlineStr">
        <is>
          <t>991001771779702656</t>
        </is>
      </c>
      <c r="AX192" t="inlineStr">
        <is>
          <t>991001771779702656</t>
        </is>
      </c>
      <c r="AY192" t="inlineStr">
        <is>
          <t>2266910480002656</t>
        </is>
      </c>
      <c r="AZ192" t="inlineStr">
        <is>
          <t>BOOK</t>
        </is>
      </c>
      <c r="BB192" t="inlineStr">
        <is>
          <t>9780812108330</t>
        </is>
      </c>
      <c r="BC192" t="inlineStr">
        <is>
          <t>32285005509525</t>
        </is>
      </c>
      <c r="BD192" t="inlineStr">
        <is>
          <t>893509902</t>
        </is>
      </c>
    </row>
    <row r="193">
      <c r="A193" t="inlineStr">
        <is>
          <t>No</t>
        </is>
      </c>
      <c r="B193" t="inlineStr">
        <is>
          <t>RC1235 .O46 1984</t>
        </is>
      </c>
      <c r="C193" t="inlineStr">
        <is>
          <t>0                      RC 1235000O  46          1984</t>
        </is>
      </c>
      <c r="D193" t="inlineStr">
        <is>
          <t>Sport, health, and nutrition / Frank I. Katch, editor.</t>
        </is>
      </c>
      <c r="F193" t="inlineStr">
        <is>
          <t>No</t>
        </is>
      </c>
      <c r="G193" t="inlineStr">
        <is>
          <t>1</t>
        </is>
      </c>
      <c r="H193" t="inlineStr">
        <is>
          <t>No</t>
        </is>
      </c>
      <c r="I193" t="inlineStr">
        <is>
          <t>No</t>
        </is>
      </c>
      <c r="J193" t="inlineStr">
        <is>
          <t>0</t>
        </is>
      </c>
      <c r="K193" t="inlineStr">
        <is>
          <t>Olympic Scientific Congress (1984 : Eugene, Or.)</t>
        </is>
      </c>
      <c r="L193" t="inlineStr">
        <is>
          <t>Champaign, IL : Human Kinetics Publishers, 1986.</t>
        </is>
      </c>
      <c r="M193" t="inlineStr">
        <is>
          <t>1985</t>
        </is>
      </c>
      <c r="O193" t="inlineStr">
        <is>
          <t>eng</t>
        </is>
      </c>
      <c r="P193" t="inlineStr">
        <is>
          <t>ilu</t>
        </is>
      </c>
      <c r="Q193" t="inlineStr">
        <is>
          <t>1984 Olympic Scientific Congress proceedings ; v. 2</t>
        </is>
      </c>
      <c r="R193" t="inlineStr">
        <is>
          <t xml:space="preserve">RC </t>
        </is>
      </c>
      <c r="S193" t="n">
        <v>16</v>
      </c>
      <c r="T193" t="n">
        <v>16</v>
      </c>
      <c r="U193" t="inlineStr">
        <is>
          <t>2001-03-07</t>
        </is>
      </c>
      <c r="V193" t="inlineStr">
        <is>
          <t>2001-03-07</t>
        </is>
      </c>
      <c r="W193" t="inlineStr">
        <is>
          <t>1993-03-25</t>
        </is>
      </c>
      <c r="X193" t="inlineStr">
        <is>
          <t>1993-03-25</t>
        </is>
      </c>
      <c r="Y193" t="n">
        <v>397</v>
      </c>
      <c r="Z193" t="n">
        <v>305</v>
      </c>
      <c r="AA193" t="n">
        <v>313</v>
      </c>
      <c r="AB193" t="n">
        <v>3</v>
      </c>
      <c r="AC193" t="n">
        <v>3</v>
      </c>
      <c r="AD193" t="n">
        <v>11</v>
      </c>
      <c r="AE193" t="n">
        <v>11</v>
      </c>
      <c r="AF193" t="n">
        <v>7</v>
      </c>
      <c r="AG193" t="n">
        <v>7</v>
      </c>
      <c r="AH193" t="n">
        <v>2</v>
      </c>
      <c r="AI193" t="n">
        <v>2</v>
      </c>
      <c r="AJ193" t="n">
        <v>1</v>
      </c>
      <c r="AK193" t="n">
        <v>1</v>
      </c>
      <c r="AL193" t="n">
        <v>2</v>
      </c>
      <c r="AM193" t="n">
        <v>2</v>
      </c>
      <c r="AN193" t="n">
        <v>0</v>
      </c>
      <c r="AO193" t="n">
        <v>0</v>
      </c>
      <c r="AP193" t="inlineStr">
        <is>
          <t>No</t>
        </is>
      </c>
      <c r="AQ193" t="inlineStr">
        <is>
          <t>Yes</t>
        </is>
      </c>
      <c r="AR193">
        <f>HYPERLINK("http://catalog.hathitrust.org/Record/102100477","HathiTrust Record")</f>
        <v/>
      </c>
      <c r="AS193">
        <f>HYPERLINK("https://creighton-primo.hosted.exlibrisgroup.com/primo-explore/search?tab=default_tab&amp;search_scope=EVERYTHING&amp;vid=01CRU&amp;lang=en_US&amp;offset=0&amp;query=any,contains,991000688399702656","Catalog Record")</f>
        <v/>
      </c>
      <c r="AT193">
        <f>HYPERLINK("http://www.worldcat.org/oclc/12422365","WorldCat Record")</f>
        <v/>
      </c>
      <c r="AU193" t="inlineStr">
        <is>
          <t>190121060:eng</t>
        </is>
      </c>
      <c r="AV193" t="inlineStr">
        <is>
          <t>12422365</t>
        </is>
      </c>
      <c r="AW193" t="inlineStr">
        <is>
          <t>991000688399702656</t>
        </is>
      </c>
      <c r="AX193" t="inlineStr">
        <is>
          <t>991000688399702656</t>
        </is>
      </c>
      <c r="AY193" t="inlineStr">
        <is>
          <t>2256030200002656</t>
        </is>
      </c>
      <c r="AZ193" t="inlineStr">
        <is>
          <t>BOOK</t>
        </is>
      </c>
      <c r="BB193" t="inlineStr">
        <is>
          <t>9780873220101</t>
        </is>
      </c>
      <c r="BC193" t="inlineStr">
        <is>
          <t>32285001608859</t>
        </is>
      </c>
      <c r="BD193" t="inlineStr">
        <is>
          <t>893871915</t>
        </is>
      </c>
    </row>
    <row r="194">
      <c r="A194" t="inlineStr">
        <is>
          <t>No</t>
        </is>
      </c>
      <c r="B194" t="inlineStr">
        <is>
          <t>RC1235 .O94 1998</t>
        </is>
      </c>
      <c r="C194" t="inlineStr">
        <is>
          <t>0                      RC 1235000O  94          1998</t>
        </is>
      </c>
      <c r="D194" t="inlineStr">
        <is>
          <t>Overtraining in sport / Richard B. Kreider, Andrew C. Fry, Mary L. O'Toole, editors.</t>
        </is>
      </c>
      <c r="F194" t="inlineStr">
        <is>
          <t>No</t>
        </is>
      </c>
      <c r="G194" t="inlineStr">
        <is>
          <t>1</t>
        </is>
      </c>
      <c r="H194" t="inlineStr">
        <is>
          <t>No</t>
        </is>
      </c>
      <c r="I194" t="inlineStr">
        <is>
          <t>No</t>
        </is>
      </c>
      <c r="J194" t="inlineStr">
        <is>
          <t>0</t>
        </is>
      </c>
      <c r="L194" t="inlineStr">
        <is>
          <t>Champaign, IL : Human Kinetics, c1998.</t>
        </is>
      </c>
      <c r="M194" t="inlineStr">
        <is>
          <t>1998</t>
        </is>
      </c>
      <c r="O194" t="inlineStr">
        <is>
          <t>eng</t>
        </is>
      </c>
      <c r="P194" t="inlineStr">
        <is>
          <t>ilu</t>
        </is>
      </c>
      <c r="R194" t="inlineStr">
        <is>
          <t xml:space="preserve">RC </t>
        </is>
      </c>
      <c r="S194" t="n">
        <v>5</v>
      </c>
      <c r="T194" t="n">
        <v>5</v>
      </c>
      <c r="U194" t="inlineStr">
        <is>
          <t>2002-04-08</t>
        </is>
      </c>
      <c r="V194" t="inlineStr">
        <is>
          <t>2002-04-08</t>
        </is>
      </c>
      <c r="W194" t="inlineStr">
        <is>
          <t>1998-03-12</t>
        </is>
      </c>
      <c r="X194" t="inlineStr">
        <is>
          <t>1998-03-12</t>
        </is>
      </c>
      <c r="Y194" t="n">
        <v>801</v>
      </c>
      <c r="Z194" t="n">
        <v>644</v>
      </c>
      <c r="AA194" t="n">
        <v>648</v>
      </c>
      <c r="AB194" t="n">
        <v>5</v>
      </c>
      <c r="AC194" t="n">
        <v>5</v>
      </c>
      <c r="AD194" t="n">
        <v>26</v>
      </c>
      <c r="AE194" t="n">
        <v>26</v>
      </c>
      <c r="AF194" t="n">
        <v>14</v>
      </c>
      <c r="AG194" t="n">
        <v>14</v>
      </c>
      <c r="AH194" t="n">
        <v>4</v>
      </c>
      <c r="AI194" t="n">
        <v>4</v>
      </c>
      <c r="AJ194" t="n">
        <v>11</v>
      </c>
      <c r="AK194" t="n">
        <v>11</v>
      </c>
      <c r="AL194" t="n">
        <v>4</v>
      </c>
      <c r="AM194" t="n">
        <v>4</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HYPERLINK("https://creighton-primo.hosted.exlibrisgroup.com/primo-explore/search?tab=default_tab&amp;search_scope=EVERYTHING&amp;vid=01CRU&amp;lang=en_US&amp;offset=0&amp;query=any,contains,991005427019702656","Catalog Record")</f>
        <v/>
      </c>
      <c r="AT194">
        <f>HYPERLINK("http://www.worldcat.org/oclc/37567177","WorldCat Record")</f>
        <v/>
      </c>
      <c r="AU194" t="inlineStr">
        <is>
          <t>350008510:eng</t>
        </is>
      </c>
      <c r="AV194" t="inlineStr">
        <is>
          <t>37567177</t>
        </is>
      </c>
      <c r="AW194" t="inlineStr">
        <is>
          <t>991005427019702656</t>
        </is>
      </c>
      <c r="AX194" t="inlineStr">
        <is>
          <t>991005427019702656</t>
        </is>
      </c>
      <c r="AY194" t="inlineStr">
        <is>
          <t>2270183170002656</t>
        </is>
      </c>
      <c r="AZ194" t="inlineStr">
        <is>
          <t>BOOK</t>
        </is>
      </c>
      <c r="BB194" t="inlineStr">
        <is>
          <t>9780880115636</t>
        </is>
      </c>
      <c r="BC194" t="inlineStr">
        <is>
          <t>32285003357810</t>
        </is>
      </c>
      <c r="BD194" t="inlineStr">
        <is>
          <t>893811102</t>
        </is>
      </c>
    </row>
    <row r="195">
      <c r="A195" t="inlineStr">
        <is>
          <t>No</t>
        </is>
      </c>
      <c r="B195" t="inlineStr">
        <is>
          <t>RC1235 .S4 1982</t>
        </is>
      </c>
      <c r="C195" t="inlineStr">
        <is>
          <t>0                      RC 1235000S  4           1982</t>
        </is>
      </c>
      <c r="D195" t="inlineStr">
        <is>
          <t>Science and sporting performance : management or manipulation? / edited by Bruce Davies and Geoffrey Thomas.</t>
        </is>
      </c>
      <c r="F195" t="inlineStr">
        <is>
          <t>No</t>
        </is>
      </c>
      <c r="G195" t="inlineStr">
        <is>
          <t>1</t>
        </is>
      </c>
      <c r="H195" t="inlineStr">
        <is>
          <t>No</t>
        </is>
      </c>
      <c r="I195" t="inlineStr">
        <is>
          <t>No</t>
        </is>
      </c>
      <c r="J195" t="inlineStr">
        <is>
          <t>0</t>
        </is>
      </c>
      <c r="L195" t="inlineStr">
        <is>
          <t>Oxford [Oxfordshire] : Clarendon Press, 1982.</t>
        </is>
      </c>
      <c r="M195" t="inlineStr">
        <is>
          <t>1982</t>
        </is>
      </c>
      <c r="O195" t="inlineStr">
        <is>
          <t>eng</t>
        </is>
      </c>
      <c r="P195" t="inlineStr">
        <is>
          <t>enk</t>
        </is>
      </c>
      <c r="R195" t="inlineStr">
        <is>
          <t xml:space="preserve">RC </t>
        </is>
      </c>
      <c r="S195" t="n">
        <v>24</v>
      </c>
      <c r="T195" t="n">
        <v>24</v>
      </c>
      <c r="U195" t="inlineStr">
        <is>
          <t>2001-02-18</t>
        </is>
      </c>
      <c r="V195" t="inlineStr">
        <is>
          <t>2001-02-18</t>
        </is>
      </c>
      <c r="W195" t="inlineStr">
        <is>
          <t>1992-04-26</t>
        </is>
      </c>
      <c r="X195" t="inlineStr">
        <is>
          <t>1992-04-26</t>
        </is>
      </c>
      <c r="Y195" t="n">
        <v>343</v>
      </c>
      <c r="Z195" t="n">
        <v>292</v>
      </c>
      <c r="AA195" t="n">
        <v>294</v>
      </c>
      <c r="AB195" t="n">
        <v>3</v>
      </c>
      <c r="AC195" t="n">
        <v>3</v>
      </c>
      <c r="AD195" t="n">
        <v>11</v>
      </c>
      <c r="AE195" t="n">
        <v>11</v>
      </c>
      <c r="AF195" t="n">
        <v>5</v>
      </c>
      <c r="AG195" t="n">
        <v>5</v>
      </c>
      <c r="AH195" t="n">
        <v>2</v>
      </c>
      <c r="AI195" t="n">
        <v>2</v>
      </c>
      <c r="AJ195" t="n">
        <v>5</v>
      </c>
      <c r="AK195" t="n">
        <v>5</v>
      </c>
      <c r="AL195" t="n">
        <v>2</v>
      </c>
      <c r="AM195" t="n">
        <v>2</v>
      </c>
      <c r="AN195" t="n">
        <v>0</v>
      </c>
      <c r="AO195" t="n">
        <v>0</v>
      </c>
      <c r="AP195" t="inlineStr">
        <is>
          <t>No</t>
        </is>
      </c>
      <c r="AQ195" t="inlineStr">
        <is>
          <t>Yes</t>
        </is>
      </c>
      <c r="AR195">
        <f>HYPERLINK("http://catalog.hathitrust.org/Record/000124114","HathiTrust Record")</f>
        <v/>
      </c>
      <c r="AS195">
        <f>HYPERLINK("https://creighton-primo.hosted.exlibrisgroup.com/primo-explore/search?tab=default_tab&amp;search_scope=EVERYTHING&amp;vid=01CRU&amp;lang=en_US&amp;offset=0&amp;query=any,contains,991005246839702656","Catalog Record")</f>
        <v/>
      </c>
      <c r="AT195">
        <f>HYPERLINK("http://www.worldcat.org/oclc/8473705","WorldCat Record")</f>
        <v/>
      </c>
      <c r="AU195" t="inlineStr">
        <is>
          <t>910163710:eng</t>
        </is>
      </c>
      <c r="AV195" t="inlineStr">
        <is>
          <t>8473705</t>
        </is>
      </c>
      <c r="AW195" t="inlineStr">
        <is>
          <t>991005246839702656</t>
        </is>
      </c>
      <c r="AX195" t="inlineStr">
        <is>
          <t>991005246839702656</t>
        </is>
      </c>
      <c r="AY195" t="inlineStr">
        <is>
          <t>2259357450002656</t>
        </is>
      </c>
      <c r="AZ195" t="inlineStr">
        <is>
          <t>BOOK</t>
        </is>
      </c>
      <c r="BB195" t="inlineStr">
        <is>
          <t>9780198575948</t>
        </is>
      </c>
      <c r="BC195" t="inlineStr">
        <is>
          <t>32285001087203</t>
        </is>
      </c>
      <c r="BD195" t="inlineStr">
        <is>
          <t>893783279</t>
        </is>
      </c>
    </row>
    <row r="196">
      <c r="A196" t="inlineStr">
        <is>
          <t>No</t>
        </is>
      </c>
      <c r="B196" t="inlineStr">
        <is>
          <t>RC1235 .S52 1984</t>
        </is>
      </c>
      <c r="C196" t="inlineStr">
        <is>
          <t>0                      RC 1235000S  52          1984</t>
        </is>
      </c>
      <c r="D196" t="inlineStr">
        <is>
          <t>Physiology of fitness : prescribing exercise for fitness, weight control, and health / Brian J. Sharkey.</t>
        </is>
      </c>
      <c r="F196" t="inlineStr">
        <is>
          <t>No</t>
        </is>
      </c>
      <c r="G196" t="inlineStr">
        <is>
          <t>1</t>
        </is>
      </c>
      <c r="H196" t="inlineStr">
        <is>
          <t>No</t>
        </is>
      </c>
      <c r="I196" t="inlineStr">
        <is>
          <t>No</t>
        </is>
      </c>
      <c r="J196" t="inlineStr">
        <is>
          <t>0</t>
        </is>
      </c>
      <c r="K196" t="inlineStr">
        <is>
          <t>Sharkey, Brian J.</t>
        </is>
      </c>
      <c r="L196" t="inlineStr">
        <is>
          <t>Champaign, Ill. : Human Kinetics Publishers, c1984.</t>
        </is>
      </c>
      <c r="M196" t="inlineStr">
        <is>
          <t>1984</t>
        </is>
      </c>
      <c r="N196" t="inlineStr">
        <is>
          <t>2nd ed.</t>
        </is>
      </c>
      <c r="O196" t="inlineStr">
        <is>
          <t>eng</t>
        </is>
      </c>
      <c r="P196" t="inlineStr">
        <is>
          <t>ilu</t>
        </is>
      </c>
      <c r="R196" t="inlineStr">
        <is>
          <t xml:space="preserve">RC </t>
        </is>
      </c>
      <c r="S196" t="n">
        <v>5</v>
      </c>
      <c r="T196" t="n">
        <v>5</v>
      </c>
      <c r="U196" t="inlineStr">
        <is>
          <t>1997-11-20</t>
        </is>
      </c>
      <c r="V196" t="inlineStr">
        <is>
          <t>1997-11-20</t>
        </is>
      </c>
      <c r="W196" t="inlineStr">
        <is>
          <t>1993-03-25</t>
        </is>
      </c>
      <c r="X196" t="inlineStr">
        <is>
          <t>1993-03-25</t>
        </is>
      </c>
      <c r="Y196" t="n">
        <v>436</v>
      </c>
      <c r="Z196" t="n">
        <v>354</v>
      </c>
      <c r="AA196" t="n">
        <v>776</v>
      </c>
      <c r="AB196" t="n">
        <v>4</v>
      </c>
      <c r="AC196" t="n">
        <v>7</v>
      </c>
      <c r="AD196" t="n">
        <v>9</v>
      </c>
      <c r="AE196" t="n">
        <v>20</v>
      </c>
      <c r="AF196" t="n">
        <v>7</v>
      </c>
      <c r="AG196" t="n">
        <v>11</v>
      </c>
      <c r="AH196" t="n">
        <v>0</v>
      </c>
      <c r="AI196" t="n">
        <v>2</v>
      </c>
      <c r="AJ196" t="n">
        <v>2</v>
      </c>
      <c r="AK196" t="n">
        <v>7</v>
      </c>
      <c r="AL196" t="n">
        <v>2</v>
      </c>
      <c r="AM196" t="n">
        <v>5</v>
      </c>
      <c r="AN196" t="n">
        <v>0</v>
      </c>
      <c r="AO196" t="n">
        <v>0</v>
      </c>
      <c r="AP196" t="inlineStr">
        <is>
          <t>No</t>
        </is>
      </c>
      <c r="AQ196" t="inlineStr">
        <is>
          <t>Yes</t>
        </is>
      </c>
      <c r="AR196">
        <f>HYPERLINK("http://catalog.hathitrust.org/Record/102014663","HathiTrust Record")</f>
        <v/>
      </c>
      <c r="AS196">
        <f>HYPERLINK("https://creighton-primo.hosted.exlibrisgroup.com/primo-explore/search?tab=default_tab&amp;search_scope=EVERYTHING&amp;vid=01CRU&amp;lang=en_US&amp;offset=0&amp;query=any,contains,991000398519702656","Catalog Record")</f>
        <v/>
      </c>
      <c r="AT196">
        <f>HYPERLINK("http://www.worldcat.org/oclc/10605389","WorldCat Record")</f>
        <v/>
      </c>
      <c r="AU196" t="inlineStr">
        <is>
          <t>2859886:eng</t>
        </is>
      </c>
      <c r="AV196" t="inlineStr">
        <is>
          <t>10605389</t>
        </is>
      </c>
      <c r="AW196" t="inlineStr">
        <is>
          <t>991000398519702656</t>
        </is>
      </c>
      <c r="AX196" t="inlineStr">
        <is>
          <t>991000398519702656</t>
        </is>
      </c>
      <c r="AY196" t="inlineStr">
        <is>
          <t>2258733580002656</t>
        </is>
      </c>
      <c r="AZ196" t="inlineStr">
        <is>
          <t>BOOK</t>
        </is>
      </c>
      <c r="BB196" t="inlineStr">
        <is>
          <t>9780931250668</t>
        </is>
      </c>
      <c r="BC196" t="inlineStr">
        <is>
          <t>32285001608891</t>
        </is>
      </c>
      <c r="BD196" t="inlineStr">
        <is>
          <t>893261451</t>
        </is>
      </c>
    </row>
    <row r="197">
      <c r="A197" t="inlineStr">
        <is>
          <t>No</t>
        </is>
      </c>
      <c r="B197" t="inlineStr">
        <is>
          <t>RC1235 .S67 1992</t>
        </is>
      </c>
      <c r="C197" t="inlineStr">
        <is>
          <t>0                      RC 1235000S  67          1992</t>
        </is>
      </c>
      <c r="D197" t="inlineStr">
        <is>
          <t>Sport physiology.</t>
        </is>
      </c>
      <c r="F197" t="inlineStr">
        <is>
          <t>No</t>
        </is>
      </c>
      <c r="G197" t="inlineStr">
        <is>
          <t>1</t>
        </is>
      </c>
      <c r="H197" t="inlineStr">
        <is>
          <t>No</t>
        </is>
      </c>
      <c r="I197" t="inlineStr">
        <is>
          <t>No</t>
        </is>
      </c>
      <c r="J197" t="inlineStr">
        <is>
          <t>0</t>
        </is>
      </c>
      <c r="L197" t="inlineStr">
        <is>
          <t>Champaign, Ill. : published for the International Council of Sport Science and Physical Education by Human Kinetics Publishers, 1992.</t>
        </is>
      </c>
      <c r="M197" t="inlineStr">
        <is>
          <t>1992</t>
        </is>
      </c>
      <c r="O197" t="inlineStr">
        <is>
          <t>eng</t>
        </is>
      </c>
      <c r="P197" t="inlineStr">
        <is>
          <t>ilu</t>
        </is>
      </c>
      <c r="Q197" t="inlineStr">
        <is>
          <t>Sport science review ; v. 1, no. 1</t>
        </is>
      </c>
      <c r="R197" t="inlineStr">
        <is>
          <t xml:space="preserve">RC </t>
        </is>
      </c>
      <c r="S197" t="n">
        <v>3</v>
      </c>
      <c r="T197" t="n">
        <v>3</v>
      </c>
      <c r="U197" t="inlineStr">
        <is>
          <t>1997-11-16</t>
        </is>
      </c>
      <c r="V197" t="inlineStr">
        <is>
          <t>1997-11-16</t>
        </is>
      </c>
      <c r="W197" t="inlineStr">
        <is>
          <t>1996-08-19</t>
        </is>
      </c>
      <c r="X197" t="inlineStr">
        <is>
          <t>1996-08-19</t>
        </is>
      </c>
      <c r="Y197" t="n">
        <v>7</v>
      </c>
      <c r="Z197" t="n">
        <v>2</v>
      </c>
      <c r="AA197" t="n">
        <v>2</v>
      </c>
      <c r="AB197" t="n">
        <v>1</v>
      </c>
      <c r="AC197" t="n">
        <v>1</v>
      </c>
      <c r="AD197" t="n">
        <v>0</v>
      </c>
      <c r="AE197" t="n">
        <v>0</v>
      </c>
      <c r="AF197" t="n">
        <v>0</v>
      </c>
      <c r="AG197" t="n">
        <v>0</v>
      </c>
      <c r="AH197" t="n">
        <v>0</v>
      </c>
      <c r="AI197" t="n">
        <v>0</v>
      </c>
      <c r="AJ197" t="n">
        <v>0</v>
      </c>
      <c r="AK197" t="n">
        <v>0</v>
      </c>
      <c r="AL197" t="n">
        <v>0</v>
      </c>
      <c r="AM197" t="n">
        <v>0</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HYPERLINK("https://creighton-primo.hosted.exlibrisgroup.com/primo-explore/search?tab=default_tab&amp;search_scope=EVERYTHING&amp;vid=01CRU&amp;lang=en_US&amp;offset=0&amp;query=any,contains,991002304759702656","Catalog Record")</f>
        <v/>
      </c>
      <c r="AT197">
        <f>HYPERLINK("http://www.worldcat.org/oclc/29887445","WorldCat Record")</f>
        <v/>
      </c>
      <c r="AU197" t="inlineStr">
        <is>
          <t>17408617:eng</t>
        </is>
      </c>
      <c r="AV197" t="inlineStr">
        <is>
          <t>29887445</t>
        </is>
      </c>
      <c r="AW197" t="inlineStr">
        <is>
          <t>991002304759702656</t>
        </is>
      </c>
      <c r="AX197" t="inlineStr">
        <is>
          <t>991002304759702656</t>
        </is>
      </c>
      <c r="AY197" t="inlineStr">
        <is>
          <t>2259198240002656</t>
        </is>
      </c>
      <c r="AZ197" t="inlineStr">
        <is>
          <t>BOOK</t>
        </is>
      </c>
      <c r="BC197" t="inlineStr">
        <is>
          <t>32285002068798</t>
        </is>
      </c>
      <c r="BD197" t="inlineStr">
        <is>
          <t>893710125</t>
        </is>
      </c>
    </row>
    <row r="198">
      <c r="A198" t="inlineStr">
        <is>
          <t>No</t>
        </is>
      </c>
      <c r="B198" t="inlineStr">
        <is>
          <t>RC1235 .S77</t>
        </is>
      </c>
      <c r="C198" t="inlineStr">
        <is>
          <t>0                      RC 1235000S  77</t>
        </is>
      </c>
      <c r="D198" t="inlineStr">
        <is>
          <t>Structural and physiological aspects of exercise and sport / Warren R. Johnson, E.R. Buskirk, editors.</t>
        </is>
      </c>
      <c r="F198" t="inlineStr">
        <is>
          <t>No</t>
        </is>
      </c>
      <c r="G198" t="inlineStr">
        <is>
          <t>1</t>
        </is>
      </c>
      <c r="H198" t="inlineStr">
        <is>
          <t>No</t>
        </is>
      </c>
      <c r="I198" t="inlineStr">
        <is>
          <t>No</t>
        </is>
      </c>
      <c r="J198" t="inlineStr">
        <is>
          <t>0</t>
        </is>
      </c>
      <c r="L198" t="inlineStr">
        <is>
          <t>Princeton, N.J. : Princeton Book Co., c1980.</t>
        </is>
      </c>
      <c r="M198" t="inlineStr">
        <is>
          <t>1980</t>
        </is>
      </c>
      <c r="O198" t="inlineStr">
        <is>
          <t>eng</t>
        </is>
      </c>
      <c r="P198" t="inlineStr">
        <is>
          <t>nju</t>
        </is>
      </c>
      <c r="R198" t="inlineStr">
        <is>
          <t xml:space="preserve">RC </t>
        </is>
      </c>
      <c r="S198" t="n">
        <v>1</v>
      </c>
      <c r="T198" t="n">
        <v>1</v>
      </c>
      <c r="U198" t="inlineStr">
        <is>
          <t>1994-10-30</t>
        </is>
      </c>
      <c r="V198" t="inlineStr">
        <is>
          <t>1994-10-30</t>
        </is>
      </c>
      <c r="W198" t="inlineStr">
        <is>
          <t>1993-03-25</t>
        </is>
      </c>
      <c r="X198" t="inlineStr">
        <is>
          <t>1993-03-25</t>
        </is>
      </c>
      <c r="Y198" t="n">
        <v>200</v>
      </c>
      <c r="Z198" t="n">
        <v>177</v>
      </c>
      <c r="AA198" t="n">
        <v>184</v>
      </c>
      <c r="AB198" t="n">
        <v>3</v>
      </c>
      <c r="AC198" t="n">
        <v>3</v>
      </c>
      <c r="AD198" t="n">
        <v>6</v>
      </c>
      <c r="AE198" t="n">
        <v>6</v>
      </c>
      <c r="AF198" t="n">
        <v>3</v>
      </c>
      <c r="AG198" t="n">
        <v>3</v>
      </c>
      <c r="AH198" t="n">
        <v>1</v>
      </c>
      <c r="AI198" t="n">
        <v>1</v>
      </c>
      <c r="AJ198" t="n">
        <v>1</v>
      </c>
      <c r="AK198" t="n">
        <v>1</v>
      </c>
      <c r="AL198" t="n">
        <v>2</v>
      </c>
      <c r="AM198" t="n">
        <v>2</v>
      </c>
      <c r="AN198" t="n">
        <v>0</v>
      </c>
      <c r="AO198" t="n">
        <v>0</v>
      </c>
      <c r="AP198" t="inlineStr">
        <is>
          <t>No</t>
        </is>
      </c>
      <c r="AQ198" t="inlineStr">
        <is>
          <t>Yes</t>
        </is>
      </c>
      <c r="AR198">
        <f>HYPERLINK("http://catalog.hathitrust.org/Record/000163182","HathiTrust Record")</f>
        <v/>
      </c>
      <c r="AS198">
        <f>HYPERLINK("https://creighton-primo.hosted.exlibrisgroup.com/primo-explore/search?tab=default_tab&amp;search_scope=EVERYTHING&amp;vid=01CRU&amp;lang=en_US&amp;offset=0&amp;query=any,contains,991005077179702656","Catalog Record")</f>
        <v/>
      </c>
      <c r="AT198">
        <f>HYPERLINK("http://www.worldcat.org/oclc/7136923","WorldCat Record")</f>
        <v/>
      </c>
      <c r="AU198" t="inlineStr">
        <is>
          <t>54424409:eng</t>
        </is>
      </c>
      <c r="AV198" t="inlineStr">
        <is>
          <t>7136923</t>
        </is>
      </c>
      <c r="AW198" t="inlineStr">
        <is>
          <t>991005077179702656</t>
        </is>
      </c>
      <c r="AX198" t="inlineStr">
        <is>
          <t>991005077179702656</t>
        </is>
      </c>
      <c r="AY198" t="inlineStr">
        <is>
          <t>2260751910002656</t>
        </is>
      </c>
      <c r="AZ198" t="inlineStr">
        <is>
          <t>BOOK</t>
        </is>
      </c>
      <c r="BB198" t="inlineStr">
        <is>
          <t>9780916622169</t>
        </is>
      </c>
      <c r="BC198" t="inlineStr">
        <is>
          <t>32285001608909</t>
        </is>
      </c>
      <c r="BD198" t="inlineStr">
        <is>
          <t>893230170</t>
        </is>
      </c>
    </row>
    <row r="199">
      <c r="A199" t="inlineStr">
        <is>
          <t>No</t>
        </is>
      </c>
      <c r="B199" t="inlineStr">
        <is>
          <t>RC1235 .W4413 1990</t>
        </is>
      </c>
      <c r="C199" t="inlineStr">
        <is>
          <t>0                      RC 1235000W  4413        1990</t>
        </is>
      </c>
      <c r="D199" t="inlineStr">
        <is>
          <t>Functional anatomy in sports / Jürgen Weineck ; translated by Thomas J. DeKornfeld.</t>
        </is>
      </c>
      <c r="F199" t="inlineStr">
        <is>
          <t>No</t>
        </is>
      </c>
      <c r="G199" t="inlineStr">
        <is>
          <t>1</t>
        </is>
      </c>
      <c r="H199" t="inlineStr">
        <is>
          <t>No</t>
        </is>
      </c>
      <c r="I199" t="inlineStr">
        <is>
          <t>No</t>
        </is>
      </c>
      <c r="J199" t="inlineStr">
        <is>
          <t>0</t>
        </is>
      </c>
      <c r="K199" t="inlineStr">
        <is>
          <t>Weineck, Jürgen, 1941-</t>
        </is>
      </c>
      <c r="L199" t="inlineStr">
        <is>
          <t>St Louis : Mosby Year Book, c1990.</t>
        </is>
      </c>
      <c r="M199" t="inlineStr">
        <is>
          <t>1990</t>
        </is>
      </c>
      <c r="N199" t="inlineStr">
        <is>
          <t>2nd ed.</t>
        </is>
      </c>
      <c r="O199" t="inlineStr">
        <is>
          <t>eng</t>
        </is>
      </c>
      <c r="P199" t="inlineStr">
        <is>
          <t>ilu</t>
        </is>
      </c>
      <c r="R199" t="inlineStr">
        <is>
          <t xml:space="preserve">RC </t>
        </is>
      </c>
      <c r="S199" t="n">
        <v>13</v>
      </c>
      <c r="T199" t="n">
        <v>13</v>
      </c>
      <c r="U199" t="inlineStr">
        <is>
          <t>2008-07-31</t>
        </is>
      </c>
      <c r="V199" t="inlineStr">
        <is>
          <t>2008-07-31</t>
        </is>
      </c>
      <c r="W199" t="inlineStr">
        <is>
          <t>1990-09-12</t>
        </is>
      </c>
      <c r="X199" t="inlineStr">
        <is>
          <t>1990-09-12</t>
        </is>
      </c>
      <c r="Y199" t="n">
        <v>258</v>
      </c>
      <c r="Z199" t="n">
        <v>195</v>
      </c>
      <c r="AA199" t="n">
        <v>347</v>
      </c>
      <c r="AB199" t="n">
        <v>3</v>
      </c>
      <c r="AC199" t="n">
        <v>4</v>
      </c>
      <c r="AD199" t="n">
        <v>5</v>
      </c>
      <c r="AE199" t="n">
        <v>10</v>
      </c>
      <c r="AF199" t="n">
        <v>2</v>
      </c>
      <c r="AG199" t="n">
        <v>6</v>
      </c>
      <c r="AH199" t="n">
        <v>1</v>
      </c>
      <c r="AI199" t="n">
        <v>1</v>
      </c>
      <c r="AJ199" t="n">
        <v>2</v>
      </c>
      <c r="AK199" t="n">
        <v>4</v>
      </c>
      <c r="AL199" t="n">
        <v>2</v>
      </c>
      <c r="AM199" t="n">
        <v>3</v>
      </c>
      <c r="AN199" t="n">
        <v>0</v>
      </c>
      <c r="AO199" t="n">
        <v>0</v>
      </c>
      <c r="AP199" t="inlineStr">
        <is>
          <t>No</t>
        </is>
      </c>
      <c r="AQ199" t="inlineStr">
        <is>
          <t>Yes</t>
        </is>
      </c>
      <c r="AR199">
        <f>HYPERLINK("http://catalog.hathitrust.org/Record/002208739","HathiTrust Record")</f>
        <v/>
      </c>
      <c r="AS199">
        <f>HYPERLINK("https://creighton-primo.hosted.exlibrisgroup.com/primo-explore/search?tab=default_tab&amp;search_scope=EVERYTHING&amp;vid=01CRU&amp;lang=en_US&amp;offset=0&amp;query=any,contains,991001705599702656","Catalog Record")</f>
        <v/>
      </c>
      <c r="AT199">
        <f>HYPERLINK("http://www.worldcat.org/oclc/21561691","WorldCat Record")</f>
        <v/>
      </c>
      <c r="AU199" t="inlineStr">
        <is>
          <t>7499040:eng</t>
        </is>
      </c>
      <c r="AV199" t="inlineStr">
        <is>
          <t>21561691</t>
        </is>
      </c>
      <c r="AW199" t="inlineStr">
        <is>
          <t>991001705599702656</t>
        </is>
      </c>
      <c r="AX199" t="inlineStr">
        <is>
          <t>991001705599702656</t>
        </is>
      </c>
      <c r="AY199" t="inlineStr">
        <is>
          <t>2264913230002656</t>
        </is>
      </c>
      <c r="AZ199" t="inlineStr">
        <is>
          <t>BOOK</t>
        </is>
      </c>
      <c r="BB199" t="inlineStr">
        <is>
          <t>9780815191926</t>
        </is>
      </c>
      <c r="BC199" t="inlineStr">
        <is>
          <t>32285000277086</t>
        </is>
      </c>
      <c r="BD199" t="inlineStr">
        <is>
          <t>893346707</t>
        </is>
      </c>
    </row>
    <row r="200">
      <c r="A200" t="inlineStr">
        <is>
          <t>No</t>
        </is>
      </c>
      <c r="B200" t="inlineStr">
        <is>
          <t>RC1235 .W45 1991</t>
        </is>
      </c>
      <c r="C200" t="inlineStr">
        <is>
          <t>0                      RC 1235000W  45          1991</t>
        </is>
      </c>
      <c r="D200" t="inlineStr">
        <is>
          <t>Women, sport &amp; performance : a physiological perspective / Christine L. Wells.</t>
        </is>
      </c>
      <c r="F200" t="inlineStr">
        <is>
          <t>No</t>
        </is>
      </c>
      <c r="G200" t="inlineStr">
        <is>
          <t>1</t>
        </is>
      </c>
      <c r="H200" t="inlineStr">
        <is>
          <t>No</t>
        </is>
      </c>
      <c r="I200" t="inlineStr">
        <is>
          <t>No</t>
        </is>
      </c>
      <c r="J200" t="inlineStr">
        <is>
          <t>0</t>
        </is>
      </c>
      <c r="K200" t="inlineStr">
        <is>
          <t>Wells, Christine L., 1938-</t>
        </is>
      </c>
      <c r="L200" t="inlineStr">
        <is>
          <t>Champaign, Ill. : Human Kinetics Books, c1991.</t>
        </is>
      </c>
      <c r="M200" t="inlineStr">
        <is>
          <t>1991</t>
        </is>
      </c>
      <c r="N200" t="inlineStr">
        <is>
          <t>2nd ed.</t>
        </is>
      </c>
      <c r="O200" t="inlineStr">
        <is>
          <t>eng</t>
        </is>
      </c>
      <c r="P200" t="inlineStr">
        <is>
          <t>ilu</t>
        </is>
      </c>
      <c r="R200" t="inlineStr">
        <is>
          <t xml:space="preserve">RC </t>
        </is>
      </c>
      <c r="S200" t="n">
        <v>5</v>
      </c>
      <c r="T200" t="n">
        <v>5</v>
      </c>
      <c r="U200" t="inlineStr">
        <is>
          <t>1995-11-04</t>
        </is>
      </c>
      <c r="V200" t="inlineStr">
        <is>
          <t>1995-11-04</t>
        </is>
      </c>
      <c r="W200" t="inlineStr">
        <is>
          <t>1991-05-09</t>
        </is>
      </c>
      <c r="X200" t="inlineStr">
        <is>
          <t>1991-05-09</t>
        </is>
      </c>
      <c r="Y200" t="n">
        <v>554</v>
      </c>
      <c r="Z200" t="n">
        <v>417</v>
      </c>
      <c r="AA200" t="n">
        <v>794</v>
      </c>
      <c r="AB200" t="n">
        <v>7</v>
      </c>
      <c r="AC200" t="n">
        <v>11</v>
      </c>
      <c r="AD200" t="n">
        <v>16</v>
      </c>
      <c r="AE200" t="n">
        <v>34</v>
      </c>
      <c r="AF200" t="n">
        <v>6</v>
      </c>
      <c r="AG200" t="n">
        <v>16</v>
      </c>
      <c r="AH200" t="n">
        <v>2</v>
      </c>
      <c r="AI200" t="n">
        <v>3</v>
      </c>
      <c r="AJ200" t="n">
        <v>3</v>
      </c>
      <c r="AK200" t="n">
        <v>12</v>
      </c>
      <c r="AL200" t="n">
        <v>6</v>
      </c>
      <c r="AM200" t="n">
        <v>10</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HYPERLINK("https://creighton-primo.hosted.exlibrisgroup.com/primo-explore/search?tab=default_tab&amp;search_scope=EVERYTHING&amp;vid=01CRU&amp;lang=en_US&amp;offset=0&amp;query=any,contains,991001720779702656","Catalog Record")</f>
        <v/>
      </c>
      <c r="AT200">
        <f>HYPERLINK("http://www.worldcat.org/oclc/21763518","WorldCat Record")</f>
        <v/>
      </c>
      <c r="AU200" t="inlineStr">
        <is>
          <t>889733902:eng</t>
        </is>
      </c>
      <c r="AV200" t="inlineStr">
        <is>
          <t>21763518</t>
        </is>
      </c>
      <c r="AW200" t="inlineStr">
        <is>
          <t>991001720779702656</t>
        </is>
      </c>
      <c r="AX200" t="inlineStr">
        <is>
          <t>991001720779702656</t>
        </is>
      </c>
      <c r="AY200" t="inlineStr">
        <is>
          <t>2255793190002656</t>
        </is>
      </c>
      <c r="AZ200" t="inlineStr">
        <is>
          <t>BOOK</t>
        </is>
      </c>
      <c r="BB200" t="inlineStr">
        <is>
          <t>9780873223034</t>
        </is>
      </c>
      <c r="BC200" t="inlineStr">
        <is>
          <t>32285000572445</t>
        </is>
      </c>
      <c r="BD200" t="inlineStr">
        <is>
          <t>893772828</t>
        </is>
      </c>
    </row>
    <row r="201">
      <c r="A201" t="inlineStr">
        <is>
          <t>No</t>
        </is>
      </c>
      <c r="B201" t="inlineStr">
        <is>
          <t>RC1235 .W55 1998</t>
        </is>
      </c>
      <c r="C201" t="inlineStr">
        <is>
          <t>0                      RC 1235000W  55          1998</t>
        </is>
      </c>
      <c r="D201" t="inlineStr">
        <is>
          <t>The ergogenics edge : pushing the limits of sports performance / Melvin H. Williams.</t>
        </is>
      </c>
      <c r="F201" t="inlineStr">
        <is>
          <t>No</t>
        </is>
      </c>
      <c r="G201" t="inlineStr">
        <is>
          <t>1</t>
        </is>
      </c>
      <c r="H201" t="inlineStr">
        <is>
          <t>No</t>
        </is>
      </c>
      <c r="I201" t="inlineStr">
        <is>
          <t>No</t>
        </is>
      </c>
      <c r="J201" t="inlineStr">
        <is>
          <t>0</t>
        </is>
      </c>
      <c r="K201" t="inlineStr">
        <is>
          <t>Williams, Melvin H.</t>
        </is>
      </c>
      <c r="L201" t="inlineStr">
        <is>
          <t>Champaign, IL : Human Kinetics, c1998.</t>
        </is>
      </c>
      <c r="M201" t="inlineStr">
        <is>
          <t>1998</t>
        </is>
      </c>
      <c r="O201" t="inlineStr">
        <is>
          <t>eng</t>
        </is>
      </c>
      <c r="P201" t="inlineStr">
        <is>
          <t>ilu</t>
        </is>
      </c>
      <c r="R201" t="inlineStr">
        <is>
          <t xml:space="preserve">RC </t>
        </is>
      </c>
      <c r="S201" t="n">
        <v>8</v>
      </c>
      <c r="T201" t="n">
        <v>8</v>
      </c>
      <c r="U201" t="inlineStr">
        <is>
          <t>2006-01-04</t>
        </is>
      </c>
      <c r="V201" t="inlineStr">
        <is>
          <t>2006-01-04</t>
        </is>
      </c>
      <c r="W201" t="inlineStr">
        <is>
          <t>1998-02-26</t>
        </is>
      </c>
      <c r="X201" t="inlineStr">
        <is>
          <t>1998-02-26</t>
        </is>
      </c>
      <c r="Y201" t="n">
        <v>497</v>
      </c>
      <c r="Z201" t="n">
        <v>364</v>
      </c>
      <c r="AA201" t="n">
        <v>368</v>
      </c>
      <c r="AB201" t="n">
        <v>3</v>
      </c>
      <c r="AC201" t="n">
        <v>3</v>
      </c>
      <c r="AD201" t="n">
        <v>11</v>
      </c>
      <c r="AE201" t="n">
        <v>11</v>
      </c>
      <c r="AF201" t="n">
        <v>6</v>
      </c>
      <c r="AG201" t="n">
        <v>6</v>
      </c>
      <c r="AH201" t="n">
        <v>3</v>
      </c>
      <c r="AI201" t="n">
        <v>3</v>
      </c>
      <c r="AJ201" t="n">
        <v>5</v>
      </c>
      <c r="AK201" t="n">
        <v>5</v>
      </c>
      <c r="AL201" t="n">
        <v>2</v>
      </c>
      <c r="AM201" t="n">
        <v>2</v>
      </c>
      <c r="AN201" t="n">
        <v>0</v>
      </c>
      <c r="AO201" t="n">
        <v>0</v>
      </c>
      <c r="AP201" t="inlineStr">
        <is>
          <t>No</t>
        </is>
      </c>
      <c r="AQ201" t="inlineStr">
        <is>
          <t>Yes</t>
        </is>
      </c>
      <c r="AR201">
        <f>HYPERLINK("http://catalog.hathitrust.org/Record/101985179","HathiTrust Record")</f>
        <v/>
      </c>
      <c r="AS201">
        <f>HYPERLINK("https://creighton-primo.hosted.exlibrisgroup.com/primo-explore/search?tab=default_tab&amp;search_scope=EVERYTHING&amp;vid=01CRU&amp;lang=en_US&amp;offset=0&amp;query=any,contains,991002802939702656","Catalog Record")</f>
        <v/>
      </c>
      <c r="AT201">
        <f>HYPERLINK("http://www.worldcat.org/oclc/36817290","WorldCat Record")</f>
        <v/>
      </c>
      <c r="AU201" t="inlineStr">
        <is>
          <t>836949237:eng</t>
        </is>
      </c>
      <c r="AV201" t="inlineStr">
        <is>
          <t>36817290</t>
        </is>
      </c>
      <c r="AW201" t="inlineStr">
        <is>
          <t>991002802939702656</t>
        </is>
      </c>
      <c r="AX201" t="inlineStr">
        <is>
          <t>991002802939702656</t>
        </is>
      </c>
      <c r="AY201" t="inlineStr">
        <is>
          <t>2261865220002656</t>
        </is>
      </c>
      <c r="AZ201" t="inlineStr">
        <is>
          <t>BOOK</t>
        </is>
      </c>
      <c r="BB201" t="inlineStr">
        <is>
          <t>9780880115452</t>
        </is>
      </c>
      <c r="BC201" t="inlineStr">
        <is>
          <t>32285003355780</t>
        </is>
      </c>
      <c r="BD201" t="inlineStr">
        <is>
          <t>893610319</t>
        </is>
      </c>
    </row>
    <row r="202">
      <c r="A202" t="inlineStr">
        <is>
          <t>No</t>
        </is>
      </c>
      <c r="B202" t="inlineStr">
        <is>
          <t>RC1235 .Y68</t>
        </is>
      </c>
      <c r="C202" t="inlineStr">
        <is>
          <t>0                      RC 1235000Y  68</t>
        </is>
      </c>
      <c r="D202" t="inlineStr">
        <is>
          <t>Physical performance, fitness, and diet / by D. R. Young.</t>
        </is>
      </c>
      <c r="F202" t="inlineStr">
        <is>
          <t>No</t>
        </is>
      </c>
      <c r="G202" t="inlineStr">
        <is>
          <t>1</t>
        </is>
      </c>
      <c r="H202" t="inlineStr">
        <is>
          <t>No</t>
        </is>
      </c>
      <c r="I202" t="inlineStr">
        <is>
          <t>No</t>
        </is>
      </c>
      <c r="J202" t="inlineStr">
        <is>
          <t>0</t>
        </is>
      </c>
      <c r="K202" t="inlineStr">
        <is>
          <t>Young, Donald R.</t>
        </is>
      </c>
      <c r="L202" t="inlineStr">
        <is>
          <t>Springfield, Ill. : Thomas, c1977.</t>
        </is>
      </c>
      <c r="M202" t="inlineStr">
        <is>
          <t>1977</t>
        </is>
      </c>
      <c r="O202" t="inlineStr">
        <is>
          <t>eng</t>
        </is>
      </c>
      <c r="P202" t="inlineStr">
        <is>
          <t>ilu</t>
        </is>
      </c>
      <c r="Q202" t="inlineStr">
        <is>
          <t>American lecture series ; publication no. 1009</t>
        </is>
      </c>
      <c r="R202" t="inlineStr">
        <is>
          <t xml:space="preserve">RC </t>
        </is>
      </c>
      <c r="S202" t="n">
        <v>3</v>
      </c>
      <c r="T202" t="n">
        <v>3</v>
      </c>
      <c r="U202" t="inlineStr">
        <is>
          <t>2005-11-19</t>
        </is>
      </c>
      <c r="V202" t="inlineStr">
        <is>
          <t>2005-11-19</t>
        </is>
      </c>
      <c r="W202" t="inlineStr">
        <is>
          <t>1992-04-15</t>
        </is>
      </c>
      <c r="X202" t="inlineStr">
        <is>
          <t>1992-04-15</t>
        </is>
      </c>
      <c r="Y202" t="n">
        <v>316</v>
      </c>
      <c r="Z202" t="n">
        <v>276</v>
      </c>
      <c r="AA202" t="n">
        <v>285</v>
      </c>
      <c r="AB202" t="n">
        <v>5</v>
      </c>
      <c r="AC202" t="n">
        <v>5</v>
      </c>
      <c r="AD202" t="n">
        <v>11</v>
      </c>
      <c r="AE202" t="n">
        <v>11</v>
      </c>
      <c r="AF202" t="n">
        <v>4</v>
      </c>
      <c r="AG202" t="n">
        <v>4</v>
      </c>
      <c r="AH202" t="n">
        <v>1</v>
      </c>
      <c r="AI202" t="n">
        <v>1</v>
      </c>
      <c r="AJ202" t="n">
        <v>4</v>
      </c>
      <c r="AK202" t="n">
        <v>4</v>
      </c>
      <c r="AL202" t="n">
        <v>4</v>
      </c>
      <c r="AM202" t="n">
        <v>4</v>
      </c>
      <c r="AN202" t="n">
        <v>0</v>
      </c>
      <c r="AO202" t="n">
        <v>0</v>
      </c>
      <c r="AP202" t="inlineStr">
        <is>
          <t>No</t>
        </is>
      </c>
      <c r="AQ202" t="inlineStr">
        <is>
          <t>Yes</t>
        </is>
      </c>
      <c r="AR202">
        <f>HYPERLINK("http://catalog.hathitrust.org/Record/000130126","HathiTrust Record")</f>
        <v/>
      </c>
      <c r="AS202">
        <f>HYPERLINK("https://creighton-primo.hosted.exlibrisgroup.com/primo-explore/search?tab=default_tab&amp;search_scope=EVERYTHING&amp;vid=01CRU&amp;lang=en_US&amp;offset=0&amp;query=any,contains,991004198509702656","Catalog Record")</f>
        <v/>
      </c>
      <c r="AT202">
        <f>HYPERLINK("http://www.worldcat.org/oclc/2646158","WorldCat Record")</f>
        <v/>
      </c>
      <c r="AU202" t="inlineStr">
        <is>
          <t>5909675:eng</t>
        </is>
      </c>
      <c r="AV202" t="inlineStr">
        <is>
          <t>2646158</t>
        </is>
      </c>
      <c r="AW202" t="inlineStr">
        <is>
          <t>991004198509702656</t>
        </is>
      </c>
      <c r="AX202" t="inlineStr">
        <is>
          <t>991004198509702656</t>
        </is>
      </c>
      <c r="AY202" t="inlineStr">
        <is>
          <t>2254799780002656</t>
        </is>
      </c>
      <c r="AZ202" t="inlineStr">
        <is>
          <t>BOOK</t>
        </is>
      </c>
      <c r="BB202" t="inlineStr">
        <is>
          <t>9780398036423</t>
        </is>
      </c>
      <c r="BC202" t="inlineStr">
        <is>
          <t>32285001061398</t>
        </is>
      </c>
      <c r="BD202" t="inlineStr">
        <is>
          <t>893875800</t>
        </is>
      </c>
    </row>
    <row r="203">
      <c r="A203" t="inlineStr">
        <is>
          <t>No</t>
        </is>
      </c>
      <c r="B203" t="inlineStr">
        <is>
          <t>RC1238 .H39 1986</t>
        </is>
      </c>
      <c r="C203" t="inlineStr">
        <is>
          <t>0                      RC 1238000H  39          1986</t>
        </is>
      </c>
      <c r="D203" t="inlineStr">
        <is>
          <t>Environment and human performance / Emily M. Haymes and Christine L. Wells.</t>
        </is>
      </c>
      <c r="F203" t="inlineStr">
        <is>
          <t>No</t>
        </is>
      </c>
      <c r="G203" t="inlineStr">
        <is>
          <t>1</t>
        </is>
      </c>
      <c r="H203" t="inlineStr">
        <is>
          <t>No</t>
        </is>
      </c>
      <c r="I203" t="inlineStr">
        <is>
          <t>No</t>
        </is>
      </c>
      <c r="J203" t="inlineStr">
        <is>
          <t>0</t>
        </is>
      </c>
      <c r="K203" t="inlineStr">
        <is>
          <t>Haymes, Emily M., 1939-</t>
        </is>
      </c>
      <c r="L203" t="inlineStr">
        <is>
          <t>Champaign, IL : Human Kinetics Publishers, c1986.</t>
        </is>
      </c>
      <c r="M203" t="inlineStr">
        <is>
          <t>1986</t>
        </is>
      </c>
      <c r="O203" t="inlineStr">
        <is>
          <t>eng</t>
        </is>
      </c>
      <c r="P203" t="inlineStr">
        <is>
          <t>ilu</t>
        </is>
      </c>
      <c r="R203" t="inlineStr">
        <is>
          <t xml:space="preserve">RC </t>
        </is>
      </c>
      <c r="S203" t="n">
        <v>3</v>
      </c>
      <c r="T203" t="n">
        <v>3</v>
      </c>
      <c r="U203" t="inlineStr">
        <is>
          <t>1993-04-26</t>
        </is>
      </c>
      <c r="V203" t="inlineStr">
        <is>
          <t>1993-04-26</t>
        </is>
      </c>
      <c r="W203" t="inlineStr">
        <is>
          <t>1991-11-06</t>
        </is>
      </c>
      <c r="X203" t="inlineStr">
        <is>
          <t>1991-11-06</t>
        </is>
      </c>
      <c r="Y203" t="n">
        <v>489</v>
      </c>
      <c r="Z203" t="n">
        <v>393</v>
      </c>
      <c r="AA203" t="n">
        <v>398</v>
      </c>
      <c r="AB203" t="n">
        <v>6</v>
      </c>
      <c r="AC203" t="n">
        <v>6</v>
      </c>
      <c r="AD203" t="n">
        <v>14</v>
      </c>
      <c r="AE203" t="n">
        <v>14</v>
      </c>
      <c r="AF203" t="n">
        <v>4</v>
      </c>
      <c r="AG203" t="n">
        <v>4</v>
      </c>
      <c r="AH203" t="n">
        <v>3</v>
      </c>
      <c r="AI203" t="n">
        <v>3</v>
      </c>
      <c r="AJ203" t="n">
        <v>4</v>
      </c>
      <c r="AK203" t="n">
        <v>4</v>
      </c>
      <c r="AL203" t="n">
        <v>5</v>
      </c>
      <c r="AM203" t="n">
        <v>5</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HYPERLINK("https://creighton-primo.hosted.exlibrisgroup.com/primo-explore/search?tab=default_tab&amp;search_scope=EVERYTHING&amp;vid=01CRU&amp;lang=en_US&amp;offset=0&amp;query=any,contains,991000710669702656","Catalog Record")</f>
        <v/>
      </c>
      <c r="AT203">
        <f>HYPERLINK("http://www.worldcat.org/oclc/12582712","WorldCat Record")</f>
        <v/>
      </c>
      <c r="AU203" t="inlineStr">
        <is>
          <t>5218406:eng</t>
        </is>
      </c>
      <c r="AV203" t="inlineStr">
        <is>
          <t>12582712</t>
        </is>
      </c>
      <c r="AW203" t="inlineStr">
        <is>
          <t>991000710669702656</t>
        </is>
      </c>
      <c r="AX203" t="inlineStr">
        <is>
          <t>991000710669702656</t>
        </is>
      </c>
      <c r="AY203" t="inlineStr">
        <is>
          <t>2272263100002656</t>
        </is>
      </c>
      <c r="AZ203" t="inlineStr">
        <is>
          <t>BOOK</t>
        </is>
      </c>
      <c r="BB203" t="inlineStr">
        <is>
          <t>9780873220392</t>
        </is>
      </c>
      <c r="BC203" t="inlineStr">
        <is>
          <t>32285000798339</t>
        </is>
      </c>
      <c r="BD203" t="inlineStr">
        <is>
          <t>893702368</t>
        </is>
      </c>
    </row>
    <row r="204">
      <c r="A204" t="inlineStr">
        <is>
          <t>No</t>
        </is>
      </c>
      <c r="B204" t="inlineStr">
        <is>
          <t>RC1245 .S73 1997</t>
        </is>
      </c>
      <c r="C204" t="inlineStr">
        <is>
          <t>0                      RC 1245000S  73          1997</t>
        </is>
      </c>
      <c r="D204" t="inlineStr">
        <is>
          <t>Alcohol and sport / Robert D. Stainback.</t>
        </is>
      </c>
      <c r="F204" t="inlineStr">
        <is>
          <t>No</t>
        </is>
      </c>
      <c r="G204" t="inlineStr">
        <is>
          <t>1</t>
        </is>
      </c>
      <c r="H204" t="inlineStr">
        <is>
          <t>No</t>
        </is>
      </c>
      <c r="I204" t="inlineStr">
        <is>
          <t>No</t>
        </is>
      </c>
      <c r="J204" t="inlineStr">
        <is>
          <t>0</t>
        </is>
      </c>
      <c r="K204" t="inlineStr">
        <is>
          <t>Stainback, Robert D., 1954-</t>
        </is>
      </c>
      <c r="L204" t="inlineStr">
        <is>
          <t>Champaign, IL : Human Kinetics, c1997.</t>
        </is>
      </c>
      <c r="M204" t="inlineStr">
        <is>
          <t>1997</t>
        </is>
      </c>
      <c r="O204" t="inlineStr">
        <is>
          <t>eng</t>
        </is>
      </c>
      <c r="P204" t="inlineStr">
        <is>
          <t>ilu</t>
        </is>
      </c>
      <c r="R204" t="inlineStr">
        <is>
          <t xml:space="preserve">RC </t>
        </is>
      </c>
      <c r="S204" t="n">
        <v>7</v>
      </c>
      <c r="T204" t="n">
        <v>7</v>
      </c>
      <c r="U204" t="inlineStr">
        <is>
          <t>2000-11-27</t>
        </is>
      </c>
      <c r="V204" t="inlineStr">
        <is>
          <t>2000-11-27</t>
        </is>
      </c>
      <c r="W204" t="inlineStr">
        <is>
          <t>1998-01-05</t>
        </is>
      </c>
      <c r="X204" t="inlineStr">
        <is>
          <t>1998-01-05</t>
        </is>
      </c>
      <c r="Y204" t="n">
        <v>651</v>
      </c>
      <c r="Z204" t="n">
        <v>541</v>
      </c>
      <c r="AA204" t="n">
        <v>546</v>
      </c>
      <c r="AB204" t="n">
        <v>6</v>
      </c>
      <c r="AC204" t="n">
        <v>6</v>
      </c>
      <c r="AD204" t="n">
        <v>24</v>
      </c>
      <c r="AE204" t="n">
        <v>24</v>
      </c>
      <c r="AF204" t="n">
        <v>9</v>
      </c>
      <c r="AG204" t="n">
        <v>9</v>
      </c>
      <c r="AH204" t="n">
        <v>4</v>
      </c>
      <c r="AI204" t="n">
        <v>4</v>
      </c>
      <c r="AJ204" t="n">
        <v>12</v>
      </c>
      <c r="AK204" t="n">
        <v>12</v>
      </c>
      <c r="AL204" t="n">
        <v>5</v>
      </c>
      <c r="AM204" t="n">
        <v>5</v>
      </c>
      <c r="AN204" t="n">
        <v>0</v>
      </c>
      <c r="AO204" t="n">
        <v>0</v>
      </c>
      <c r="AP204" t="inlineStr">
        <is>
          <t>No</t>
        </is>
      </c>
      <c r="AQ204" t="inlineStr">
        <is>
          <t>Yes</t>
        </is>
      </c>
      <c r="AR204">
        <f>HYPERLINK("http://catalog.hathitrust.org/Record/003156151","HathiTrust Record")</f>
        <v/>
      </c>
      <c r="AS204">
        <f>HYPERLINK("https://creighton-primo.hosted.exlibrisgroup.com/primo-explore/search?tab=default_tab&amp;search_scope=EVERYTHING&amp;vid=01CRU&amp;lang=en_US&amp;offset=0&amp;query=any,contains,991002735669702656","Catalog Record")</f>
        <v/>
      </c>
      <c r="AT204">
        <f>HYPERLINK("http://www.worldcat.org/oclc/35910391","WorldCat Record")</f>
        <v/>
      </c>
      <c r="AU204" t="inlineStr">
        <is>
          <t>40486130:eng</t>
        </is>
      </c>
      <c r="AV204" t="inlineStr">
        <is>
          <t>35910391</t>
        </is>
      </c>
      <c r="AW204" t="inlineStr">
        <is>
          <t>991002735669702656</t>
        </is>
      </c>
      <c r="AX204" t="inlineStr">
        <is>
          <t>991002735669702656</t>
        </is>
      </c>
      <c r="AY204" t="inlineStr">
        <is>
          <t>2272762110002656</t>
        </is>
      </c>
      <c r="AZ204" t="inlineStr">
        <is>
          <t>BOOK</t>
        </is>
      </c>
      <c r="BB204" t="inlineStr">
        <is>
          <t>9780873225311</t>
        </is>
      </c>
      <c r="BC204" t="inlineStr">
        <is>
          <t>32285003300695</t>
        </is>
      </c>
      <c r="BD204" t="inlineStr">
        <is>
          <t>893317189</t>
        </is>
      </c>
    </row>
    <row r="205">
      <c r="A205" t="inlineStr">
        <is>
          <t>No</t>
        </is>
      </c>
      <c r="B205" t="inlineStr">
        <is>
          <t>RC147.H6 F73 1982</t>
        </is>
      </c>
      <c r="C205" t="inlineStr">
        <is>
          <t>0                      RC 0147000H  6                  F  73          1982</t>
        </is>
      </c>
      <c r="D205" t="inlineStr">
        <is>
          <t>Herpes : a complete guide to relief &amp; reassurance / Frank Freudberg ; introduction by E. Stephen Emanuel.</t>
        </is>
      </c>
      <c r="F205" t="inlineStr">
        <is>
          <t>No</t>
        </is>
      </c>
      <c r="G205" t="inlineStr">
        <is>
          <t>1</t>
        </is>
      </c>
      <c r="H205" t="inlineStr">
        <is>
          <t>No</t>
        </is>
      </c>
      <c r="I205" t="inlineStr">
        <is>
          <t>No</t>
        </is>
      </c>
      <c r="J205" t="inlineStr">
        <is>
          <t>0</t>
        </is>
      </c>
      <c r="K205" t="inlineStr">
        <is>
          <t>Freudberg, Frank.</t>
        </is>
      </c>
      <c r="L205" t="inlineStr">
        <is>
          <t>Philadelphia, Pa. : Running Press, c1982.</t>
        </is>
      </c>
      <c r="M205" t="inlineStr">
        <is>
          <t>1982</t>
        </is>
      </c>
      <c r="O205" t="inlineStr">
        <is>
          <t>eng</t>
        </is>
      </c>
      <c r="P205" t="inlineStr">
        <is>
          <t>pau</t>
        </is>
      </c>
      <c r="R205" t="inlineStr">
        <is>
          <t xml:space="preserve">RC </t>
        </is>
      </c>
      <c r="S205" t="n">
        <v>10</v>
      </c>
      <c r="T205" t="n">
        <v>10</v>
      </c>
      <c r="U205" t="inlineStr">
        <is>
          <t>1998-01-26</t>
        </is>
      </c>
      <c r="V205" t="inlineStr">
        <is>
          <t>1998-01-26</t>
        </is>
      </c>
      <c r="W205" t="inlineStr">
        <is>
          <t>1992-11-10</t>
        </is>
      </c>
      <c r="X205" t="inlineStr">
        <is>
          <t>1992-11-10</t>
        </is>
      </c>
      <c r="Y205" t="n">
        <v>420</v>
      </c>
      <c r="Z205" t="n">
        <v>398</v>
      </c>
      <c r="AA205" t="n">
        <v>413</v>
      </c>
      <c r="AB205" t="n">
        <v>2</v>
      </c>
      <c r="AC205" t="n">
        <v>2</v>
      </c>
      <c r="AD205" t="n">
        <v>8</v>
      </c>
      <c r="AE205" t="n">
        <v>8</v>
      </c>
      <c r="AF205" t="n">
        <v>5</v>
      </c>
      <c r="AG205" t="n">
        <v>5</v>
      </c>
      <c r="AH205" t="n">
        <v>1</v>
      </c>
      <c r="AI205" t="n">
        <v>1</v>
      </c>
      <c r="AJ205" t="n">
        <v>2</v>
      </c>
      <c r="AK205" t="n">
        <v>2</v>
      </c>
      <c r="AL205" t="n">
        <v>1</v>
      </c>
      <c r="AM205" t="n">
        <v>1</v>
      </c>
      <c r="AN205" t="n">
        <v>0</v>
      </c>
      <c r="AO205" t="n">
        <v>0</v>
      </c>
      <c r="AP205" t="inlineStr">
        <is>
          <t>No</t>
        </is>
      </c>
      <c r="AQ205" t="inlineStr">
        <is>
          <t>Yes</t>
        </is>
      </c>
      <c r="AR205">
        <f>HYPERLINK("http://catalog.hathitrust.org/Record/102653994","HathiTrust Record")</f>
        <v/>
      </c>
      <c r="AS205">
        <f>HYPERLINK("https://creighton-primo.hosted.exlibrisgroup.com/primo-explore/search?tab=default_tab&amp;search_scope=EVERYTHING&amp;vid=01CRU&amp;lang=en_US&amp;offset=0&amp;query=any,contains,991000047549702656","Catalog Record")</f>
        <v/>
      </c>
      <c r="AT205">
        <f>HYPERLINK("http://www.worldcat.org/oclc/8670121","WorldCat Record")</f>
        <v/>
      </c>
      <c r="AU205" t="inlineStr">
        <is>
          <t>551725:eng</t>
        </is>
      </c>
      <c r="AV205" t="inlineStr">
        <is>
          <t>8670121</t>
        </is>
      </c>
      <c r="AW205" t="inlineStr">
        <is>
          <t>991000047549702656</t>
        </is>
      </c>
      <c r="AX205" t="inlineStr">
        <is>
          <t>991000047549702656</t>
        </is>
      </c>
      <c r="AY205" t="inlineStr">
        <is>
          <t>2267708690002656</t>
        </is>
      </c>
      <c r="AZ205" t="inlineStr">
        <is>
          <t>BOOK</t>
        </is>
      </c>
      <c r="BB205" t="inlineStr">
        <is>
          <t>9780894711886</t>
        </is>
      </c>
      <c r="BC205" t="inlineStr">
        <is>
          <t>32285001383925</t>
        </is>
      </c>
      <c r="BD205" t="inlineStr">
        <is>
          <t>893419144</t>
        </is>
      </c>
    </row>
    <row r="206">
      <c r="A206" t="inlineStr">
        <is>
          <t>No</t>
        </is>
      </c>
      <c r="B206" t="inlineStr">
        <is>
          <t>RC147.H6 H57 1982</t>
        </is>
      </c>
      <c r="C206" t="inlineStr">
        <is>
          <t>0                      RC 0147000H  6                  H  57          1982</t>
        </is>
      </c>
      <c r="D206" t="inlineStr">
        <is>
          <t>The Herpesviruses / edited by Bernard Roizman.</t>
        </is>
      </c>
      <c r="E206" t="inlineStr">
        <is>
          <t>V. 4</t>
        </is>
      </c>
      <c r="F206" t="inlineStr">
        <is>
          <t>Yes</t>
        </is>
      </c>
      <c r="G206" t="inlineStr">
        <is>
          <t>1</t>
        </is>
      </c>
      <c r="H206" t="inlineStr">
        <is>
          <t>Yes</t>
        </is>
      </c>
      <c r="I206" t="inlineStr">
        <is>
          <t>No</t>
        </is>
      </c>
      <c r="J206" t="inlineStr">
        <is>
          <t>0</t>
        </is>
      </c>
      <c r="L206" t="inlineStr">
        <is>
          <t>New York : Plenum Press, c1982-c1985.</t>
        </is>
      </c>
      <c r="M206" t="inlineStr">
        <is>
          <t>1982</t>
        </is>
      </c>
      <c r="O206" t="inlineStr">
        <is>
          <t>eng</t>
        </is>
      </c>
      <c r="P206" t="inlineStr">
        <is>
          <t>nyu</t>
        </is>
      </c>
      <c r="Q206" t="inlineStr">
        <is>
          <t>The Viruses</t>
        </is>
      </c>
      <c r="R206" t="inlineStr">
        <is>
          <t xml:space="preserve">RC </t>
        </is>
      </c>
      <c r="S206" t="n">
        <v>9</v>
      </c>
      <c r="T206" t="n">
        <v>11</v>
      </c>
      <c r="U206" t="inlineStr">
        <is>
          <t>1998-01-26</t>
        </is>
      </c>
      <c r="V206" t="inlineStr">
        <is>
          <t>1998-01-26</t>
        </is>
      </c>
      <c r="W206" t="inlineStr">
        <is>
          <t>1990-02-08</t>
        </is>
      </c>
      <c r="X206" t="inlineStr">
        <is>
          <t>1990-02-08</t>
        </is>
      </c>
      <c r="Y206" t="n">
        <v>300</v>
      </c>
      <c r="Z206" t="n">
        <v>245</v>
      </c>
      <c r="AA206" t="n">
        <v>266</v>
      </c>
      <c r="AB206" t="n">
        <v>3</v>
      </c>
      <c r="AC206" t="n">
        <v>3</v>
      </c>
      <c r="AD206" t="n">
        <v>7</v>
      </c>
      <c r="AE206" t="n">
        <v>7</v>
      </c>
      <c r="AF206" t="n">
        <v>2</v>
      </c>
      <c r="AG206" t="n">
        <v>2</v>
      </c>
      <c r="AH206" t="n">
        <v>1</v>
      </c>
      <c r="AI206" t="n">
        <v>1</v>
      </c>
      <c r="AJ206" t="n">
        <v>5</v>
      </c>
      <c r="AK206" t="n">
        <v>5</v>
      </c>
      <c r="AL206" t="n">
        <v>1</v>
      </c>
      <c r="AM206" t="n">
        <v>1</v>
      </c>
      <c r="AN206" t="n">
        <v>0</v>
      </c>
      <c r="AO206" t="n">
        <v>0</v>
      </c>
      <c r="AP206" t="inlineStr">
        <is>
          <t>No</t>
        </is>
      </c>
      <c r="AQ206" t="inlineStr">
        <is>
          <t>Yes</t>
        </is>
      </c>
      <c r="AR206">
        <f>HYPERLINK("http://catalog.hathitrust.org/Record/000269044","HathiTrust Record")</f>
        <v/>
      </c>
      <c r="AS206">
        <f>HYPERLINK("https://creighton-primo.hosted.exlibrisgroup.com/primo-explore/search?tab=default_tab&amp;search_scope=EVERYTHING&amp;vid=01CRU&amp;lang=en_US&amp;offset=0&amp;query=any,contains,991001779759702656","Catalog Record")</f>
        <v/>
      </c>
      <c r="AT206">
        <f>HYPERLINK("http://www.worldcat.org/oclc/8689752","WorldCat Record")</f>
        <v/>
      </c>
      <c r="AU206" t="inlineStr">
        <is>
          <t>4495075245:eng</t>
        </is>
      </c>
      <c r="AV206" t="inlineStr">
        <is>
          <t>8689752</t>
        </is>
      </c>
      <c r="AW206" t="inlineStr">
        <is>
          <t>991001779759702656</t>
        </is>
      </c>
      <c r="AX206" t="inlineStr">
        <is>
          <t>991001779759702656</t>
        </is>
      </c>
      <c r="AY206" t="inlineStr">
        <is>
          <t>2272099890002656</t>
        </is>
      </c>
      <c r="AZ206" t="inlineStr">
        <is>
          <t>BOOK</t>
        </is>
      </c>
      <c r="BB206" t="inlineStr">
        <is>
          <t>9780306409226</t>
        </is>
      </c>
      <c r="BC206" t="inlineStr">
        <is>
          <t>32285000008671</t>
        </is>
      </c>
      <c r="BD206" t="inlineStr">
        <is>
          <t>893444801</t>
        </is>
      </c>
    </row>
    <row r="207">
      <c r="A207" t="inlineStr">
        <is>
          <t>No</t>
        </is>
      </c>
      <c r="B207" t="inlineStr">
        <is>
          <t>RC150 .B4 1977</t>
        </is>
      </c>
      <c r="C207" t="inlineStr">
        <is>
          <t>0                      RC 0150000B  4           1977</t>
        </is>
      </c>
      <c r="D207" t="inlineStr">
        <is>
          <t>Influenza : the last great plague : an unfinished story of discovery / W.I.B. Beveridge.</t>
        </is>
      </c>
      <c r="F207" t="inlineStr">
        <is>
          <t>No</t>
        </is>
      </c>
      <c r="G207" t="inlineStr">
        <is>
          <t>1</t>
        </is>
      </c>
      <c r="H207" t="inlineStr">
        <is>
          <t>No</t>
        </is>
      </c>
      <c r="I207" t="inlineStr">
        <is>
          <t>No</t>
        </is>
      </c>
      <c r="J207" t="inlineStr">
        <is>
          <t>0</t>
        </is>
      </c>
      <c r="K207" t="inlineStr">
        <is>
          <t>Beveridge, W. I. B. (William Ian Beardmore), 1908-2006.</t>
        </is>
      </c>
      <c r="L207" t="inlineStr">
        <is>
          <t>New York : Prodist, 1977.</t>
        </is>
      </c>
      <c r="M207" t="inlineStr">
        <is>
          <t>1977</t>
        </is>
      </c>
      <c r="O207" t="inlineStr">
        <is>
          <t>eng</t>
        </is>
      </c>
      <c r="P207" t="inlineStr">
        <is>
          <t>nyu</t>
        </is>
      </c>
      <c r="R207" t="inlineStr">
        <is>
          <t xml:space="preserve">RC </t>
        </is>
      </c>
      <c r="S207" t="n">
        <v>14</v>
      </c>
      <c r="T207" t="n">
        <v>14</v>
      </c>
      <c r="U207" t="inlineStr">
        <is>
          <t>2010-07-06</t>
        </is>
      </c>
      <c r="V207" t="inlineStr">
        <is>
          <t>2010-07-06</t>
        </is>
      </c>
      <c r="W207" t="inlineStr">
        <is>
          <t>1990-10-08</t>
        </is>
      </c>
      <c r="X207" t="inlineStr">
        <is>
          <t>1990-10-08</t>
        </is>
      </c>
      <c r="Y207" t="n">
        <v>619</v>
      </c>
      <c r="Z207" t="n">
        <v>587</v>
      </c>
      <c r="AA207" t="n">
        <v>739</v>
      </c>
      <c r="AB207" t="n">
        <v>3</v>
      </c>
      <c r="AC207" t="n">
        <v>5</v>
      </c>
      <c r="AD207" t="n">
        <v>16</v>
      </c>
      <c r="AE207" t="n">
        <v>20</v>
      </c>
      <c r="AF207" t="n">
        <v>9</v>
      </c>
      <c r="AG207" t="n">
        <v>9</v>
      </c>
      <c r="AH207" t="n">
        <v>5</v>
      </c>
      <c r="AI207" t="n">
        <v>5</v>
      </c>
      <c r="AJ207" t="n">
        <v>7</v>
      </c>
      <c r="AK207" t="n">
        <v>9</v>
      </c>
      <c r="AL207" t="n">
        <v>2</v>
      </c>
      <c r="AM207" t="n">
        <v>4</v>
      </c>
      <c r="AN207" t="n">
        <v>0</v>
      </c>
      <c r="AO207" t="n">
        <v>0</v>
      </c>
      <c r="AP207" t="inlineStr">
        <is>
          <t>No</t>
        </is>
      </c>
      <c r="AQ207" t="inlineStr">
        <is>
          <t>Yes</t>
        </is>
      </c>
      <c r="AR207">
        <f>HYPERLINK("http://catalog.hathitrust.org/Record/000210514","HathiTrust Record")</f>
        <v/>
      </c>
      <c r="AS207">
        <f>HYPERLINK("https://creighton-primo.hosted.exlibrisgroup.com/primo-explore/search?tab=default_tab&amp;search_scope=EVERYTHING&amp;vid=01CRU&amp;lang=en_US&amp;offset=0&amp;query=any,contains,991004253089702656","Catalog Record")</f>
        <v/>
      </c>
      <c r="AT207">
        <f>HYPERLINK("http://www.worldcat.org/oclc/2818246","WorldCat Record")</f>
        <v/>
      </c>
      <c r="AU207" t="inlineStr">
        <is>
          <t>807739124:eng</t>
        </is>
      </c>
      <c r="AV207" t="inlineStr">
        <is>
          <t>2818246</t>
        </is>
      </c>
      <c r="AW207" t="inlineStr">
        <is>
          <t>991004253089702656</t>
        </is>
      </c>
      <c r="AX207" t="inlineStr">
        <is>
          <t>991004253089702656</t>
        </is>
      </c>
      <c r="AY207" t="inlineStr">
        <is>
          <t>2265199370002656</t>
        </is>
      </c>
      <c r="AZ207" t="inlineStr">
        <is>
          <t>BOOK</t>
        </is>
      </c>
      <c r="BB207" t="inlineStr">
        <is>
          <t>9780882021188</t>
        </is>
      </c>
      <c r="BC207" t="inlineStr">
        <is>
          <t>32285000334606</t>
        </is>
      </c>
      <c r="BD207" t="inlineStr">
        <is>
          <t>893247354</t>
        </is>
      </c>
    </row>
    <row r="208">
      <c r="A208" t="inlineStr">
        <is>
          <t>No</t>
        </is>
      </c>
      <c r="B208" t="inlineStr">
        <is>
          <t>RC154.5.A2 L4</t>
        </is>
      </c>
      <c r="C208" t="inlineStr">
        <is>
          <t>0                      RC 0154500A  2                  L  4</t>
        </is>
      </c>
      <c r="D208" t="inlineStr">
        <is>
          <t>Alone no longer : the story of a man who refused to be one of the living dead! / by Stanley Stein [pseud.] with Lawrence G. Blochman. Foreword by Perry Burgess.</t>
        </is>
      </c>
      <c r="F208" t="inlineStr">
        <is>
          <t>No</t>
        </is>
      </c>
      <c r="G208" t="inlineStr">
        <is>
          <t>1</t>
        </is>
      </c>
      <c r="H208" t="inlineStr">
        <is>
          <t>No</t>
        </is>
      </c>
      <c r="I208" t="inlineStr">
        <is>
          <t>No</t>
        </is>
      </c>
      <c r="J208" t="inlineStr">
        <is>
          <t>0</t>
        </is>
      </c>
      <c r="K208" t="inlineStr">
        <is>
          <t>Levyson, Sidney Maurice, 1899-1967.</t>
        </is>
      </c>
      <c r="L208" t="inlineStr">
        <is>
          <t>New York : Funk &amp; Wagnalls, [1963]</t>
        </is>
      </c>
      <c r="M208" t="inlineStr">
        <is>
          <t>1963</t>
        </is>
      </c>
      <c r="O208" t="inlineStr">
        <is>
          <t>eng</t>
        </is>
      </c>
      <c r="P208" t="inlineStr">
        <is>
          <t xml:space="preserve">xx </t>
        </is>
      </c>
      <c r="R208" t="inlineStr">
        <is>
          <t xml:space="preserve">RC </t>
        </is>
      </c>
      <c r="S208" t="n">
        <v>5</v>
      </c>
      <c r="T208" t="n">
        <v>5</v>
      </c>
      <c r="U208" t="inlineStr">
        <is>
          <t>2000-04-04</t>
        </is>
      </c>
      <c r="V208" t="inlineStr">
        <is>
          <t>2000-04-04</t>
        </is>
      </c>
      <c r="W208" t="inlineStr">
        <is>
          <t>1990-11-30</t>
        </is>
      </c>
      <c r="X208" t="inlineStr">
        <is>
          <t>1990-11-30</t>
        </is>
      </c>
      <c r="Y208" t="n">
        <v>221</v>
      </c>
      <c r="Z208" t="n">
        <v>217</v>
      </c>
      <c r="AA208" t="n">
        <v>256</v>
      </c>
      <c r="AB208" t="n">
        <v>1</v>
      </c>
      <c r="AC208" t="n">
        <v>1</v>
      </c>
      <c r="AD208" t="n">
        <v>4</v>
      </c>
      <c r="AE208" t="n">
        <v>5</v>
      </c>
      <c r="AF208" t="n">
        <v>2</v>
      </c>
      <c r="AG208" t="n">
        <v>3</v>
      </c>
      <c r="AH208" t="n">
        <v>0</v>
      </c>
      <c r="AI208" t="n">
        <v>0</v>
      </c>
      <c r="AJ208" t="n">
        <v>3</v>
      </c>
      <c r="AK208" t="n">
        <v>3</v>
      </c>
      <c r="AL208" t="n">
        <v>0</v>
      </c>
      <c r="AM208" t="n">
        <v>0</v>
      </c>
      <c r="AN208" t="n">
        <v>0</v>
      </c>
      <c r="AO208" t="n">
        <v>0</v>
      </c>
      <c r="AP208" t="inlineStr">
        <is>
          <t>No</t>
        </is>
      </c>
      <c r="AQ208" t="inlineStr">
        <is>
          <t>Yes</t>
        </is>
      </c>
      <c r="AR208">
        <f>HYPERLINK("http://catalog.hathitrust.org/Record/001562194","HathiTrust Record")</f>
        <v/>
      </c>
      <c r="AS208">
        <f>HYPERLINK("https://creighton-primo.hosted.exlibrisgroup.com/primo-explore/search?tab=default_tab&amp;search_scope=EVERYTHING&amp;vid=01CRU&amp;lang=en_US&amp;offset=0&amp;query=any,contains,991002928779702656","Catalog Record")</f>
        <v/>
      </c>
      <c r="AT208">
        <f>HYPERLINK("http://www.worldcat.org/oclc/530097","WorldCat Record")</f>
        <v/>
      </c>
      <c r="AU208" t="inlineStr">
        <is>
          <t>1542301:eng</t>
        </is>
      </c>
      <c r="AV208" t="inlineStr">
        <is>
          <t>530097</t>
        </is>
      </c>
      <c r="AW208" t="inlineStr">
        <is>
          <t>991002928779702656</t>
        </is>
      </c>
      <c r="AX208" t="inlineStr">
        <is>
          <t>991002928779702656</t>
        </is>
      </c>
      <c r="AY208" t="inlineStr">
        <is>
          <t>2266891240002656</t>
        </is>
      </c>
      <c r="AZ208" t="inlineStr">
        <is>
          <t>BOOK</t>
        </is>
      </c>
      <c r="BC208" t="inlineStr">
        <is>
          <t>32285000411313</t>
        </is>
      </c>
      <c r="BD208" t="inlineStr">
        <is>
          <t>893805224</t>
        </is>
      </c>
    </row>
    <row r="209">
      <c r="A209" t="inlineStr">
        <is>
          <t>No</t>
        </is>
      </c>
      <c r="B209" t="inlineStr">
        <is>
          <t>RC154.6.S3 R5 1977</t>
        </is>
      </c>
      <c r="C209" t="inlineStr">
        <is>
          <t>0                      RC 0154600S  3                  R  5           1977</t>
        </is>
      </c>
      <c r="D209" t="inlineStr">
        <is>
          <t>The medieval leper and his northern heirs / Peter Richards.</t>
        </is>
      </c>
      <c r="F209" t="inlineStr">
        <is>
          <t>No</t>
        </is>
      </c>
      <c r="G209" t="inlineStr">
        <is>
          <t>1</t>
        </is>
      </c>
      <c r="H209" t="inlineStr">
        <is>
          <t>No</t>
        </is>
      </c>
      <c r="I209" t="inlineStr">
        <is>
          <t>No</t>
        </is>
      </c>
      <c r="J209" t="inlineStr">
        <is>
          <t>0</t>
        </is>
      </c>
      <c r="K209" t="inlineStr">
        <is>
          <t>Richards, Peter, M.D.</t>
        </is>
      </c>
      <c r="L209" t="inlineStr">
        <is>
          <t>Cambridge, Eng. : D. S. Brewer ; Totowa, N.J. : Rowman and Littlefield, c1977.</t>
        </is>
      </c>
      <c r="M209" t="inlineStr">
        <is>
          <t>1977</t>
        </is>
      </c>
      <c r="O209" t="inlineStr">
        <is>
          <t>eng</t>
        </is>
      </c>
      <c r="P209" t="inlineStr">
        <is>
          <t>enk</t>
        </is>
      </c>
      <c r="R209" t="inlineStr">
        <is>
          <t xml:space="preserve">RC </t>
        </is>
      </c>
      <c r="S209" t="n">
        <v>8</v>
      </c>
      <c r="T209" t="n">
        <v>8</v>
      </c>
      <c r="U209" t="inlineStr">
        <is>
          <t>2000-04-04</t>
        </is>
      </c>
      <c r="V209" t="inlineStr">
        <is>
          <t>2000-04-04</t>
        </is>
      </c>
      <c r="W209" t="inlineStr">
        <is>
          <t>1990-10-08</t>
        </is>
      </c>
      <c r="X209" t="inlineStr">
        <is>
          <t>1990-10-08</t>
        </is>
      </c>
      <c r="Y209" t="n">
        <v>433</v>
      </c>
      <c r="Z209" t="n">
        <v>302</v>
      </c>
      <c r="AA209" t="n">
        <v>350</v>
      </c>
      <c r="AB209" t="n">
        <v>2</v>
      </c>
      <c r="AC209" t="n">
        <v>2</v>
      </c>
      <c r="AD209" t="n">
        <v>11</v>
      </c>
      <c r="AE209" t="n">
        <v>12</v>
      </c>
      <c r="AF209" t="n">
        <v>2</v>
      </c>
      <c r="AG209" t="n">
        <v>2</v>
      </c>
      <c r="AH209" t="n">
        <v>3</v>
      </c>
      <c r="AI209" t="n">
        <v>4</v>
      </c>
      <c r="AJ209" t="n">
        <v>7</v>
      </c>
      <c r="AK209" t="n">
        <v>8</v>
      </c>
      <c r="AL209" t="n">
        <v>1</v>
      </c>
      <c r="AM209" t="n">
        <v>1</v>
      </c>
      <c r="AN209" t="n">
        <v>0</v>
      </c>
      <c r="AO209" t="n">
        <v>0</v>
      </c>
      <c r="AP209" t="inlineStr">
        <is>
          <t>No</t>
        </is>
      </c>
      <c r="AQ209" t="inlineStr">
        <is>
          <t>Yes</t>
        </is>
      </c>
      <c r="AR209">
        <f>HYPERLINK("http://catalog.hathitrust.org/Record/000173177","HathiTrust Record")</f>
        <v/>
      </c>
      <c r="AS209">
        <f>HYPERLINK("https://creighton-primo.hosted.exlibrisgroup.com/primo-explore/search?tab=default_tab&amp;search_scope=EVERYTHING&amp;vid=01CRU&amp;lang=en_US&amp;offset=0&amp;query=any,contains,991004244079702656","Catalog Record")</f>
        <v/>
      </c>
      <c r="AT209">
        <f>HYPERLINK("http://www.worldcat.org/oclc/2797764","WorldCat Record")</f>
        <v/>
      </c>
      <c r="AU209" t="inlineStr">
        <is>
          <t>38221767:eng</t>
        </is>
      </c>
      <c r="AV209" t="inlineStr">
        <is>
          <t>2797764</t>
        </is>
      </c>
      <c r="AW209" t="inlineStr">
        <is>
          <t>991004244079702656</t>
        </is>
      </c>
      <c r="AX209" t="inlineStr">
        <is>
          <t>991004244079702656</t>
        </is>
      </c>
      <c r="AY209" t="inlineStr">
        <is>
          <t>2265678430002656</t>
        </is>
      </c>
      <c r="AZ209" t="inlineStr">
        <is>
          <t>BOOK</t>
        </is>
      </c>
      <c r="BB209" t="inlineStr">
        <is>
          <t>9780874719604</t>
        </is>
      </c>
      <c r="BC209" t="inlineStr">
        <is>
          <t>32285000334622</t>
        </is>
      </c>
      <c r="BD209" t="inlineStr">
        <is>
          <t>893325118</t>
        </is>
      </c>
    </row>
    <row r="210">
      <c r="A210" t="inlineStr">
        <is>
          <t>No</t>
        </is>
      </c>
      <c r="B210" t="inlineStr">
        <is>
          <t>RC176.A2 G73</t>
        </is>
      </c>
      <c r="C210" t="inlineStr">
        <is>
          <t>0                      RC 0176000A  2                  G  73</t>
        </is>
      </c>
      <c r="D210" t="inlineStr">
        <is>
          <t>Plague! : The shocking story of a dread disease in America today / Charles T. Gregg. --</t>
        </is>
      </c>
      <c r="F210" t="inlineStr">
        <is>
          <t>No</t>
        </is>
      </c>
      <c r="G210" t="inlineStr">
        <is>
          <t>1</t>
        </is>
      </c>
      <c r="H210" t="inlineStr">
        <is>
          <t>No</t>
        </is>
      </c>
      <c r="I210" t="inlineStr">
        <is>
          <t>No</t>
        </is>
      </c>
      <c r="J210" t="inlineStr">
        <is>
          <t>0</t>
        </is>
      </c>
      <c r="K210" t="inlineStr">
        <is>
          <t>Gregg, Charles T.</t>
        </is>
      </c>
      <c r="L210" t="inlineStr">
        <is>
          <t>New York : Scribner, c1978.</t>
        </is>
      </c>
      <c r="M210" t="inlineStr">
        <is>
          <t>1978</t>
        </is>
      </c>
      <c r="O210" t="inlineStr">
        <is>
          <t>eng</t>
        </is>
      </c>
      <c r="P210" t="inlineStr">
        <is>
          <t>nyu</t>
        </is>
      </c>
      <c r="R210" t="inlineStr">
        <is>
          <t xml:space="preserve">RC </t>
        </is>
      </c>
      <c r="S210" t="n">
        <v>18</v>
      </c>
      <c r="T210" t="n">
        <v>18</v>
      </c>
      <c r="U210" t="inlineStr">
        <is>
          <t>2002-09-05</t>
        </is>
      </c>
      <c r="V210" t="inlineStr">
        <is>
          <t>2002-09-05</t>
        </is>
      </c>
      <c r="W210" t="inlineStr">
        <is>
          <t>1992-10-10</t>
        </is>
      </c>
      <c r="X210" t="inlineStr">
        <is>
          <t>1992-10-10</t>
        </is>
      </c>
      <c r="Y210" t="n">
        <v>550</v>
      </c>
      <c r="Z210" t="n">
        <v>520</v>
      </c>
      <c r="AA210" t="n">
        <v>525</v>
      </c>
      <c r="AB210" t="n">
        <v>3</v>
      </c>
      <c r="AC210" t="n">
        <v>3</v>
      </c>
      <c r="AD210" t="n">
        <v>9</v>
      </c>
      <c r="AE210" t="n">
        <v>9</v>
      </c>
      <c r="AF210" t="n">
        <v>5</v>
      </c>
      <c r="AG210" t="n">
        <v>5</v>
      </c>
      <c r="AH210" t="n">
        <v>0</v>
      </c>
      <c r="AI210" t="n">
        <v>0</v>
      </c>
      <c r="AJ210" t="n">
        <v>4</v>
      </c>
      <c r="AK210" t="n">
        <v>4</v>
      </c>
      <c r="AL210" t="n">
        <v>2</v>
      </c>
      <c r="AM210" t="n">
        <v>2</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HYPERLINK("https://creighton-primo.hosted.exlibrisgroup.com/primo-explore/search?tab=default_tab&amp;search_scope=EVERYTHING&amp;vid=01CRU&amp;lang=en_US&amp;offset=0&amp;query=any,contains,991004459889702656","Catalog Record")</f>
        <v/>
      </c>
      <c r="AT210">
        <f>HYPERLINK("http://www.worldcat.org/oclc/3542627","WorldCat Record")</f>
        <v/>
      </c>
      <c r="AU210" t="inlineStr">
        <is>
          <t>198305022:eng</t>
        </is>
      </c>
      <c r="AV210" t="inlineStr">
        <is>
          <t>3542627</t>
        </is>
      </c>
      <c r="AW210" t="inlineStr">
        <is>
          <t>991004459889702656</t>
        </is>
      </c>
      <c r="AX210" t="inlineStr">
        <is>
          <t>991004459889702656</t>
        </is>
      </c>
      <c r="AY210" t="inlineStr">
        <is>
          <t>2264813120002656</t>
        </is>
      </c>
      <c r="AZ210" t="inlineStr">
        <is>
          <t>BOOK</t>
        </is>
      </c>
      <c r="BB210" t="inlineStr">
        <is>
          <t>9780684153728</t>
        </is>
      </c>
      <c r="BC210" t="inlineStr">
        <is>
          <t>32285001346237</t>
        </is>
      </c>
      <c r="BD210" t="inlineStr">
        <is>
          <t>893612375</t>
        </is>
      </c>
    </row>
    <row r="211">
      <c r="A211" t="inlineStr">
        <is>
          <t>No</t>
        </is>
      </c>
      <c r="B211" t="inlineStr">
        <is>
          <t>RC178.I8 C56</t>
        </is>
      </c>
      <c r="C211" t="inlineStr">
        <is>
          <t>0                      RC 0178000I  8                  C  56</t>
        </is>
      </c>
      <c r="D211" t="inlineStr">
        <is>
          <t>Fighting the plague in seventeenth-century Italy / Carlo M. Cipolla.</t>
        </is>
      </c>
      <c r="F211" t="inlineStr">
        <is>
          <t>No</t>
        </is>
      </c>
      <c r="G211" t="inlineStr">
        <is>
          <t>1</t>
        </is>
      </c>
      <c r="H211" t="inlineStr">
        <is>
          <t>No</t>
        </is>
      </c>
      <c r="I211" t="inlineStr">
        <is>
          <t>No</t>
        </is>
      </c>
      <c r="J211" t="inlineStr">
        <is>
          <t>0</t>
        </is>
      </c>
      <c r="K211" t="inlineStr">
        <is>
          <t>Cipolla, Carlo M.</t>
        </is>
      </c>
      <c r="L211" t="inlineStr">
        <is>
          <t>Madison, Wis. : University of Wisconsin Press, 1980.</t>
        </is>
      </c>
      <c r="M211" t="inlineStr">
        <is>
          <t>1980</t>
        </is>
      </c>
      <c r="O211" t="inlineStr">
        <is>
          <t>eng</t>
        </is>
      </c>
      <c r="P211" t="inlineStr">
        <is>
          <t>wiu</t>
        </is>
      </c>
      <c r="Q211" t="inlineStr">
        <is>
          <t>The Curti lectures ; 1978</t>
        </is>
      </c>
      <c r="R211" t="inlineStr">
        <is>
          <t xml:space="preserve">RC </t>
        </is>
      </c>
      <c r="S211" t="n">
        <v>15</v>
      </c>
      <c r="T211" t="n">
        <v>15</v>
      </c>
      <c r="U211" t="inlineStr">
        <is>
          <t>2005-04-12</t>
        </is>
      </c>
      <c r="V211" t="inlineStr">
        <is>
          <t>2005-04-12</t>
        </is>
      </c>
      <c r="W211" t="inlineStr">
        <is>
          <t>1993-03-17</t>
        </is>
      </c>
      <c r="X211" t="inlineStr">
        <is>
          <t>1993-03-17</t>
        </is>
      </c>
      <c r="Y211" t="n">
        <v>437</v>
      </c>
      <c r="Z211" t="n">
        <v>337</v>
      </c>
      <c r="AA211" t="n">
        <v>344</v>
      </c>
      <c r="AB211" t="n">
        <v>4</v>
      </c>
      <c r="AC211" t="n">
        <v>4</v>
      </c>
      <c r="AD211" t="n">
        <v>16</v>
      </c>
      <c r="AE211" t="n">
        <v>17</v>
      </c>
      <c r="AF211" t="n">
        <v>2</v>
      </c>
      <c r="AG211" t="n">
        <v>2</v>
      </c>
      <c r="AH211" t="n">
        <v>4</v>
      </c>
      <c r="AI211" t="n">
        <v>5</v>
      </c>
      <c r="AJ211" t="n">
        <v>9</v>
      </c>
      <c r="AK211" t="n">
        <v>10</v>
      </c>
      <c r="AL211" t="n">
        <v>3</v>
      </c>
      <c r="AM211" t="n">
        <v>3</v>
      </c>
      <c r="AN211" t="n">
        <v>0</v>
      </c>
      <c r="AO211" t="n">
        <v>0</v>
      </c>
      <c r="AP211" t="inlineStr">
        <is>
          <t>No</t>
        </is>
      </c>
      <c r="AQ211" t="inlineStr">
        <is>
          <t>Yes</t>
        </is>
      </c>
      <c r="AR211">
        <f>HYPERLINK("http://catalog.hathitrust.org/Record/000128335","HathiTrust Record")</f>
        <v/>
      </c>
      <c r="AS211">
        <f>HYPERLINK("https://creighton-primo.hosted.exlibrisgroup.com/primo-explore/search?tab=default_tab&amp;search_scope=EVERYTHING&amp;vid=01CRU&amp;lang=en_US&amp;offset=0&amp;query=any,contains,991005055329702656","Catalog Record")</f>
        <v/>
      </c>
      <c r="AT211">
        <f>HYPERLINK("http://www.worldcat.org/oclc/6891148","WorldCat Record")</f>
        <v/>
      </c>
      <c r="AU211" t="inlineStr">
        <is>
          <t>434463:eng</t>
        </is>
      </c>
      <c r="AV211" t="inlineStr">
        <is>
          <t>6891148</t>
        </is>
      </c>
      <c r="AW211" t="inlineStr">
        <is>
          <t>991005055329702656</t>
        </is>
      </c>
      <c r="AX211" t="inlineStr">
        <is>
          <t>991005055329702656</t>
        </is>
      </c>
      <c r="AY211" t="inlineStr">
        <is>
          <t>2262089960002656</t>
        </is>
      </c>
      <c r="AZ211" t="inlineStr">
        <is>
          <t>BOOK</t>
        </is>
      </c>
      <c r="BB211" t="inlineStr">
        <is>
          <t>9780299083403</t>
        </is>
      </c>
      <c r="BC211" t="inlineStr">
        <is>
          <t>32285001589109</t>
        </is>
      </c>
      <c r="BD211" t="inlineStr">
        <is>
          <t>893694683</t>
        </is>
      </c>
    </row>
    <row r="212">
      <c r="A212" t="inlineStr">
        <is>
          <t>No</t>
        </is>
      </c>
      <c r="B212" t="inlineStr">
        <is>
          <t>RC180.2 .C62</t>
        </is>
      </c>
      <c r="C212" t="inlineStr">
        <is>
          <t>0                      RC 0180200C  62</t>
        </is>
      </c>
      <c r="D212" t="inlineStr">
        <is>
          <t>Four billion dimes.</t>
        </is>
      </c>
      <c r="F212" t="inlineStr">
        <is>
          <t>No</t>
        </is>
      </c>
      <c r="G212" t="inlineStr">
        <is>
          <t>1</t>
        </is>
      </c>
      <c r="H212" t="inlineStr">
        <is>
          <t>No</t>
        </is>
      </c>
      <c r="I212" t="inlineStr">
        <is>
          <t>No</t>
        </is>
      </c>
      <c r="J212" t="inlineStr">
        <is>
          <t>0</t>
        </is>
      </c>
      <c r="K212" t="inlineStr">
        <is>
          <t>Cohn, Victor, 1919-2000.</t>
        </is>
      </c>
      <c r="M212" t="inlineStr">
        <is>
          <t>1955</t>
        </is>
      </c>
      <c r="O212" t="inlineStr">
        <is>
          <t>eng</t>
        </is>
      </c>
      <c r="P212" t="inlineStr">
        <is>
          <t>mnu</t>
        </is>
      </c>
      <c r="R212" t="inlineStr">
        <is>
          <t xml:space="preserve">RC </t>
        </is>
      </c>
      <c r="S212" t="n">
        <v>2</v>
      </c>
      <c r="T212" t="n">
        <v>2</v>
      </c>
      <c r="U212" t="inlineStr">
        <is>
          <t>2009-03-31</t>
        </is>
      </c>
      <c r="V212" t="inlineStr">
        <is>
          <t>2009-03-31</t>
        </is>
      </c>
      <c r="W212" t="inlineStr">
        <is>
          <t>1997-08-08</t>
        </is>
      </c>
      <c r="X212" t="inlineStr">
        <is>
          <t>1997-08-08</t>
        </is>
      </c>
      <c r="Y212" t="n">
        <v>95</v>
      </c>
      <c r="Z212" t="n">
        <v>90</v>
      </c>
      <c r="AA212" t="n">
        <v>96</v>
      </c>
      <c r="AB212" t="n">
        <v>1</v>
      </c>
      <c r="AC212" t="n">
        <v>1</v>
      </c>
      <c r="AD212" t="n">
        <v>1</v>
      </c>
      <c r="AE212" t="n">
        <v>1</v>
      </c>
      <c r="AF212" t="n">
        <v>0</v>
      </c>
      <c r="AG212" t="n">
        <v>0</v>
      </c>
      <c r="AH212" t="n">
        <v>0</v>
      </c>
      <c r="AI212" t="n">
        <v>0</v>
      </c>
      <c r="AJ212" t="n">
        <v>1</v>
      </c>
      <c r="AK212" t="n">
        <v>1</v>
      </c>
      <c r="AL212" t="n">
        <v>0</v>
      </c>
      <c r="AM212" t="n">
        <v>0</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HYPERLINK("https://creighton-primo.hosted.exlibrisgroup.com/primo-explore/search?tab=default_tab&amp;search_scope=EVERYTHING&amp;vid=01CRU&amp;lang=en_US&amp;offset=0&amp;query=any,contains,991004631829702656","Catalog Record")</f>
        <v/>
      </c>
      <c r="AT212">
        <f>HYPERLINK("http://www.worldcat.org/oclc/4378005","WorldCat Record")</f>
        <v/>
      </c>
      <c r="AU212" t="inlineStr">
        <is>
          <t>14706430:eng</t>
        </is>
      </c>
      <c r="AV212" t="inlineStr">
        <is>
          <t>4378005</t>
        </is>
      </c>
      <c r="AW212" t="inlineStr">
        <is>
          <t>991004631829702656</t>
        </is>
      </c>
      <c r="AX212" t="inlineStr">
        <is>
          <t>991004631829702656</t>
        </is>
      </c>
      <c r="AY212" t="inlineStr">
        <is>
          <t>2264470400002656</t>
        </is>
      </c>
      <c r="AZ212" t="inlineStr">
        <is>
          <t>BOOK</t>
        </is>
      </c>
      <c r="BC212" t="inlineStr">
        <is>
          <t>32285003084406</t>
        </is>
      </c>
      <c r="BD212" t="inlineStr">
        <is>
          <t>893628271</t>
        </is>
      </c>
    </row>
    <row r="213">
      <c r="A213" t="inlineStr">
        <is>
          <t>No</t>
        </is>
      </c>
      <c r="B213" t="inlineStr">
        <is>
          <t>RC180.5.K4 A3 1943</t>
        </is>
      </c>
      <c r="C213" t="inlineStr">
        <is>
          <t>0                      RC 0180500K  4                  A  3           1943</t>
        </is>
      </c>
      <c r="D213" t="inlineStr">
        <is>
          <t>And they shall walk : the life story of Sister Elizabeth Kenny / written in collaberation with Martha Ostenso.</t>
        </is>
      </c>
      <c r="F213" t="inlineStr">
        <is>
          <t>No</t>
        </is>
      </c>
      <c r="G213" t="inlineStr">
        <is>
          <t>1</t>
        </is>
      </c>
      <c r="H213" t="inlineStr">
        <is>
          <t>No</t>
        </is>
      </c>
      <c r="I213" t="inlineStr">
        <is>
          <t>No</t>
        </is>
      </c>
      <c r="J213" t="inlineStr">
        <is>
          <t>0</t>
        </is>
      </c>
      <c r="K213" t="inlineStr">
        <is>
          <t>Kenny, Elizabeth.</t>
        </is>
      </c>
      <c r="L213" t="inlineStr">
        <is>
          <t>New York : Dodd, Mead &amp; Company, 1943.</t>
        </is>
      </c>
      <c r="M213" t="inlineStr">
        <is>
          <t>1943</t>
        </is>
      </c>
      <c r="O213" t="inlineStr">
        <is>
          <t>eng</t>
        </is>
      </c>
      <c r="P213" t="inlineStr">
        <is>
          <t>nyu</t>
        </is>
      </c>
      <c r="R213" t="inlineStr">
        <is>
          <t xml:space="preserve">RC </t>
        </is>
      </c>
      <c r="S213" t="n">
        <v>2</v>
      </c>
      <c r="T213" t="n">
        <v>2</v>
      </c>
      <c r="U213" t="inlineStr">
        <is>
          <t>1993-03-04</t>
        </is>
      </c>
      <c r="V213" t="inlineStr">
        <is>
          <t>1993-03-04</t>
        </is>
      </c>
      <c r="W213" t="inlineStr">
        <is>
          <t>1990-10-08</t>
        </is>
      </c>
      <c r="X213" t="inlineStr">
        <is>
          <t>1990-10-08</t>
        </is>
      </c>
      <c r="Y213" t="n">
        <v>584</v>
      </c>
      <c r="Z213" t="n">
        <v>562</v>
      </c>
      <c r="AA213" t="n">
        <v>616</v>
      </c>
      <c r="AB213" t="n">
        <v>7</v>
      </c>
      <c r="AC213" t="n">
        <v>8</v>
      </c>
      <c r="AD213" t="n">
        <v>10</v>
      </c>
      <c r="AE213" t="n">
        <v>11</v>
      </c>
      <c r="AF213" t="n">
        <v>2</v>
      </c>
      <c r="AG213" t="n">
        <v>2</v>
      </c>
      <c r="AH213" t="n">
        <v>2</v>
      </c>
      <c r="AI213" t="n">
        <v>2</v>
      </c>
      <c r="AJ213" t="n">
        <v>2</v>
      </c>
      <c r="AK213" t="n">
        <v>2</v>
      </c>
      <c r="AL213" t="n">
        <v>5</v>
      </c>
      <c r="AM213" t="n">
        <v>6</v>
      </c>
      <c r="AN213" t="n">
        <v>0</v>
      </c>
      <c r="AO213" t="n">
        <v>0</v>
      </c>
      <c r="AP213" t="inlineStr">
        <is>
          <t>No</t>
        </is>
      </c>
      <c r="AQ213" t="inlineStr">
        <is>
          <t>Yes</t>
        </is>
      </c>
      <c r="AR213">
        <f>HYPERLINK("http://catalog.hathitrust.org/Record/006733196","HathiTrust Record")</f>
        <v/>
      </c>
      <c r="AS213">
        <f>HYPERLINK("https://creighton-primo.hosted.exlibrisgroup.com/primo-explore/search?tab=default_tab&amp;search_scope=EVERYTHING&amp;vid=01CRU&amp;lang=en_US&amp;offset=0&amp;query=any,contains,991003724949702656","Catalog Record")</f>
        <v/>
      </c>
      <c r="AT213">
        <f>HYPERLINK("http://www.worldcat.org/oclc/1371273","WorldCat Record")</f>
        <v/>
      </c>
      <c r="AU213" t="inlineStr">
        <is>
          <t>836658096:eng</t>
        </is>
      </c>
      <c r="AV213" t="inlineStr">
        <is>
          <t>1371273</t>
        </is>
      </c>
      <c r="AW213" t="inlineStr">
        <is>
          <t>991003724949702656</t>
        </is>
      </c>
      <c r="AX213" t="inlineStr">
        <is>
          <t>991003724949702656</t>
        </is>
      </c>
      <c r="AY213" t="inlineStr">
        <is>
          <t>2259948760002656</t>
        </is>
      </c>
      <c r="AZ213" t="inlineStr">
        <is>
          <t>BOOK</t>
        </is>
      </c>
      <c r="BC213" t="inlineStr">
        <is>
          <t>32285000334663</t>
        </is>
      </c>
      <c r="BD213" t="inlineStr">
        <is>
          <t>893617669</t>
        </is>
      </c>
    </row>
    <row r="214">
      <c r="A214" t="inlineStr">
        <is>
          <t>No</t>
        </is>
      </c>
      <c r="B214" t="inlineStr">
        <is>
          <t>RC180.9 .G68 1995</t>
        </is>
      </c>
      <c r="C214" t="inlineStr">
        <is>
          <t>0                      RC 0180900G  68          1995</t>
        </is>
      </c>
      <c r="D214" t="inlineStr">
        <is>
          <t>A summer plague : polio and its survivors / Tony Gould.</t>
        </is>
      </c>
      <c r="F214" t="inlineStr">
        <is>
          <t>No</t>
        </is>
      </c>
      <c r="G214" t="inlineStr">
        <is>
          <t>1</t>
        </is>
      </c>
      <c r="H214" t="inlineStr">
        <is>
          <t>No</t>
        </is>
      </c>
      <c r="I214" t="inlineStr">
        <is>
          <t>No</t>
        </is>
      </c>
      <c r="J214" t="inlineStr">
        <is>
          <t>0</t>
        </is>
      </c>
      <c r="K214" t="inlineStr">
        <is>
          <t>Gould, Tony, 1938-</t>
        </is>
      </c>
      <c r="L214" t="inlineStr">
        <is>
          <t>New Haven : Yale University Press, 1995.</t>
        </is>
      </c>
      <c r="M214" t="inlineStr">
        <is>
          <t>1995</t>
        </is>
      </c>
      <c r="O214" t="inlineStr">
        <is>
          <t>eng</t>
        </is>
      </c>
      <c r="P214" t="inlineStr">
        <is>
          <t>ctu</t>
        </is>
      </c>
      <c r="R214" t="inlineStr">
        <is>
          <t xml:space="preserve">RC </t>
        </is>
      </c>
      <c r="S214" t="n">
        <v>7</v>
      </c>
      <c r="T214" t="n">
        <v>7</v>
      </c>
      <c r="U214" t="inlineStr">
        <is>
          <t>2006-05-01</t>
        </is>
      </c>
      <c r="V214" t="inlineStr">
        <is>
          <t>2006-05-01</t>
        </is>
      </c>
      <c r="W214" t="inlineStr">
        <is>
          <t>1996-06-04</t>
        </is>
      </c>
      <c r="X214" t="inlineStr">
        <is>
          <t>1996-06-04</t>
        </is>
      </c>
      <c r="Y214" t="n">
        <v>894</v>
      </c>
      <c r="Z214" t="n">
        <v>757</v>
      </c>
      <c r="AA214" t="n">
        <v>796</v>
      </c>
      <c r="AB214" t="n">
        <v>5</v>
      </c>
      <c r="AC214" t="n">
        <v>6</v>
      </c>
      <c r="AD214" t="n">
        <v>21</v>
      </c>
      <c r="AE214" t="n">
        <v>23</v>
      </c>
      <c r="AF214" t="n">
        <v>5</v>
      </c>
      <c r="AG214" t="n">
        <v>6</v>
      </c>
      <c r="AH214" t="n">
        <v>4</v>
      </c>
      <c r="AI214" t="n">
        <v>4</v>
      </c>
      <c r="AJ214" t="n">
        <v>12</v>
      </c>
      <c r="AK214" t="n">
        <v>12</v>
      </c>
      <c r="AL214" t="n">
        <v>3</v>
      </c>
      <c r="AM214" t="n">
        <v>4</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HYPERLINK("https://creighton-primo.hosted.exlibrisgroup.com/primo-explore/search?tab=default_tab&amp;search_scope=EVERYTHING&amp;vid=01CRU&amp;lang=en_US&amp;offset=0&amp;query=any,contains,991002431589702656","Catalog Record")</f>
        <v/>
      </c>
      <c r="AT214">
        <f>HYPERLINK("http://www.worldcat.org/oclc/31708713","WorldCat Record")</f>
        <v/>
      </c>
      <c r="AU214" t="inlineStr">
        <is>
          <t>836999702:eng</t>
        </is>
      </c>
      <c r="AV214" t="inlineStr">
        <is>
          <t>31708713</t>
        </is>
      </c>
      <c r="AW214" t="inlineStr">
        <is>
          <t>991002431589702656</t>
        </is>
      </c>
      <c r="AX214" t="inlineStr">
        <is>
          <t>991002431589702656</t>
        </is>
      </c>
      <c r="AY214" t="inlineStr">
        <is>
          <t>2271685640002656</t>
        </is>
      </c>
      <c r="AZ214" t="inlineStr">
        <is>
          <t>BOOK</t>
        </is>
      </c>
      <c r="BB214" t="inlineStr">
        <is>
          <t>9780300062922</t>
        </is>
      </c>
      <c r="BC214" t="inlineStr">
        <is>
          <t>32285002187416</t>
        </is>
      </c>
      <c r="BD214" t="inlineStr">
        <is>
          <t>893786133</t>
        </is>
      </c>
    </row>
    <row r="215">
      <c r="A215" t="inlineStr">
        <is>
          <t>No</t>
        </is>
      </c>
      <c r="B215" t="inlineStr">
        <is>
          <t>RC183.1 .H66 1983</t>
        </is>
      </c>
      <c r="C215" t="inlineStr">
        <is>
          <t>0                      RC 0183100H  66          1983</t>
        </is>
      </c>
      <c r="D215" t="inlineStr">
        <is>
          <t>Princes and peasants : smallpox in history / Donald R. Hopkins ; with a foreword by George I. Lythcott.</t>
        </is>
      </c>
      <c r="F215" t="inlineStr">
        <is>
          <t>No</t>
        </is>
      </c>
      <c r="G215" t="inlineStr">
        <is>
          <t>1</t>
        </is>
      </c>
      <c r="H215" t="inlineStr">
        <is>
          <t>No</t>
        </is>
      </c>
      <c r="I215" t="inlineStr">
        <is>
          <t>No</t>
        </is>
      </c>
      <c r="J215" t="inlineStr">
        <is>
          <t>0</t>
        </is>
      </c>
      <c r="K215" t="inlineStr">
        <is>
          <t>Hopkins, Donald R.</t>
        </is>
      </c>
      <c r="L215" t="inlineStr">
        <is>
          <t>Chicago : University of Chicago Press, 1983.</t>
        </is>
      </c>
      <c r="M215" t="inlineStr">
        <is>
          <t>1983</t>
        </is>
      </c>
      <c r="O215" t="inlineStr">
        <is>
          <t>eng</t>
        </is>
      </c>
      <c r="P215" t="inlineStr">
        <is>
          <t>ilu</t>
        </is>
      </c>
      <c r="R215" t="inlineStr">
        <is>
          <t xml:space="preserve">RC </t>
        </is>
      </c>
      <c r="S215" t="n">
        <v>4</v>
      </c>
      <c r="T215" t="n">
        <v>4</v>
      </c>
      <c r="U215" t="inlineStr">
        <is>
          <t>2002-10-25</t>
        </is>
      </c>
      <c r="V215" t="inlineStr">
        <is>
          <t>2002-10-25</t>
        </is>
      </c>
      <c r="W215" t="inlineStr">
        <is>
          <t>1993-03-17</t>
        </is>
      </c>
      <c r="X215" t="inlineStr">
        <is>
          <t>1993-03-17</t>
        </is>
      </c>
      <c r="Y215" t="n">
        <v>965</v>
      </c>
      <c r="Z215" t="n">
        <v>823</v>
      </c>
      <c r="AA215" t="n">
        <v>830</v>
      </c>
      <c r="AB215" t="n">
        <v>3</v>
      </c>
      <c r="AC215" t="n">
        <v>3</v>
      </c>
      <c r="AD215" t="n">
        <v>23</v>
      </c>
      <c r="AE215" t="n">
        <v>23</v>
      </c>
      <c r="AF215" t="n">
        <v>7</v>
      </c>
      <c r="AG215" t="n">
        <v>7</v>
      </c>
      <c r="AH215" t="n">
        <v>6</v>
      </c>
      <c r="AI215" t="n">
        <v>6</v>
      </c>
      <c r="AJ215" t="n">
        <v>11</v>
      </c>
      <c r="AK215" t="n">
        <v>11</v>
      </c>
      <c r="AL215" t="n">
        <v>2</v>
      </c>
      <c r="AM215" t="n">
        <v>2</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HYPERLINK("https://creighton-primo.hosted.exlibrisgroup.com/primo-explore/search?tab=default_tab&amp;search_scope=EVERYTHING&amp;vid=01CRU&amp;lang=en_US&amp;offset=0&amp;query=any,contains,991000197489702656","Catalog Record")</f>
        <v/>
      </c>
      <c r="AT215">
        <f>HYPERLINK("http://www.worldcat.org/oclc/9442237","WorldCat Record")</f>
        <v/>
      </c>
      <c r="AU215" t="inlineStr">
        <is>
          <t>2946007732:eng</t>
        </is>
      </c>
      <c r="AV215" t="inlineStr">
        <is>
          <t>9442237</t>
        </is>
      </c>
      <c r="AW215" t="inlineStr">
        <is>
          <t>991000197489702656</t>
        </is>
      </c>
      <c r="AX215" t="inlineStr">
        <is>
          <t>991000197489702656</t>
        </is>
      </c>
      <c r="AY215" t="inlineStr">
        <is>
          <t>2264866300002656</t>
        </is>
      </c>
      <c r="AZ215" t="inlineStr">
        <is>
          <t>BOOK</t>
        </is>
      </c>
      <c r="BB215" t="inlineStr">
        <is>
          <t>9780226351766</t>
        </is>
      </c>
      <c r="BC215" t="inlineStr">
        <is>
          <t>32285001589125</t>
        </is>
      </c>
      <c r="BD215" t="inlineStr">
        <is>
          <t>893871497</t>
        </is>
      </c>
    </row>
    <row r="216">
      <c r="A216" t="inlineStr">
        <is>
          <t>No</t>
        </is>
      </c>
      <c r="B216" t="inlineStr">
        <is>
          <t>RC186.T82 I44 1985</t>
        </is>
      </c>
      <c r="C216" t="inlineStr">
        <is>
          <t>0                      RC 0186000T  82                 I  44          1985</t>
        </is>
      </c>
      <c r="D216" t="inlineStr">
        <is>
          <t>Immunology and pathogenesis of trypanosomiasis / editor, Ian Tizard.</t>
        </is>
      </c>
      <c r="F216" t="inlineStr">
        <is>
          <t>No</t>
        </is>
      </c>
      <c r="G216" t="inlineStr">
        <is>
          <t>1</t>
        </is>
      </c>
      <c r="H216" t="inlineStr">
        <is>
          <t>No</t>
        </is>
      </c>
      <c r="I216" t="inlineStr">
        <is>
          <t>No</t>
        </is>
      </c>
      <c r="J216" t="inlineStr">
        <is>
          <t>0</t>
        </is>
      </c>
      <c r="L216" t="inlineStr">
        <is>
          <t>Boca Raton, Fla. : CRC Press, 1985.</t>
        </is>
      </c>
      <c r="M216" t="inlineStr">
        <is>
          <t>1985</t>
        </is>
      </c>
      <c r="O216" t="inlineStr">
        <is>
          <t>eng</t>
        </is>
      </c>
      <c r="P216" t="inlineStr">
        <is>
          <t>flu</t>
        </is>
      </c>
      <c r="R216" t="inlineStr">
        <is>
          <t xml:space="preserve">RC </t>
        </is>
      </c>
      <c r="S216" t="n">
        <v>8</v>
      </c>
      <c r="T216" t="n">
        <v>8</v>
      </c>
      <c r="U216" t="inlineStr">
        <is>
          <t>2004-11-19</t>
        </is>
      </c>
      <c r="V216" t="inlineStr">
        <is>
          <t>2004-11-19</t>
        </is>
      </c>
      <c r="W216" t="inlineStr">
        <is>
          <t>1993-03-17</t>
        </is>
      </c>
      <c r="X216" t="inlineStr">
        <is>
          <t>1993-03-17</t>
        </is>
      </c>
      <c r="Y216" t="n">
        <v>142</v>
      </c>
      <c r="Z216" t="n">
        <v>99</v>
      </c>
      <c r="AA216" t="n">
        <v>104</v>
      </c>
      <c r="AB216" t="n">
        <v>2</v>
      </c>
      <c r="AC216" t="n">
        <v>2</v>
      </c>
      <c r="AD216" t="n">
        <v>2</v>
      </c>
      <c r="AE216" t="n">
        <v>2</v>
      </c>
      <c r="AF216" t="n">
        <v>0</v>
      </c>
      <c r="AG216" t="n">
        <v>0</v>
      </c>
      <c r="AH216" t="n">
        <v>1</v>
      </c>
      <c r="AI216" t="n">
        <v>1</v>
      </c>
      <c r="AJ216" t="n">
        <v>1</v>
      </c>
      <c r="AK216" t="n">
        <v>1</v>
      </c>
      <c r="AL216" t="n">
        <v>1</v>
      </c>
      <c r="AM216" t="n">
        <v>1</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HYPERLINK("https://creighton-primo.hosted.exlibrisgroup.com/primo-explore/search?tab=default_tab&amp;search_scope=EVERYTHING&amp;vid=01CRU&amp;lang=en_US&amp;offset=0&amp;query=any,contains,991000489829702656","Catalog Record")</f>
        <v/>
      </c>
      <c r="AT216">
        <f>HYPERLINK("http://www.worldcat.org/oclc/11091543","WorldCat Record")</f>
        <v/>
      </c>
      <c r="AU216" t="inlineStr">
        <is>
          <t>4116403:eng</t>
        </is>
      </c>
      <c r="AV216" t="inlineStr">
        <is>
          <t>11091543</t>
        </is>
      </c>
      <c r="AW216" t="inlineStr">
        <is>
          <t>991000489829702656</t>
        </is>
      </c>
      <c r="AX216" t="inlineStr">
        <is>
          <t>991000489829702656</t>
        </is>
      </c>
      <c r="AY216" t="inlineStr">
        <is>
          <t>2270698550002656</t>
        </is>
      </c>
      <c r="AZ216" t="inlineStr">
        <is>
          <t>BOOK</t>
        </is>
      </c>
      <c r="BB216" t="inlineStr">
        <is>
          <t>9780849356407</t>
        </is>
      </c>
      <c r="BC216" t="inlineStr">
        <is>
          <t>32285001589133</t>
        </is>
      </c>
      <c r="BD216" t="inlineStr">
        <is>
          <t>893237363</t>
        </is>
      </c>
    </row>
    <row r="217">
      <c r="A217" t="inlineStr">
        <is>
          <t>No</t>
        </is>
      </c>
      <c r="B217" t="inlineStr">
        <is>
          <t>RC186.T82 M3 1973</t>
        </is>
      </c>
      <c r="C217" t="inlineStr">
        <is>
          <t>0                      RC 0186000T  82                 M  3           1973</t>
        </is>
      </c>
      <c r="D217" t="inlineStr">
        <is>
          <t>Man against tsetse : struggle for Africa / [by] John J. McKelvey, Jr.</t>
        </is>
      </c>
      <c r="F217" t="inlineStr">
        <is>
          <t>No</t>
        </is>
      </c>
      <c r="G217" t="inlineStr">
        <is>
          <t>1</t>
        </is>
      </c>
      <c r="H217" t="inlineStr">
        <is>
          <t>No</t>
        </is>
      </c>
      <c r="I217" t="inlineStr">
        <is>
          <t>No</t>
        </is>
      </c>
      <c r="J217" t="inlineStr">
        <is>
          <t>0</t>
        </is>
      </c>
      <c r="K217" t="inlineStr">
        <is>
          <t>McKelvey, John J.</t>
        </is>
      </c>
      <c r="L217" t="inlineStr">
        <is>
          <t>Ithaca [N.Y.] : Cornell University Press, c1973, 1975 printing.</t>
        </is>
      </c>
      <c r="M217" t="inlineStr">
        <is>
          <t>1973</t>
        </is>
      </c>
      <c r="O217" t="inlineStr">
        <is>
          <t>eng</t>
        </is>
      </c>
      <c r="P217" t="inlineStr">
        <is>
          <t>nyu</t>
        </is>
      </c>
      <c r="R217" t="inlineStr">
        <is>
          <t xml:space="preserve">RC </t>
        </is>
      </c>
      <c r="S217" t="n">
        <v>7</v>
      </c>
      <c r="T217" t="n">
        <v>7</v>
      </c>
      <c r="U217" t="inlineStr">
        <is>
          <t>2006-09-24</t>
        </is>
      </c>
      <c r="V217" t="inlineStr">
        <is>
          <t>2006-09-24</t>
        </is>
      </c>
      <c r="W217" t="inlineStr">
        <is>
          <t>1992-04-03</t>
        </is>
      </c>
      <c r="X217" t="inlineStr">
        <is>
          <t>1992-04-03</t>
        </is>
      </c>
      <c r="Y217" t="n">
        <v>596</v>
      </c>
      <c r="Z217" t="n">
        <v>497</v>
      </c>
      <c r="AA217" t="n">
        <v>504</v>
      </c>
      <c r="AB217" t="n">
        <v>4</v>
      </c>
      <c r="AC217" t="n">
        <v>4</v>
      </c>
      <c r="AD217" t="n">
        <v>13</v>
      </c>
      <c r="AE217" t="n">
        <v>13</v>
      </c>
      <c r="AF217" t="n">
        <v>5</v>
      </c>
      <c r="AG217" t="n">
        <v>5</v>
      </c>
      <c r="AH217" t="n">
        <v>3</v>
      </c>
      <c r="AI217" t="n">
        <v>3</v>
      </c>
      <c r="AJ217" t="n">
        <v>4</v>
      </c>
      <c r="AK217" t="n">
        <v>4</v>
      </c>
      <c r="AL217" t="n">
        <v>3</v>
      </c>
      <c r="AM217" t="n">
        <v>3</v>
      </c>
      <c r="AN217" t="n">
        <v>0</v>
      </c>
      <c r="AO217" t="n">
        <v>0</v>
      </c>
      <c r="AP217" t="inlineStr">
        <is>
          <t>No</t>
        </is>
      </c>
      <c r="AQ217" t="inlineStr">
        <is>
          <t>Yes</t>
        </is>
      </c>
      <c r="AR217">
        <f>HYPERLINK("http://catalog.hathitrust.org/Record/001562304","HathiTrust Record")</f>
        <v/>
      </c>
      <c r="AS217">
        <f>HYPERLINK("https://creighton-primo.hosted.exlibrisgroup.com/primo-explore/search?tab=default_tab&amp;search_scope=EVERYTHING&amp;vid=01CRU&amp;lang=en_US&amp;offset=0&amp;query=any,contains,991003079199702656","Catalog Record")</f>
        <v/>
      </c>
      <c r="AT217">
        <f>HYPERLINK("http://www.worldcat.org/oclc/631922","WorldCat Record")</f>
        <v/>
      </c>
      <c r="AU217" t="inlineStr">
        <is>
          <t>1744153:eng</t>
        </is>
      </c>
      <c r="AV217" t="inlineStr">
        <is>
          <t>631922</t>
        </is>
      </c>
      <c r="AW217" t="inlineStr">
        <is>
          <t>991003079199702656</t>
        </is>
      </c>
      <c r="AX217" t="inlineStr">
        <is>
          <t>991003079199702656</t>
        </is>
      </c>
      <c r="AY217" t="inlineStr">
        <is>
          <t>2263166100002656</t>
        </is>
      </c>
      <c r="AZ217" t="inlineStr">
        <is>
          <t>BOOK</t>
        </is>
      </c>
      <c r="BB217" t="inlineStr">
        <is>
          <t>9780801407680</t>
        </is>
      </c>
      <c r="BC217" t="inlineStr">
        <is>
          <t>32285001033207</t>
        </is>
      </c>
      <c r="BD217" t="inlineStr">
        <is>
          <t>893409898</t>
        </is>
      </c>
    </row>
    <row r="218">
      <c r="A218" t="inlineStr">
        <is>
          <t>No</t>
        </is>
      </c>
      <c r="B218" t="inlineStr">
        <is>
          <t>RC200.1 .S525 2004</t>
        </is>
      </c>
      <c r="C218" t="inlineStr">
        <is>
          <t>0                      RC 0200100S  525         2004</t>
        </is>
      </c>
      <c r="D218" t="inlineStr">
        <is>
          <t>The encyclopedia of sexually transmitted diseases / Jennifer Shoquist, Diane Stafford.</t>
        </is>
      </c>
      <c r="F218" t="inlineStr">
        <is>
          <t>No</t>
        </is>
      </c>
      <c r="G218" t="inlineStr">
        <is>
          <t>1</t>
        </is>
      </c>
      <c r="H218" t="inlineStr">
        <is>
          <t>No</t>
        </is>
      </c>
      <c r="I218" t="inlineStr">
        <is>
          <t>No</t>
        </is>
      </c>
      <c r="J218" t="inlineStr">
        <is>
          <t>0</t>
        </is>
      </c>
      <c r="K218" t="inlineStr">
        <is>
          <t>Shoquist, Jennifer.</t>
        </is>
      </c>
      <c r="L218" t="inlineStr">
        <is>
          <t>New York : Facts On File, c2004.</t>
        </is>
      </c>
      <c r="M218" t="inlineStr">
        <is>
          <t>2004</t>
        </is>
      </c>
      <c r="O218" t="inlineStr">
        <is>
          <t>eng</t>
        </is>
      </c>
      <c r="P218" t="inlineStr">
        <is>
          <t>nyu</t>
        </is>
      </c>
      <c r="Q218" t="inlineStr">
        <is>
          <t>Facts on File library of health and living</t>
        </is>
      </c>
      <c r="R218" t="inlineStr">
        <is>
          <t xml:space="preserve">RC </t>
        </is>
      </c>
      <c r="S218" t="n">
        <v>1</v>
      </c>
      <c r="T218" t="n">
        <v>1</v>
      </c>
      <c r="U218" t="inlineStr">
        <is>
          <t>2006-01-04</t>
        </is>
      </c>
      <c r="V218" t="inlineStr">
        <is>
          <t>2006-01-04</t>
        </is>
      </c>
      <c r="W218" t="inlineStr">
        <is>
          <t>2006-01-04</t>
        </is>
      </c>
      <c r="X218" t="inlineStr">
        <is>
          <t>2006-01-04</t>
        </is>
      </c>
      <c r="Y218" t="n">
        <v>484</v>
      </c>
      <c r="Z218" t="n">
        <v>428</v>
      </c>
      <c r="AA218" t="n">
        <v>452</v>
      </c>
      <c r="AB218" t="n">
        <v>2</v>
      </c>
      <c r="AC218" t="n">
        <v>2</v>
      </c>
      <c r="AD218" t="n">
        <v>8</v>
      </c>
      <c r="AE218" t="n">
        <v>8</v>
      </c>
      <c r="AF218" t="n">
        <v>3</v>
      </c>
      <c r="AG218" t="n">
        <v>3</v>
      </c>
      <c r="AH218" t="n">
        <v>1</v>
      </c>
      <c r="AI218" t="n">
        <v>1</v>
      </c>
      <c r="AJ218" t="n">
        <v>5</v>
      </c>
      <c r="AK218" t="n">
        <v>5</v>
      </c>
      <c r="AL218" t="n">
        <v>1</v>
      </c>
      <c r="AM218" t="n">
        <v>1</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HYPERLINK("https://creighton-primo.hosted.exlibrisgroup.com/primo-explore/search?tab=default_tab&amp;search_scope=EVERYTHING&amp;vid=01CRU&amp;lang=en_US&amp;offset=0&amp;query=any,contains,991004696779702656","Catalog Record")</f>
        <v/>
      </c>
      <c r="AT218">
        <f>HYPERLINK("http://www.worldcat.org/oclc/51534557","WorldCat Record")</f>
        <v/>
      </c>
      <c r="AU218" t="inlineStr">
        <is>
          <t>708829:eng</t>
        </is>
      </c>
      <c r="AV218" t="inlineStr">
        <is>
          <t>51534557</t>
        </is>
      </c>
      <c r="AW218" t="inlineStr">
        <is>
          <t>991004696779702656</t>
        </is>
      </c>
      <c r="AX218" t="inlineStr">
        <is>
          <t>991004696779702656</t>
        </is>
      </c>
      <c r="AY218" t="inlineStr">
        <is>
          <t>2270772270002656</t>
        </is>
      </c>
      <c r="AZ218" t="inlineStr">
        <is>
          <t>BOOK</t>
        </is>
      </c>
      <c r="BB218" t="inlineStr">
        <is>
          <t>9780816048816</t>
        </is>
      </c>
      <c r="BC218" t="inlineStr">
        <is>
          <t>32285005154199</t>
        </is>
      </c>
      <c r="BD218" t="inlineStr">
        <is>
          <t>893338028</t>
        </is>
      </c>
    </row>
    <row r="219">
      <c r="A219" t="inlineStr">
        <is>
          <t>No</t>
        </is>
      </c>
      <c r="B219" t="inlineStr">
        <is>
          <t>RC200.2 .L35 1986</t>
        </is>
      </c>
      <c r="C219" t="inlineStr">
        <is>
          <t>0                      RC 0200200L  35          1986</t>
        </is>
      </c>
      <c r="D219" t="inlineStr">
        <is>
          <t>Sexually transmitted diseases / Elaine Landau.</t>
        </is>
      </c>
      <c r="F219" t="inlineStr">
        <is>
          <t>No</t>
        </is>
      </c>
      <c r="G219" t="inlineStr">
        <is>
          <t>1</t>
        </is>
      </c>
      <c r="H219" t="inlineStr">
        <is>
          <t>No</t>
        </is>
      </c>
      <c r="I219" t="inlineStr">
        <is>
          <t>No</t>
        </is>
      </c>
      <c r="J219" t="inlineStr">
        <is>
          <t>0</t>
        </is>
      </c>
      <c r="K219" t="inlineStr">
        <is>
          <t>Landau, Elaine.</t>
        </is>
      </c>
      <c r="L219" t="inlineStr">
        <is>
          <t>Hillside, N.J. : Enslow Publishers, c1986.</t>
        </is>
      </c>
      <c r="M219" t="inlineStr">
        <is>
          <t>1986</t>
        </is>
      </c>
      <c r="O219" t="inlineStr">
        <is>
          <t>eng</t>
        </is>
      </c>
      <c r="P219" t="inlineStr">
        <is>
          <t>nju</t>
        </is>
      </c>
      <c r="R219" t="inlineStr">
        <is>
          <t xml:space="preserve">RC </t>
        </is>
      </c>
      <c r="S219" t="n">
        <v>16</v>
      </c>
      <c r="T219" t="n">
        <v>16</v>
      </c>
      <c r="U219" t="inlineStr">
        <is>
          <t>2006-04-04</t>
        </is>
      </c>
      <c r="V219" t="inlineStr">
        <is>
          <t>2006-04-04</t>
        </is>
      </c>
      <c r="W219" t="inlineStr">
        <is>
          <t>1995-07-12</t>
        </is>
      </c>
      <c r="X219" t="inlineStr">
        <is>
          <t>1995-07-12</t>
        </is>
      </c>
      <c r="Y219" t="n">
        <v>380</v>
      </c>
      <c r="Z219" t="n">
        <v>362</v>
      </c>
      <c r="AA219" t="n">
        <v>367</v>
      </c>
      <c r="AB219" t="n">
        <v>4</v>
      </c>
      <c r="AC219" t="n">
        <v>4</v>
      </c>
      <c r="AD219" t="n">
        <v>1</v>
      </c>
      <c r="AE219" t="n">
        <v>1</v>
      </c>
      <c r="AF219" t="n">
        <v>0</v>
      </c>
      <c r="AG219" t="n">
        <v>0</v>
      </c>
      <c r="AH219" t="n">
        <v>0</v>
      </c>
      <c r="AI219" t="n">
        <v>0</v>
      </c>
      <c r="AJ219" t="n">
        <v>0</v>
      </c>
      <c r="AK219" t="n">
        <v>0</v>
      </c>
      <c r="AL219" t="n">
        <v>1</v>
      </c>
      <c r="AM219" t="n">
        <v>1</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HYPERLINK("https://creighton-primo.hosted.exlibrisgroup.com/primo-explore/search?tab=default_tab&amp;search_scope=EVERYTHING&amp;vid=01CRU&amp;lang=en_US&amp;offset=0&amp;query=any,contains,991000589619702656","Catalog Record")</f>
        <v/>
      </c>
      <c r="AT219">
        <f>HYPERLINK("http://www.worldcat.org/oclc/11784177","WorldCat Record")</f>
        <v/>
      </c>
      <c r="AU219" t="inlineStr">
        <is>
          <t>4614852:eng</t>
        </is>
      </c>
      <c r="AV219" t="inlineStr">
        <is>
          <t>11784177</t>
        </is>
      </c>
      <c r="AW219" t="inlineStr">
        <is>
          <t>991000589619702656</t>
        </is>
      </c>
      <c r="AX219" t="inlineStr">
        <is>
          <t>991000589619702656</t>
        </is>
      </c>
      <c r="AY219" t="inlineStr">
        <is>
          <t>2256901550002656</t>
        </is>
      </c>
      <c r="AZ219" t="inlineStr">
        <is>
          <t>BOOK</t>
        </is>
      </c>
      <c r="BB219" t="inlineStr">
        <is>
          <t>9780894901157</t>
        </is>
      </c>
      <c r="BC219" t="inlineStr">
        <is>
          <t>32285002053931</t>
        </is>
      </c>
      <c r="BD219" t="inlineStr">
        <is>
          <t>893589586</t>
        </is>
      </c>
    </row>
    <row r="220">
      <c r="A220" t="inlineStr">
        <is>
          <t>No</t>
        </is>
      </c>
      <c r="B220" t="inlineStr">
        <is>
          <t>RC200.25 .B76 1993</t>
        </is>
      </c>
      <c r="C220" t="inlineStr">
        <is>
          <t>0                      RC 0200250B  76          1993</t>
        </is>
      </c>
      <c r="D220" t="inlineStr">
        <is>
          <t>Straight talk about sexually transmitted diseases / Michael Brodman, John Thacker, and Rachel Kranz.</t>
        </is>
      </c>
      <c r="F220" t="inlineStr">
        <is>
          <t>No</t>
        </is>
      </c>
      <c r="G220" t="inlineStr">
        <is>
          <t>1</t>
        </is>
      </c>
      <c r="H220" t="inlineStr">
        <is>
          <t>No</t>
        </is>
      </c>
      <c r="I220" t="inlineStr">
        <is>
          <t>No</t>
        </is>
      </c>
      <c r="J220" t="inlineStr">
        <is>
          <t>0</t>
        </is>
      </c>
      <c r="K220" t="inlineStr">
        <is>
          <t>Brodman, Michael.</t>
        </is>
      </c>
      <c r="L220" t="inlineStr">
        <is>
          <t>New York, NY, USA : Facts on File, c1993.</t>
        </is>
      </c>
      <c r="M220" t="inlineStr">
        <is>
          <t>1993</t>
        </is>
      </c>
      <c r="O220" t="inlineStr">
        <is>
          <t>eng</t>
        </is>
      </c>
      <c r="P220" t="inlineStr">
        <is>
          <t>nyu</t>
        </is>
      </c>
      <c r="R220" t="inlineStr">
        <is>
          <t xml:space="preserve">RC </t>
        </is>
      </c>
      <c r="S220" t="n">
        <v>20</v>
      </c>
      <c r="T220" t="n">
        <v>20</v>
      </c>
      <c r="U220" t="inlineStr">
        <is>
          <t>2009-04-14</t>
        </is>
      </c>
      <c r="V220" t="inlineStr">
        <is>
          <t>2009-04-14</t>
        </is>
      </c>
      <c r="W220" t="inlineStr">
        <is>
          <t>1995-04-10</t>
        </is>
      </c>
      <c r="X220" t="inlineStr">
        <is>
          <t>1995-04-10</t>
        </is>
      </c>
      <c r="Y220" t="n">
        <v>705</v>
      </c>
      <c r="Z220" t="n">
        <v>653</v>
      </c>
      <c r="AA220" t="n">
        <v>658</v>
      </c>
      <c r="AB220" t="n">
        <v>9</v>
      </c>
      <c r="AC220" t="n">
        <v>9</v>
      </c>
      <c r="AD220" t="n">
        <v>17</v>
      </c>
      <c r="AE220" t="n">
        <v>17</v>
      </c>
      <c r="AF220" t="n">
        <v>5</v>
      </c>
      <c r="AG220" t="n">
        <v>5</v>
      </c>
      <c r="AH220" t="n">
        <v>0</v>
      </c>
      <c r="AI220" t="n">
        <v>0</v>
      </c>
      <c r="AJ220" t="n">
        <v>9</v>
      </c>
      <c r="AK220" t="n">
        <v>9</v>
      </c>
      <c r="AL220" t="n">
        <v>5</v>
      </c>
      <c r="AM220" t="n">
        <v>5</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HYPERLINK("https://creighton-primo.hosted.exlibrisgroup.com/primo-explore/search?tab=default_tab&amp;search_scope=EVERYTHING&amp;vid=01CRU&amp;lang=en_US&amp;offset=0&amp;query=any,contains,991002190979702656","Catalog Record")</f>
        <v/>
      </c>
      <c r="AT220">
        <f>HYPERLINK("http://www.worldcat.org/oclc/28183445","WorldCat Record")</f>
        <v/>
      </c>
      <c r="AU220" t="inlineStr">
        <is>
          <t>30765989:eng</t>
        </is>
      </c>
      <c r="AV220" t="inlineStr">
        <is>
          <t>28183445</t>
        </is>
      </c>
      <c r="AW220" t="inlineStr">
        <is>
          <t>991002190979702656</t>
        </is>
      </c>
      <c r="AX220" t="inlineStr">
        <is>
          <t>991002190979702656</t>
        </is>
      </c>
      <c r="AY220" t="inlineStr">
        <is>
          <t>2270122420002656</t>
        </is>
      </c>
      <c r="AZ220" t="inlineStr">
        <is>
          <t>BOOK</t>
        </is>
      </c>
      <c r="BB220" t="inlineStr">
        <is>
          <t>9780816028641</t>
        </is>
      </c>
      <c r="BC220" t="inlineStr">
        <is>
          <t>32285002017191</t>
        </is>
      </c>
      <c r="BD220" t="inlineStr">
        <is>
          <t>893898469</t>
        </is>
      </c>
    </row>
    <row r="221">
      <c r="A221" t="inlineStr">
        <is>
          <t>No</t>
        </is>
      </c>
      <c r="B221" t="inlineStr">
        <is>
          <t>RC201.6.G7 S43 1996</t>
        </is>
      </c>
      <c r="C221" t="inlineStr">
        <is>
          <t>0                      RC 0201600G  7                  S  43          1996</t>
        </is>
      </c>
      <c r="D221" t="inlineStr">
        <is>
          <t>The secret malady : venereal disease in eighteenth-century Britain and France / Linda E. Merians, editor.</t>
        </is>
      </c>
      <c r="F221" t="inlineStr">
        <is>
          <t>No</t>
        </is>
      </c>
      <c r="G221" t="inlineStr">
        <is>
          <t>1</t>
        </is>
      </c>
      <c r="H221" t="inlineStr">
        <is>
          <t>No</t>
        </is>
      </c>
      <c r="I221" t="inlineStr">
        <is>
          <t>No</t>
        </is>
      </c>
      <c r="J221" t="inlineStr">
        <is>
          <t>0</t>
        </is>
      </c>
      <c r="L221" t="inlineStr">
        <is>
          <t>Lexington, K.Y. : University Press of Kentucky, c1996.</t>
        </is>
      </c>
      <c r="M221" t="inlineStr">
        <is>
          <t>1996</t>
        </is>
      </c>
      <c r="O221" t="inlineStr">
        <is>
          <t>eng</t>
        </is>
      </c>
      <c r="P221" t="inlineStr">
        <is>
          <t>kyu</t>
        </is>
      </c>
      <c r="R221" t="inlineStr">
        <is>
          <t xml:space="preserve">RC </t>
        </is>
      </c>
      <c r="S221" t="n">
        <v>2</v>
      </c>
      <c r="T221" t="n">
        <v>2</v>
      </c>
      <c r="U221" t="inlineStr">
        <is>
          <t>2009-04-07</t>
        </is>
      </c>
      <c r="V221" t="inlineStr">
        <is>
          <t>2009-04-07</t>
        </is>
      </c>
      <c r="W221" t="inlineStr">
        <is>
          <t>2005-05-04</t>
        </is>
      </c>
      <c r="X221" t="inlineStr">
        <is>
          <t>2005-05-04</t>
        </is>
      </c>
      <c r="Y221" t="n">
        <v>371</v>
      </c>
      <c r="Z221" t="n">
        <v>294</v>
      </c>
      <c r="AA221" t="n">
        <v>297</v>
      </c>
      <c r="AB221" t="n">
        <v>1</v>
      </c>
      <c r="AC221" t="n">
        <v>1</v>
      </c>
      <c r="AD221" t="n">
        <v>15</v>
      </c>
      <c r="AE221" t="n">
        <v>15</v>
      </c>
      <c r="AF221" t="n">
        <v>5</v>
      </c>
      <c r="AG221" t="n">
        <v>5</v>
      </c>
      <c r="AH221" t="n">
        <v>3</v>
      </c>
      <c r="AI221" t="n">
        <v>3</v>
      </c>
      <c r="AJ221" t="n">
        <v>11</v>
      </c>
      <c r="AK221" t="n">
        <v>11</v>
      </c>
      <c r="AL221" t="n">
        <v>0</v>
      </c>
      <c r="AM221" t="n">
        <v>0</v>
      </c>
      <c r="AN221" t="n">
        <v>0</v>
      </c>
      <c r="AO221" t="n">
        <v>0</v>
      </c>
      <c r="AP221" t="inlineStr">
        <is>
          <t>No</t>
        </is>
      </c>
      <c r="AQ221" t="inlineStr">
        <is>
          <t>Yes</t>
        </is>
      </c>
      <c r="AR221">
        <f>HYPERLINK("http://catalog.hathitrust.org/Record/003135447","HathiTrust Record")</f>
        <v/>
      </c>
      <c r="AS221">
        <f>HYPERLINK("https://creighton-primo.hosted.exlibrisgroup.com/primo-explore/search?tab=default_tab&amp;search_scope=EVERYTHING&amp;vid=01CRU&amp;lang=en_US&amp;offset=0&amp;query=any,contains,991004549669702656","Catalog Record")</f>
        <v/>
      </c>
      <c r="AT221">
        <f>HYPERLINK("http://www.worldcat.org/oclc/34746028","WorldCat Record")</f>
        <v/>
      </c>
      <c r="AU221" t="inlineStr">
        <is>
          <t>890175209:eng</t>
        </is>
      </c>
      <c r="AV221" t="inlineStr">
        <is>
          <t>34746028</t>
        </is>
      </c>
      <c r="AW221" t="inlineStr">
        <is>
          <t>991004549669702656</t>
        </is>
      </c>
      <c r="AX221" t="inlineStr">
        <is>
          <t>991004549669702656</t>
        </is>
      </c>
      <c r="AY221" t="inlineStr">
        <is>
          <t>2268253650002656</t>
        </is>
      </c>
      <c r="AZ221" t="inlineStr">
        <is>
          <t>BOOK</t>
        </is>
      </c>
      <c r="BB221" t="inlineStr">
        <is>
          <t>9780813108889</t>
        </is>
      </c>
      <c r="BC221" t="inlineStr">
        <is>
          <t>32285005035703</t>
        </is>
      </c>
      <c r="BD221" t="inlineStr">
        <is>
          <t>893417763</t>
        </is>
      </c>
    </row>
    <row r="222">
      <c r="A222" t="inlineStr">
        <is>
          <t>No</t>
        </is>
      </c>
      <c r="B222" t="inlineStr">
        <is>
          <t>RC211.P5 P6 1949</t>
        </is>
      </c>
      <c r="C222" t="inlineStr">
        <is>
          <t>0                      RC 0211000P  5                  P  6           1949</t>
        </is>
      </c>
      <c r="D222" t="inlineStr">
        <is>
          <t>Bring out your dead : the great plague of yellow fever in Philadelphia in 1793 / by J.H. Powell.</t>
        </is>
      </c>
      <c r="F222" t="inlineStr">
        <is>
          <t>No</t>
        </is>
      </c>
      <c r="G222" t="inlineStr">
        <is>
          <t>1</t>
        </is>
      </c>
      <c r="H222" t="inlineStr">
        <is>
          <t>No</t>
        </is>
      </c>
      <c r="I222" t="inlineStr">
        <is>
          <t>No</t>
        </is>
      </c>
      <c r="J222" t="inlineStr">
        <is>
          <t>0</t>
        </is>
      </c>
      <c r="K222" t="inlineStr">
        <is>
          <t>Powell, J. H. (John Harvey), 1914-1971.</t>
        </is>
      </c>
      <c r="L222" t="inlineStr">
        <is>
          <t>Philadelphia : Univ. of Pennsylvania Press, 1949.</t>
        </is>
      </c>
      <c r="M222" t="inlineStr">
        <is>
          <t>1949</t>
        </is>
      </c>
      <c r="O222" t="inlineStr">
        <is>
          <t>eng</t>
        </is>
      </c>
      <c r="P222" t="inlineStr">
        <is>
          <t xml:space="preserve">xx </t>
        </is>
      </c>
      <c r="R222" t="inlineStr">
        <is>
          <t xml:space="preserve">RC </t>
        </is>
      </c>
      <c r="S222" t="n">
        <v>4</v>
      </c>
      <c r="T222" t="n">
        <v>4</v>
      </c>
      <c r="U222" t="inlineStr">
        <is>
          <t>1996-09-03</t>
        </is>
      </c>
      <c r="V222" t="inlineStr">
        <is>
          <t>1996-09-03</t>
        </is>
      </c>
      <c r="W222" t="inlineStr">
        <is>
          <t>1995-08-03</t>
        </is>
      </c>
      <c r="X222" t="inlineStr">
        <is>
          <t>1995-08-03</t>
        </is>
      </c>
      <c r="Y222" t="n">
        <v>410</v>
      </c>
      <c r="Z222" t="n">
        <v>389</v>
      </c>
      <c r="AA222" t="n">
        <v>1317</v>
      </c>
      <c r="AB222" t="n">
        <v>6</v>
      </c>
      <c r="AC222" t="n">
        <v>11</v>
      </c>
      <c r="AD222" t="n">
        <v>15</v>
      </c>
      <c r="AE222" t="n">
        <v>48</v>
      </c>
      <c r="AF222" t="n">
        <v>3</v>
      </c>
      <c r="AG222" t="n">
        <v>21</v>
      </c>
      <c r="AH222" t="n">
        <v>3</v>
      </c>
      <c r="AI222" t="n">
        <v>9</v>
      </c>
      <c r="AJ222" t="n">
        <v>6</v>
      </c>
      <c r="AK222" t="n">
        <v>20</v>
      </c>
      <c r="AL222" t="n">
        <v>5</v>
      </c>
      <c r="AM222" t="n">
        <v>8</v>
      </c>
      <c r="AN222" t="n">
        <v>0</v>
      </c>
      <c r="AO222" t="n">
        <v>1</v>
      </c>
      <c r="AP222" t="inlineStr">
        <is>
          <t>No</t>
        </is>
      </c>
      <c r="AQ222" t="inlineStr">
        <is>
          <t>Yes</t>
        </is>
      </c>
      <c r="AR222">
        <f>HYPERLINK("http://catalog.hathitrust.org/Record/001562373","HathiTrust Record")</f>
        <v/>
      </c>
      <c r="AS222">
        <f>HYPERLINK("https://creighton-primo.hosted.exlibrisgroup.com/primo-explore/search?tab=default_tab&amp;search_scope=EVERYTHING&amp;vid=01CRU&amp;lang=en_US&amp;offset=0&amp;query=any,contains,991000951259702656","Catalog Record")</f>
        <v/>
      </c>
      <c r="AT222">
        <f>HYPERLINK("http://www.worldcat.org/oclc/14674775","WorldCat Record")</f>
        <v/>
      </c>
      <c r="AU222" t="inlineStr">
        <is>
          <t>353780:eng</t>
        </is>
      </c>
      <c r="AV222" t="inlineStr">
        <is>
          <t>14674775</t>
        </is>
      </c>
      <c r="AW222" t="inlineStr">
        <is>
          <t>991000951259702656</t>
        </is>
      </c>
      <c r="AX222" t="inlineStr">
        <is>
          <t>991000951259702656</t>
        </is>
      </c>
      <c r="AY222" t="inlineStr">
        <is>
          <t>2259990300002656</t>
        </is>
      </c>
      <c r="AZ222" t="inlineStr">
        <is>
          <t>BOOK</t>
        </is>
      </c>
      <c r="BB222" t="inlineStr">
        <is>
          <t>9780405024719</t>
        </is>
      </c>
      <c r="BC222" t="inlineStr">
        <is>
          <t>32285002061587</t>
        </is>
      </c>
      <c r="BD222" t="inlineStr">
        <is>
          <t>893413834</t>
        </is>
      </c>
    </row>
    <row r="223">
      <c r="A223" t="inlineStr">
        <is>
          <t>No</t>
        </is>
      </c>
      <c r="B223" t="inlineStr">
        <is>
          <t>RC211.T3 C76 2006</t>
        </is>
      </c>
      <c r="C223" t="inlineStr">
        <is>
          <t>0                      RC 0211000T  3                  C  76          2006</t>
        </is>
      </c>
      <c r="D223" t="inlineStr">
        <is>
          <t>The American plague : the untold story of yellow fever, the epidemic that shaped our history / Molly Caldwell Crosby.</t>
        </is>
      </c>
      <c r="F223" t="inlineStr">
        <is>
          <t>No</t>
        </is>
      </c>
      <c r="G223" t="inlineStr">
        <is>
          <t>1</t>
        </is>
      </c>
      <c r="H223" t="inlineStr">
        <is>
          <t>No</t>
        </is>
      </c>
      <c r="I223" t="inlineStr">
        <is>
          <t>No</t>
        </is>
      </c>
      <c r="J223" t="inlineStr">
        <is>
          <t>0</t>
        </is>
      </c>
      <c r="K223" t="inlineStr">
        <is>
          <t>Crosby, Molly Caldwell.</t>
        </is>
      </c>
      <c r="L223" t="inlineStr">
        <is>
          <t>New York : Berkley Books, 2006.</t>
        </is>
      </c>
      <c r="M223" t="inlineStr">
        <is>
          <t>2006</t>
        </is>
      </c>
      <c r="N223" t="inlineStr">
        <is>
          <t>1st ed.</t>
        </is>
      </c>
      <c r="O223" t="inlineStr">
        <is>
          <t>eng</t>
        </is>
      </c>
      <c r="P223" t="inlineStr">
        <is>
          <t>nyu</t>
        </is>
      </c>
      <c r="R223" t="inlineStr">
        <is>
          <t xml:space="preserve">RC </t>
        </is>
      </c>
      <c r="S223" t="n">
        <v>5</v>
      </c>
      <c r="T223" t="n">
        <v>5</v>
      </c>
      <c r="U223" t="inlineStr">
        <is>
          <t>2010-03-02</t>
        </is>
      </c>
      <c r="V223" t="inlineStr">
        <is>
          <t>2010-03-02</t>
        </is>
      </c>
      <c r="W223" t="inlineStr">
        <is>
          <t>2006-12-05</t>
        </is>
      </c>
      <c r="X223" t="inlineStr">
        <is>
          <t>2006-12-05</t>
        </is>
      </c>
      <c r="Y223" t="n">
        <v>1116</v>
      </c>
      <c r="Z223" t="n">
        <v>1077</v>
      </c>
      <c r="AA223" t="n">
        <v>1305</v>
      </c>
      <c r="AB223" t="n">
        <v>8</v>
      </c>
      <c r="AC223" t="n">
        <v>11</v>
      </c>
      <c r="AD223" t="n">
        <v>22</v>
      </c>
      <c r="AE223" t="n">
        <v>25</v>
      </c>
      <c r="AF223" t="n">
        <v>6</v>
      </c>
      <c r="AG223" t="n">
        <v>7</v>
      </c>
      <c r="AH223" t="n">
        <v>4</v>
      </c>
      <c r="AI223" t="n">
        <v>4</v>
      </c>
      <c r="AJ223" t="n">
        <v>10</v>
      </c>
      <c r="AK223" t="n">
        <v>11</v>
      </c>
      <c r="AL223" t="n">
        <v>5</v>
      </c>
      <c r="AM223" t="n">
        <v>6</v>
      </c>
      <c r="AN223" t="n">
        <v>0</v>
      </c>
      <c r="AO223" t="n">
        <v>0</v>
      </c>
      <c r="AP223" t="inlineStr">
        <is>
          <t>No</t>
        </is>
      </c>
      <c r="AQ223" t="inlineStr">
        <is>
          <t>Yes</t>
        </is>
      </c>
      <c r="AR223">
        <f>HYPERLINK("http://catalog.hathitrust.org/Record/005397774","HathiTrust Record")</f>
        <v/>
      </c>
      <c r="AS223">
        <f>HYPERLINK("https://creighton-primo.hosted.exlibrisgroup.com/primo-explore/search?tab=default_tab&amp;search_scope=EVERYTHING&amp;vid=01CRU&amp;lang=en_US&amp;offset=0&amp;query=any,contains,991004982679702656","Catalog Record")</f>
        <v/>
      </c>
      <c r="AT223">
        <f>HYPERLINK("http://www.worldcat.org/oclc/70823341","WorldCat Record")</f>
        <v/>
      </c>
      <c r="AU223" t="inlineStr">
        <is>
          <t>198153419:eng</t>
        </is>
      </c>
      <c r="AV223" t="inlineStr">
        <is>
          <t>70823341</t>
        </is>
      </c>
      <c r="AW223" t="inlineStr">
        <is>
          <t>991004982679702656</t>
        </is>
      </c>
      <c r="AX223" t="inlineStr">
        <is>
          <t>991004982679702656</t>
        </is>
      </c>
      <c r="AY223" t="inlineStr">
        <is>
          <t>2264392800002656</t>
        </is>
      </c>
      <c r="AZ223" t="inlineStr">
        <is>
          <t>BOOK</t>
        </is>
      </c>
      <c r="BB223" t="inlineStr">
        <is>
          <t>9780425212028</t>
        </is>
      </c>
      <c r="BC223" t="inlineStr">
        <is>
          <t>32285005264501</t>
        </is>
      </c>
      <c r="BD223" t="inlineStr">
        <is>
          <t>893901957</t>
        </is>
      </c>
    </row>
    <row r="224">
      <c r="A224" t="inlineStr">
        <is>
          <t>No</t>
        </is>
      </c>
      <c r="B224" t="inlineStr">
        <is>
          <t>RC254 .S9</t>
        </is>
      </c>
      <c r="C224" t="inlineStr">
        <is>
          <t>0                      RC 0254000S  9</t>
        </is>
      </c>
      <c r="D224" t="inlineStr">
        <is>
          <t>Developmental and metabolic control mechanisms and neoplasia; a collection of papers.</t>
        </is>
      </c>
      <c r="F224" t="inlineStr">
        <is>
          <t>No</t>
        </is>
      </c>
      <c r="G224" t="inlineStr">
        <is>
          <t>1</t>
        </is>
      </c>
      <c r="H224" t="inlineStr">
        <is>
          <t>Yes</t>
        </is>
      </c>
      <c r="I224" t="inlineStr">
        <is>
          <t>No</t>
        </is>
      </c>
      <c r="J224" t="inlineStr">
        <is>
          <t>0</t>
        </is>
      </c>
      <c r="K224" t="inlineStr">
        <is>
          <t>Symposium on Fundamental Cancer Research (19th : 1965 : M.D. Anderson Hospital and Tumor Institute)</t>
        </is>
      </c>
      <c r="L224" t="inlineStr">
        <is>
          <t>[Houston] Published for the University of Texas M. D. Anderson Hospital and Tumor Institute [by] Williams and Wilkins Co., Baltimore, 1965.</t>
        </is>
      </c>
      <c r="M224" t="inlineStr">
        <is>
          <t>1965</t>
        </is>
      </c>
      <c r="O224" t="inlineStr">
        <is>
          <t>eng</t>
        </is>
      </c>
      <c r="P224" t="inlineStr">
        <is>
          <t>txu</t>
        </is>
      </c>
      <c r="R224" t="inlineStr">
        <is>
          <t xml:space="preserve">RC </t>
        </is>
      </c>
      <c r="S224" t="n">
        <v>0</v>
      </c>
      <c r="T224" t="n">
        <v>1</v>
      </c>
      <c r="V224" t="inlineStr">
        <is>
          <t>1995-09-30</t>
        </is>
      </c>
      <c r="W224" t="inlineStr">
        <is>
          <t>1997-08-08</t>
        </is>
      </c>
      <c r="X224" t="inlineStr">
        <is>
          <t>1997-08-08</t>
        </is>
      </c>
      <c r="Y224" t="n">
        <v>151</v>
      </c>
      <c r="Z224" t="n">
        <v>125</v>
      </c>
      <c r="AA224" t="n">
        <v>129</v>
      </c>
      <c r="AB224" t="n">
        <v>3</v>
      </c>
      <c r="AC224" t="n">
        <v>3</v>
      </c>
      <c r="AD224" t="n">
        <v>5</v>
      </c>
      <c r="AE224" t="n">
        <v>5</v>
      </c>
      <c r="AF224" t="n">
        <v>0</v>
      </c>
      <c r="AG224" t="n">
        <v>0</v>
      </c>
      <c r="AH224" t="n">
        <v>1</v>
      </c>
      <c r="AI224" t="n">
        <v>1</v>
      </c>
      <c r="AJ224" t="n">
        <v>4</v>
      </c>
      <c r="AK224" t="n">
        <v>4</v>
      </c>
      <c r="AL224" t="n">
        <v>1</v>
      </c>
      <c r="AM224" t="n">
        <v>1</v>
      </c>
      <c r="AN224" t="n">
        <v>0</v>
      </c>
      <c r="AO224" t="n">
        <v>0</v>
      </c>
      <c r="AP224" t="inlineStr">
        <is>
          <t>No</t>
        </is>
      </c>
      <c r="AQ224" t="inlineStr">
        <is>
          <t>Yes</t>
        </is>
      </c>
      <c r="AR224">
        <f>HYPERLINK("http://catalog.hathitrust.org/Record/001562525","HathiTrust Record")</f>
        <v/>
      </c>
      <c r="AS224">
        <f>HYPERLINK("https://creighton-primo.hosted.exlibrisgroup.com/primo-explore/search?tab=default_tab&amp;search_scope=EVERYTHING&amp;vid=01CRU&amp;lang=en_US&amp;offset=0&amp;query=any,contains,991001779199702656","Catalog Record")</f>
        <v/>
      </c>
      <c r="AT224">
        <f>HYPERLINK("http://www.worldcat.org/oclc/14505932","WorldCat Record")</f>
        <v/>
      </c>
      <c r="AU224" t="inlineStr">
        <is>
          <t>2947351:eng</t>
        </is>
      </c>
      <c r="AV224" t="inlineStr">
        <is>
          <t>14505932</t>
        </is>
      </c>
      <c r="AW224" t="inlineStr">
        <is>
          <t>991001779199702656</t>
        </is>
      </c>
      <c r="AX224" t="inlineStr">
        <is>
          <t>991001779199702656</t>
        </is>
      </c>
      <c r="AY224" t="inlineStr">
        <is>
          <t>2267233410002656</t>
        </is>
      </c>
      <c r="AZ224" t="inlineStr">
        <is>
          <t>BOOK</t>
        </is>
      </c>
      <c r="BC224" t="inlineStr">
        <is>
          <t>32285003084422</t>
        </is>
      </c>
      <c r="BD224" t="inlineStr">
        <is>
          <t>893785383</t>
        </is>
      </c>
    </row>
    <row r="225">
      <c r="A225" t="inlineStr">
        <is>
          <t>No</t>
        </is>
      </c>
      <c r="B225" t="inlineStr">
        <is>
          <t>RC261 .U6 1945</t>
        </is>
      </c>
      <c r="C225" t="inlineStr">
        <is>
          <t>0                      RC 0261000U  6           1945</t>
        </is>
      </c>
      <c r="D225" t="inlineStr">
        <is>
          <t>A symposium on mammary tumors in mice ... by members of the staff of the National cancer institute, National institute of health, United States Public health service, edited by Forest Ray Moulton.</t>
        </is>
      </c>
      <c r="F225" t="inlineStr">
        <is>
          <t>No</t>
        </is>
      </c>
      <c r="G225" t="inlineStr">
        <is>
          <t>1</t>
        </is>
      </c>
      <c r="H225" t="inlineStr">
        <is>
          <t>No</t>
        </is>
      </c>
      <c r="I225" t="inlineStr">
        <is>
          <t>No</t>
        </is>
      </c>
      <c r="J225" t="inlineStr">
        <is>
          <t>0</t>
        </is>
      </c>
      <c r="K225" t="inlineStr">
        <is>
          <t>National Cancer Institute (U.S.)</t>
        </is>
      </c>
      <c r="L225" t="inlineStr">
        <is>
          <t>Washington, D.C., American Association for the Advancement of Science [c1945]</t>
        </is>
      </c>
      <c r="M225" t="inlineStr">
        <is>
          <t>1945</t>
        </is>
      </c>
      <c r="O225" t="inlineStr">
        <is>
          <t>eng</t>
        </is>
      </c>
      <c r="P225" t="inlineStr">
        <is>
          <t>dcu</t>
        </is>
      </c>
      <c r="Q225" t="inlineStr">
        <is>
          <t>Publication of the American association for the advancement of science. No. 22</t>
        </is>
      </c>
      <c r="R225" t="inlineStr">
        <is>
          <t xml:space="preserve">RC </t>
        </is>
      </c>
      <c r="S225" t="n">
        <v>4</v>
      </c>
      <c r="T225" t="n">
        <v>4</v>
      </c>
      <c r="U225" t="inlineStr">
        <is>
          <t>1999-10-24</t>
        </is>
      </c>
      <c r="V225" t="inlineStr">
        <is>
          <t>1999-10-24</t>
        </is>
      </c>
      <c r="W225" t="inlineStr">
        <is>
          <t>1997-08-08</t>
        </is>
      </c>
      <c r="X225" t="inlineStr">
        <is>
          <t>1997-08-08</t>
        </is>
      </c>
      <c r="Y225" t="n">
        <v>195</v>
      </c>
      <c r="Z225" t="n">
        <v>170</v>
      </c>
      <c r="AA225" t="n">
        <v>172</v>
      </c>
      <c r="AB225" t="n">
        <v>2</v>
      </c>
      <c r="AC225" t="n">
        <v>2</v>
      </c>
      <c r="AD225" t="n">
        <v>5</v>
      </c>
      <c r="AE225" t="n">
        <v>5</v>
      </c>
      <c r="AF225" t="n">
        <v>0</v>
      </c>
      <c r="AG225" t="n">
        <v>0</v>
      </c>
      <c r="AH225" t="n">
        <v>2</v>
      </c>
      <c r="AI225" t="n">
        <v>2</v>
      </c>
      <c r="AJ225" t="n">
        <v>4</v>
      </c>
      <c r="AK225" t="n">
        <v>4</v>
      </c>
      <c r="AL225" t="n">
        <v>0</v>
      </c>
      <c r="AM225" t="n">
        <v>0</v>
      </c>
      <c r="AN225" t="n">
        <v>0</v>
      </c>
      <c r="AO225" t="n">
        <v>0</v>
      </c>
      <c r="AP225" t="inlineStr">
        <is>
          <t>No</t>
        </is>
      </c>
      <c r="AQ225" t="inlineStr">
        <is>
          <t>No</t>
        </is>
      </c>
      <c r="AR225">
        <f>HYPERLINK("http://catalog.hathitrust.org/Record/010072412","HathiTrust Record")</f>
        <v/>
      </c>
      <c r="AS225">
        <f>HYPERLINK("https://creighton-primo.hosted.exlibrisgroup.com/primo-explore/search?tab=default_tab&amp;search_scope=EVERYTHING&amp;vid=01CRU&amp;lang=en_US&amp;offset=0&amp;query=any,contains,991005265199702656","Catalog Record")</f>
        <v/>
      </c>
      <c r="AT225">
        <f>HYPERLINK("http://www.worldcat.org/oclc/1597245","WorldCat Record")</f>
        <v/>
      </c>
      <c r="AU225" t="inlineStr">
        <is>
          <t>2499237:eng</t>
        </is>
      </c>
      <c r="AV225" t="inlineStr">
        <is>
          <t>1597245</t>
        </is>
      </c>
      <c r="AW225" t="inlineStr">
        <is>
          <t>991005265199702656</t>
        </is>
      </c>
      <c r="AX225" t="inlineStr">
        <is>
          <t>991005265199702656</t>
        </is>
      </c>
      <c r="AY225" t="inlineStr">
        <is>
          <t>2271892030002656</t>
        </is>
      </c>
      <c r="AZ225" t="inlineStr">
        <is>
          <t>BOOK</t>
        </is>
      </c>
      <c r="BC225" t="inlineStr">
        <is>
          <t>32285003084471</t>
        </is>
      </c>
      <c r="BD225" t="inlineStr">
        <is>
          <t>893870790</t>
        </is>
      </c>
    </row>
    <row r="226">
      <c r="A226" t="inlineStr">
        <is>
          <t>No</t>
        </is>
      </c>
      <c r="B226" t="inlineStr">
        <is>
          <t>RC261.A1 C39 1986</t>
        </is>
      </c>
      <c r="C226" t="inlineStr">
        <is>
          <t>0                      RC 0261000A  1                  C  39          1986</t>
        </is>
      </c>
      <c r="D226" t="inlineStr">
        <is>
          <t>Cancer, stress, and death.</t>
        </is>
      </c>
      <c r="F226" t="inlineStr">
        <is>
          <t>No</t>
        </is>
      </c>
      <c r="G226" t="inlineStr">
        <is>
          <t>1</t>
        </is>
      </c>
      <c r="H226" t="inlineStr">
        <is>
          <t>Yes</t>
        </is>
      </c>
      <c r="I226" t="inlineStr">
        <is>
          <t>No</t>
        </is>
      </c>
      <c r="J226" t="inlineStr">
        <is>
          <t>0</t>
        </is>
      </c>
      <c r="L226" t="inlineStr">
        <is>
          <t>New York : Plenum Medical Book Co., c1986.</t>
        </is>
      </c>
      <c r="M226" t="inlineStr">
        <is>
          <t>1986</t>
        </is>
      </c>
      <c r="N226" t="inlineStr">
        <is>
          <t>2nd ed. / edited by Stacey B. Day.</t>
        </is>
      </c>
      <c r="O226" t="inlineStr">
        <is>
          <t>eng</t>
        </is>
      </c>
      <c r="P226" t="inlineStr">
        <is>
          <t>nyu</t>
        </is>
      </c>
      <c r="R226" t="inlineStr">
        <is>
          <t xml:space="preserve">RC </t>
        </is>
      </c>
      <c r="S226" t="n">
        <v>17</v>
      </c>
      <c r="T226" t="n">
        <v>17</v>
      </c>
      <c r="U226" t="inlineStr">
        <is>
          <t>1998-10-15</t>
        </is>
      </c>
      <c r="V226" t="inlineStr">
        <is>
          <t>1998-10-15</t>
        </is>
      </c>
      <c r="W226" t="inlineStr">
        <is>
          <t>1991-12-09</t>
        </is>
      </c>
      <c r="X226" t="inlineStr">
        <is>
          <t>1991-12-09</t>
        </is>
      </c>
      <c r="Y226" t="n">
        <v>295</v>
      </c>
      <c r="Z226" t="n">
        <v>219</v>
      </c>
      <c r="AA226" t="n">
        <v>402</v>
      </c>
      <c r="AB226" t="n">
        <v>3</v>
      </c>
      <c r="AC226" t="n">
        <v>3</v>
      </c>
      <c r="AD226" t="n">
        <v>10</v>
      </c>
      <c r="AE226" t="n">
        <v>15</v>
      </c>
      <c r="AF226" t="n">
        <v>2</v>
      </c>
      <c r="AG226" t="n">
        <v>5</v>
      </c>
      <c r="AH226" t="n">
        <v>1</v>
      </c>
      <c r="AI226" t="n">
        <v>2</v>
      </c>
      <c r="AJ226" t="n">
        <v>7</v>
      </c>
      <c r="AK226" t="n">
        <v>10</v>
      </c>
      <c r="AL226" t="n">
        <v>1</v>
      </c>
      <c r="AM226" t="n">
        <v>1</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HYPERLINK("https://creighton-primo.hosted.exlibrisgroup.com/primo-explore/search?tab=default_tab&amp;search_scope=EVERYTHING&amp;vid=01CRU&amp;lang=en_US&amp;offset=0&amp;query=any,contains,991000785489702656","Catalog Record")</f>
        <v/>
      </c>
      <c r="AT226">
        <f>HYPERLINK("http://www.worldcat.org/oclc/13124129","WorldCat Record")</f>
        <v/>
      </c>
      <c r="AU226" t="inlineStr">
        <is>
          <t>1117977850:eng</t>
        </is>
      </c>
      <c r="AV226" t="inlineStr">
        <is>
          <t>13124129</t>
        </is>
      </c>
      <c r="AW226" t="inlineStr">
        <is>
          <t>991000785489702656</t>
        </is>
      </c>
      <c r="AX226" t="inlineStr">
        <is>
          <t>991000785489702656</t>
        </is>
      </c>
      <c r="AY226" t="inlineStr">
        <is>
          <t>2255238250002656</t>
        </is>
      </c>
      <c r="AZ226" t="inlineStr">
        <is>
          <t>BOOK</t>
        </is>
      </c>
      <c r="BB226" t="inlineStr">
        <is>
          <t>9780306421877</t>
        </is>
      </c>
      <c r="BC226" t="inlineStr">
        <is>
          <t>32285000838531</t>
        </is>
      </c>
      <c r="BD226" t="inlineStr">
        <is>
          <t>893522010</t>
        </is>
      </c>
    </row>
    <row r="227">
      <c r="A227" t="inlineStr">
        <is>
          <t>No</t>
        </is>
      </c>
      <c r="B227" t="inlineStr">
        <is>
          <t>RC262 .A65 1996</t>
        </is>
      </c>
      <c r="C227" t="inlineStr">
        <is>
          <t>0                      RC 0262000A  65          1996</t>
        </is>
      </c>
      <c r="D227" t="inlineStr">
        <is>
          <t>Apoptosis and cell cycle control in cancer : basic mechanisms and implications for treating malignant disease / [edited by] N. Shaun B. Thomas.</t>
        </is>
      </c>
      <c r="F227" t="inlineStr">
        <is>
          <t>No</t>
        </is>
      </c>
      <c r="G227" t="inlineStr">
        <is>
          <t>1</t>
        </is>
      </c>
      <c r="H227" t="inlineStr">
        <is>
          <t>No</t>
        </is>
      </c>
      <c r="I227" t="inlineStr">
        <is>
          <t>No</t>
        </is>
      </c>
      <c r="J227" t="inlineStr">
        <is>
          <t>0</t>
        </is>
      </c>
      <c r="L227" t="inlineStr">
        <is>
          <t>Oxford : BIOS Scientific, 1996.</t>
        </is>
      </c>
      <c r="M227" t="inlineStr">
        <is>
          <t>1996</t>
        </is>
      </c>
      <c r="O227" t="inlineStr">
        <is>
          <t>eng</t>
        </is>
      </c>
      <c r="P227" t="inlineStr">
        <is>
          <t>enk</t>
        </is>
      </c>
      <c r="Q227" t="inlineStr">
        <is>
          <t>UCL molecular pathology series</t>
        </is>
      </c>
      <c r="R227" t="inlineStr">
        <is>
          <t xml:space="preserve">RC </t>
        </is>
      </c>
      <c r="S227" t="n">
        <v>12</v>
      </c>
      <c r="T227" t="n">
        <v>12</v>
      </c>
      <c r="U227" t="inlineStr">
        <is>
          <t>2005-09-24</t>
        </is>
      </c>
      <c r="V227" t="inlineStr">
        <is>
          <t>2005-09-24</t>
        </is>
      </c>
      <c r="W227" t="inlineStr">
        <is>
          <t>1996-09-10</t>
        </is>
      </c>
      <c r="X227" t="inlineStr">
        <is>
          <t>1996-09-10</t>
        </is>
      </c>
      <c r="Y227" t="n">
        <v>89</v>
      </c>
      <c r="Z227" t="n">
        <v>42</v>
      </c>
      <c r="AA227" t="n">
        <v>47</v>
      </c>
      <c r="AB227" t="n">
        <v>1</v>
      </c>
      <c r="AC227" t="n">
        <v>1</v>
      </c>
      <c r="AD227" t="n">
        <v>0</v>
      </c>
      <c r="AE227" t="n">
        <v>0</v>
      </c>
      <c r="AF227" t="n">
        <v>0</v>
      </c>
      <c r="AG227" t="n">
        <v>0</v>
      </c>
      <c r="AH227" t="n">
        <v>0</v>
      </c>
      <c r="AI227" t="n">
        <v>0</v>
      </c>
      <c r="AJ227" t="n">
        <v>0</v>
      </c>
      <c r="AK227" t="n">
        <v>0</v>
      </c>
      <c r="AL227" t="n">
        <v>0</v>
      </c>
      <c r="AM227" t="n">
        <v>0</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HYPERLINK("https://creighton-primo.hosted.exlibrisgroup.com/primo-explore/search?tab=default_tab&amp;search_scope=EVERYTHING&amp;vid=01CRU&amp;lang=en_US&amp;offset=0&amp;query=any,contains,991002596839702656","Catalog Record")</f>
        <v/>
      </c>
      <c r="AT227">
        <f>HYPERLINK("http://www.worldcat.org/oclc/34026495","WorldCat Record")</f>
        <v/>
      </c>
      <c r="AU227" t="inlineStr">
        <is>
          <t>837041586:eng</t>
        </is>
      </c>
      <c r="AV227" t="inlineStr">
        <is>
          <t>34026495</t>
        </is>
      </c>
      <c r="AW227" t="inlineStr">
        <is>
          <t>991002596839702656</t>
        </is>
      </c>
      <c r="AX227" t="inlineStr">
        <is>
          <t>991002596839702656</t>
        </is>
      </c>
      <c r="AY227" t="inlineStr">
        <is>
          <t>2255158210002656</t>
        </is>
      </c>
      <c r="AZ227" t="inlineStr">
        <is>
          <t>BOOK</t>
        </is>
      </c>
      <c r="BB227" t="inlineStr">
        <is>
          <t>9781872748894</t>
        </is>
      </c>
      <c r="BC227" t="inlineStr">
        <is>
          <t>32285002316551</t>
        </is>
      </c>
      <c r="BD227" t="inlineStr">
        <is>
          <t>893597643</t>
        </is>
      </c>
    </row>
    <row r="228">
      <c r="A228" t="inlineStr">
        <is>
          <t>No</t>
        </is>
      </c>
      <c r="B228" t="inlineStr">
        <is>
          <t>RC262 .S95 1969</t>
        </is>
      </c>
      <c r="C228" t="inlineStr">
        <is>
          <t>0                      RC 0262000S  95          1969</t>
        </is>
      </c>
      <c r="D228" t="inlineStr">
        <is>
          <t>Genetic concepts and neoplasia : a collection of papers.</t>
        </is>
      </c>
      <c r="F228" t="inlineStr">
        <is>
          <t>No</t>
        </is>
      </c>
      <c r="G228" t="inlineStr">
        <is>
          <t>1</t>
        </is>
      </c>
      <c r="H228" t="inlineStr">
        <is>
          <t>No</t>
        </is>
      </c>
      <c r="I228" t="inlineStr">
        <is>
          <t>No</t>
        </is>
      </c>
      <c r="J228" t="inlineStr">
        <is>
          <t>0</t>
        </is>
      </c>
      <c r="K228" t="inlineStr">
        <is>
          <t>Symposium on Fundamental Cancer Research (23rd : 1969 : M.D. Anderson Hospital and Tumor Institute)</t>
        </is>
      </c>
      <c r="L228" t="inlineStr">
        <is>
          <t>Baltimore : Williams &amp; Wilkins, 1970.</t>
        </is>
      </c>
      <c r="M228" t="inlineStr">
        <is>
          <t>1970</t>
        </is>
      </c>
      <c r="O228" t="inlineStr">
        <is>
          <t>eng</t>
        </is>
      </c>
      <c r="P228" t="inlineStr">
        <is>
          <t>mdu</t>
        </is>
      </c>
      <c r="R228" t="inlineStr">
        <is>
          <t xml:space="preserve">RC </t>
        </is>
      </c>
      <c r="S228" t="n">
        <v>3</v>
      </c>
      <c r="T228" t="n">
        <v>3</v>
      </c>
      <c r="U228" t="inlineStr">
        <is>
          <t>2003-03-15</t>
        </is>
      </c>
      <c r="V228" t="inlineStr">
        <is>
          <t>2003-03-15</t>
        </is>
      </c>
      <c r="W228" t="inlineStr">
        <is>
          <t>1990-11-30</t>
        </is>
      </c>
      <c r="X228" t="inlineStr">
        <is>
          <t>1990-11-30</t>
        </is>
      </c>
      <c r="Y228" t="n">
        <v>150</v>
      </c>
      <c r="Z228" t="n">
        <v>111</v>
      </c>
      <c r="AA228" t="n">
        <v>112</v>
      </c>
      <c r="AB228" t="n">
        <v>2</v>
      </c>
      <c r="AC228" t="n">
        <v>2</v>
      </c>
      <c r="AD228" t="n">
        <v>4</v>
      </c>
      <c r="AE228" t="n">
        <v>4</v>
      </c>
      <c r="AF228" t="n">
        <v>0</v>
      </c>
      <c r="AG228" t="n">
        <v>0</v>
      </c>
      <c r="AH228" t="n">
        <v>1</v>
      </c>
      <c r="AI228" t="n">
        <v>1</v>
      </c>
      <c r="AJ228" t="n">
        <v>3</v>
      </c>
      <c r="AK228" t="n">
        <v>3</v>
      </c>
      <c r="AL228" t="n">
        <v>1</v>
      </c>
      <c r="AM228" t="n">
        <v>1</v>
      </c>
      <c r="AN228" t="n">
        <v>0</v>
      </c>
      <c r="AO228" t="n">
        <v>0</v>
      </c>
      <c r="AP228" t="inlineStr">
        <is>
          <t>No</t>
        </is>
      </c>
      <c r="AQ228" t="inlineStr">
        <is>
          <t>Yes</t>
        </is>
      </c>
      <c r="AR228">
        <f>HYPERLINK("http://catalog.hathitrust.org/Record/001562527","HathiTrust Record")</f>
        <v/>
      </c>
      <c r="AS228">
        <f>HYPERLINK("https://creighton-primo.hosted.exlibrisgroup.com/primo-explore/search?tab=default_tab&amp;search_scope=EVERYTHING&amp;vid=01CRU&amp;lang=en_US&amp;offset=0&amp;query=any,contains,991000533739702656","Catalog Record")</f>
        <v/>
      </c>
      <c r="AT228">
        <f>HYPERLINK("http://www.worldcat.org/oclc/89919","WorldCat Record")</f>
        <v/>
      </c>
      <c r="AU228" t="inlineStr">
        <is>
          <t>1295683:eng</t>
        </is>
      </c>
      <c r="AV228" t="inlineStr">
        <is>
          <t>89919</t>
        </is>
      </c>
      <c r="AW228" t="inlineStr">
        <is>
          <t>991000533739702656</t>
        </is>
      </c>
      <c r="AX228" t="inlineStr">
        <is>
          <t>991000533739702656</t>
        </is>
      </c>
      <c r="AY228" t="inlineStr">
        <is>
          <t>2259146180002656</t>
        </is>
      </c>
      <c r="AZ228" t="inlineStr">
        <is>
          <t>BOOK</t>
        </is>
      </c>
      <c r="BC228" t="inlineStr">
        <is>
          <t>32285000411321</t>
        </is>
      </c>
      <c r="BD228" t="inlineStr">
        <is>
          <t>893243360</t>
        </is>
      </c>
    </row>
    <row r="229">
      <c r="A229" t="inlineStr">
        <is>
          <t>No</t>
        </is>
      </c>
      <c r="B229" t="inlineStr">
        <is>
          <t>RC263 .A46 1993</t>
        </is>
      </c>
      <c r="C229" t="inlineStr">
        <is>
          <t>0                      RC 0263000A  46          1993</t>
        </is>
      </c>
      <c r="D229" t="inlineStr">
        <is>
          <t>The Alpha book on cancer and living : for patients, family, and friends / [editor, Brent G. Ryder].</t>
        </is>
      </c>
      <c r="F229" t="inlineStr">
        <is>
          <t>No</t>
        </is>
      </c>
      <c r="G229" t="inlineStr">
        <is>
          <t>1</t>
        </is>
      </c>
      <c r="H229" t="inlineStr">
        <is>
          <t>No</t>
        </is>
      </c>
      <c r="I229" t="inlineStr">
        <is>
          <t>No</t>
        </is>
      </c>
      <c r="J229" t="inlineStr">
        <is>
          <t>0</t>
        </is>
      </c>
      <c r="L229" t="inlineStr">
        <is>
          <t>Alameda, Calif. : The Alpha Institute, c1993.</t>
        </is>
      </c>
      <c r="M229" t="inlineStr">
        <is>
          <t>1993</t>
        </is>
      </c>
      <c r="O229" t="inlineStr">
        <is>
          <t>eng</t>
        </is>
      </c>
      <c r="P229" t="inlineStr">
        <is>
          <t>cau</t>
        </is>
      </c>
      <c r="R229" t="inlineStr">
        <is>
          <t xml:space="preserve">RC </t>
        </is>
      </c>
      <c r="S229" t="n">
        <v>9</v>
      </c>
      <c r="T229" t="n">
        <v>9</v>
      </c>
      <c r="U229" t="inlineStr">
        <is>
          <t>1999-02-21</t>
        </is>
      </c>
      <c r="V229" t="inlineStr">
        <is>
          <t>1999-02-21</t>
        </is>
      </c>
      <c r="W229" t="inlineStr">
        <is>
          <t>1993-11-09</t>
        </is>
      </c>
      <c r="X229" t="inlineStr">
        <is>
          <t>1993-11-09</t>
        </is>
      </c>
      <c r="Y229" t="n">
        <v>182</v>
      </c>
      <c r="Z229" t="n">
        <v>166</v>
      </c>
      <c r="AA229" t="n">
        <v>171</v>
      </c>
      <c r="AB229" t="n">
        <v>1</v>
      </c>
      <c r="AC229" t="n">
        <v>1</v>
      </c>
      <c r="AD229" t="n">
        <v>1</v>
      </c>
      <c r="AE229" t="n">
        <v>1</v>
      </c>
      <c r="AF229" t="n">
        <v>0</v>
      </c>
      <c r="AG229" t="n">
        <v>0</v>
      </c>
      <c r="AH229" t="n">
        <v>0</v>
      </c>
      <c r="AI229" t="n">
        <v>0</v>
      </c>
      <c r="AJ229" t="n">
        <v>1</v>
      </c>
      <c r="AK229" t="n">
        <v>1</v>
      </c>
      <c r="AL229" t="n">
        <v>0</v>
      </c>
      <c r="AM229" t="n">
        <v>0</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HYPERLINK("https://creighton-primo.hosted.exlibrisgroup.com/primo-explore/search?tab=default_tab&amp;search_scope=EVERYTHING&amp;vid=01CRU&amp;lang=en_US&amp;offset=0&amp;query=any,contains,991002251189702656","Catalog Record")</f>
        <v/>
      </c>
      <c r="AT229">
        <f>HYPERLINK("http://www.worldcat.org/oclc/29149120","WorldCat Record")</f>
        <v/>
      </c>
      <c r="AU229" t="inlineStr">
        <is>
          <t>2906512137:eng</t>
        </is>
      </c>
      <c r="AV229" t="inlineStr">
        <is>
          <t>29149120</t>
        </is>
      </c>
      <c r="AW229" t="inlineStr">
        <is>
          <t>991002251189702656</t>
        </is>
      </c>
      <c r="AX229" t="inlineStr">
        <is>
          <t>991002251189702656</t>
        </is>
      </c>
      <c r="AY229" t="inlineStr">
        <is>
          <t>2255093660002656</t>
        </is>
      </c>
      <c r="AZ229" t="inlineStr">
        <is>
          <t>BOOK</t>
        </is>
      </c>
      <c r="BB229" t="inlineStr">
        <is>
          <t>9780963236043</t>
        </is>
      </c>
      <c r="BC229" t="inlineStr">
        <is>
          <t>32285001810679</t>
        </is>
      </c>
      <c r="BD229" t="inlineStr">
        <is>
          <t>893703860</t>
        </is>
      </c>
    </row>
    <row r="230">
      <c r="A230" t="inlineStr">
        <is>
          <t>No</t>
        </is>
      </c>
      <c r="B230" t="inlineStr">
        <is>
          <t>RC263 .F46 2009</t>
        </is>
      </c>
      <c r="C230" t="inlineStr">
        <is>
          <t>0                      RC 0263000F  46          2009</t>
        </is>
      </c>
      <c r="D230" t="inlineStr">
        <is>
          <t>Surviving the cancer system : an empowering guide to taking control of your care / Mark R. Fesen.</t>
        </is>
      </c>
      <c r="F230" t="inlineStr">
        <is>
          <t>No</t>
        </is>
      </c>
      <c r="G230" t="inlineStr">
        <is>
          <t>1</t>
        </is>
      </c>
      <c r="H230" t="inlineStr">
        <is>
          <t>No</t>
        </is>
      </c>
      <c r="I230" t="inlineStr">
        <is>
          <t>No</t>
        </is>
      </c>
      <c r="J230" t="inlineStr">
        <is>
          <t>0</t>
        </is>
      </c>
      <c r="K230" t="inlineStr">
        <is>
          <t>Fesen, Mark R.</t>
        </is>
      </c>
      <c r="L230" t="inlineStr">
        <is>
          <t>New York : AMACOM, c2009.</t>
        </is>
      </c>
      <c r="M230" t="inlineStr">
        <is>
          <t>2009</t>
        </is>
      </c>
      <c r="O230" t="inlineStr">
        <is>
          <t>eng</t>
        </is>
      </c>
      <c r="P230" t="inlineStr">
        <is>
          <t>nyu</t>
        </is>
      </c>
      <c r="R230" t="inlineStr">
        <is>
          <t xml:space="preserve">RC </t>
        </is>
      </c>
      <c r="S230" t="n">
        <v>1</v>
      </c>
      <c r="T230" t="n">
        <v>1</v>
      </c>
      <c r="U230" t="inlineStr">
        <is>
          <t>2009-06-17</t>
        </is>
      </c>
      <c r="V230" t="inlineStr">
        <is>
          <t>2009-06-17</t>
        </is>
      </c>
      <c r="W230" t="inlineStr">
        <is>
          <t>2009-06-17</t>
        </is>
      </c>
      <c r="X230" t="inlineStr">
        <is>
          <t>2009-06-17</t>
        </is>
      </c>
      <c r="Y230" t="n">
        <v>173</v>
      </c>
      <c r="Z230" t="n">
        <v>161</v>
      </c>
      <c r="AA230" t="n">
        <v>950</v>
      </c>
      <c r="AB230" t="n">
        <v>4</v>
      </c>
      <c r="AC230" t="n">
        <v>19</v>
      </c>
      <c r="AD230" t="n">
        <v>1</v>
      </c>
      <c r="AE230" t="n">
        <v>14</v>
      </c>
      <c r="AF230" t="n">
        <v>0</v>
      </c>
      <c r="AG230" t="n">
        <v>5</v>
      </c>
      <c r="AH230" t="n">
        <v>0</v>
      </c>
      <c r="AI230" t="n">
        <v>1</v>
      </c>
      <c r="AJ230" t="n">
        <v>1</v>
      </c>
      <c r="AK230" t="n">
        <v>2</v>
      </c>
      <c r="AL230" t="n">
        <v>0</v>
      </c>
      <c r="AM230" t="n">
        <v>8</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HYPERLINK("https://creighton-primo.hosted.exlibrisgroup.com/primo-explore/search?tab=default_tab&amp;search_scope=EVERYTHING&amp;vid=01CRU&amp;lang=en_US&amp;offset=0&amp;query=any,contains,991005321849702656","Catalog Record")</f>
        <v/>
      </c>
      <c r="AT230">
        <f>HYPERLINK("http://www.worldcat.org/oclc/290435828","WorldCat Record")</f>
        <v/>
      </c>
      <c r="AU230" t="inlineStr">
        <is>
          <t>801616620:eng</t>
        </is>
      </c>
      <c r="AV230" t="inlineStr">
        <is>
          <t>290435828</t>
        </is>
      </c>
      <c r="AW230" t="inlineStr">
        <is>
          <t>991005321849702656</t>
        </is>
      </c>
      <c r="AX230" t="inlineStr">
        <is>
          <t>991005321849702656</t>
        </is>
      </c>
      <c r="AY230" t="inlineStr">
        <is>
          <t>2257691610002656</t>
        </is>
      </c>
      <c r="AZ230" t="inlineStr">
        <is>
          <t>BOOK</t>
        </is>
      </c>
      <c r="BB230" t="inlineStr">
        <is>
          <t>9780814413562</t>
        </is>
      </c>
      <c r="BC230" t="inlineStr">
        <is>
          <t>32285005535710</t>
        </is>
      </c>
      <c r="BD230" t="inlineStr">
        <is>
          <t>893619801</t>
        </is>
      </c>
    </row>
    <row r="231">
      <c r="A231" t="inlineStr">
        <is>
          <t>No</t>
        </is>
      </c>
      <c r="B231" t="inlineStr">
        <is>
          <t>RC263 .P34</t>
        </is>
      </c>
      <c r="C231" t="inlineStr">
        <is>
          <t>0                      RC 0263000P  34</t>
        </is>
      </c>
      <c r="D231" t="inlineStr">
        <is>
          <t>Too old to cry, too young to die / Edith Pendleton.</t>
        </is>
      </c>
      <c r="F231" t="inlineStr">
        <is>
          <t>No</t>
        </is>
      </c>
      <c r="G231" t="inlineStr">
        <is>
          <t>1</t>
        </is>
      </c>
      <c r="H231" t="inlineStr">
        <is>
          <t>No</t>
        </is>
      </c>
      <c r="I231" t="inlineStr">
        <is>
          <t>No</t>
        </is>
      </c>
      <c r="J231" t="inlineStr">
        <is>
          <t>0</t>
        </is>
      </c>
      <c r="K231" t="inlineStr">
        <is>
          <t>Pendleton, Edith.</t>
        </is>
      </c>
      <c r="L231" t="inlineStr">
        <is>
          <t>Nashville, Tenn. : T. Nelson Publishers, c1980.</t>
        </is>
      </c>
      <c r="M231" t="inlineStr">
        <is>
          <t>1980</t>
        </is>
      </c>
      <c r="O231" t="inlineStr">
        <is>
          <t>eng</t>
        </is>
      </c>
      <c r="P231" t="inlineStr">
        <is>
          <t>tnu</t>
        </is>
      </c>
      <c r="R231" t="inlineStr">
        <is>
          <t xml:space="preserve">RC </t>
        </is>
      </c>
      <c r="S231" t="n">
        <v>8</v>
      </c>
      <c r="T231" t="n">
        <v>8</v>
      </c>
      <c r="U231" t="inlineStr">
        <is>
          <t>2002-08-29</t>
        </is>
      </c>
      <c r="V231" t="inlineStr">
        <is>
          <t>2002-08-29</t>
        </is>
      </c>
      <c r="W231" t="inlineStr">
        <is>
          <t>1993-03-17</t>
        </is>
      </c>
      <c r="X231" t="inlineStr">
        <is>
          <t>1993-03-17</t>
        </is>
      </c>
      <c r="Y231" t="n">
        <v>156</v>
      </c>
      <c r="Z231" t="n">
        <v>150</v>
      </c>
      <c r="AA231" t="n">
        <v>156</v>
      </c>
      <c r="AB231" t="n">
        <v>3</v>
      </c>
      <c r="AC231" t="n">
        <v>3</v>
      </c>
      <c r="AD231" t="n">
        <v>1</v>
      </c>
      <c r="AE231" t="n">
        <v>1</v>
      </c>
      <c r="AF231" t="n">
        <v>0</v>
      </c>
      <c r="AG231" t="n">
        <v>0</v>
      </c>
      <c r="AH231" t="n">
        <v>0</v>
      </c>
      <c r="AI231" t="n">
        <v>0</v>
      </c>
      <c r="AJ231" t="n">
        <v>0</v>
      </c>
      <c r="AK231" t="n">
        <v>0</v>
      </c>
      <c r="AL231" t="n">
        <v>1</v>
      </c>
      <c r="AM231" t="n">
        <v>1</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HYPERLINK("https://creighton-primo.hosted.exlibrisgroup.com/primo-explore/search?tab=default_tab&amp;search_scope=EVERYTHING&amp;vid=01CRU&amp;lang=en_US&amp;offset=0&amp;query=any,contains,991004990919702656","Catalog Record")</f>
        <v/>
      </c>
      <c r="AT231">
        <f>HYPERLINK("http://www.worldcat.org/oclc/6487268","WorldCat Record")</f>
        <v/>
      </c>
      <c r="AU231" t="inlineStr">
        <is>
          <t>4432672474:eng</t>
        </is>
      </c>
      <c r="AV231" t="inlineStr">
        <is>
          <t>6487268</t>
        </is>
      </c>
      <c r="AW231" t="inlineStr">
        <is>
          <t>991004990919702656</t>
        </is>
      </c>
      <c r="AX231" t="inlineStr">
        <is>
          <t>991004990919702656</t>
        </is>
      </c>
      <c r="AY231" t="inlineStr">
        <is>
          <t>2271838420002656</t>
        </is>
      </c>
      <c r="AZ231" t="inlineStr">
        <is>
          <t>BOOK</t>
        </is>
      </c>
      <c r="BB231" t="inlineStr">
        <is>
          <t>9780840740861</t>
        </is>
      </c>
      <c r="BC231" t="inlineStr">
        <is>
          <t>32285001589158</t>
        </is>
      </c>
      <c r="BD231" t="inlineStr">
        <is>
          <t>893412173</t>
        </is>
      </c>
    </row>
    <row r="232">
      <c r="A232" t="inlineStr">
        <is>
          <t>No</t>
        </is>
      </c>
      <c r="B232" t="inlineStr">
        <is>
          <t>RC263 .P728 1982</t>
        </is>
      </c>
      <c r="C232" t="inlineStr">
        <is>
          <t>0                      RC 0263000P  728         1982</t>
        </is>
      </c>
      <c r="D232" t="inlineStr">
        <is>
          <t>Cancer : the misguided cell / David M. Prescott, Abraham S. Flexer.</t>
        </is>
      </c>
      <c r="F232" t="inlineStr">
        <is>
          <t>No</t>
        </is>
      </c>
      <c r="G232" t="inlineStr">
        <is>
          <t>1</t>
        </is>
      </c>
      <c r="H232" t="inlineStr">
        <is>
          <t>No</t>
        </is>
      </c>
      <c r="I232" t="inlineStr">
        <is>
          <t>Yes</t>
        </is>
      </c>
      <c r="J232" t="inlineStr">
        <is>
          <t>0</t>
        </is>
      </c>
      <c r="K232" t="inlineStr">
        <is>
          <t>Prescott, David M., 1926-2011.</t>
        </is>
      </c>
      <c r="L232" t="inlineStr">
        <is>
          <t>New York : Scribner, c1982.</t>
        </is>
      </c>
      <c r="M232" t="inlineStr">
        <is>
          <t>1982</t>
        </is>
      </c>
      <c r="O232" t="inlineStr">
        <is>
          <t>eng</t>
        </is>
      </c>
      <c r="P232" t="inlineStr">
        <is>
          <t>nyu</t>
        </is>
      </c>
      <c r="R232" t="inlineStr">
        <is>
          <t xml:space="preserve">RC </t>
        </is>
      </c>
      <c r="S232" t="n">
        <v>7</v>
      </c>
      <c r="T232" t="n">
        <v>7</v>
      </c>
      <c r="U232" t="inlineStr">
        <is>
          <t>2003-03-15</t>
        </is>
      </c>
      <c r="V232" t="inlineStr">
        <is>
          <t>2003-03-15</t>
        </is>
      </c>
      <c r="W232" t="inlineStr">
        <is>
          <t>1991-12-09</t>
        </is>
      </c>
      <c r="X232" t="inlineStr">
        <is>
          <t>1991-12-09</t>
        </is>
      </c>
      <c r="Y232" t="n">
        <v>341</v>
      </c>
      <c r="Z232" t="n">
        <v>324</v>
      </c>
      <c r="AA232" t="n">
        <v>839</v>
      </c>
      <c r="AB232" t="n">
        <v>2</v>
      </c>
      <c r="AC232" t="n">
        <v>5</v>
      </c>
      <c r="AD232" t="n">
        <v>6</v>
      </c>
      <c r="AE232" t="n">
        <v>20</v>
      </c>
      <c r="AF232" t="n">
        <v>2</v>
      </c>
      <c r="AG232" t="n">
        <v>9</v>
      </c>
      <c r="AH232" t="n">
        <v>1</v>
      </c>
      <c r="AI232" t="n">
        <v>3</v>
      </c>
      <c r="AJ232" t="n">
        <v>4</v>
      </c>
      <c r="AK232" t="n">
        <v>10</v>
      </c>
      <c r="AL232" t="n">
        <v>0</v>
      </c>
      <c r="AM232" t="n">
        <v>3</v>
      </c>
      <c r="AN232" t="n">
        <v>0</v>
      </c>
      <c r="AO232" t="n">
        <v>0</v>
      </c>
      <c r="AP232" t="inlineStr">
        <is>
          <t>No</t>
        </is>
      </c>
      <c r="AQ232" t="inlineStr">
        <is>
          <t>Yes</t>
        </is>
      </c>
      <c r="AR232">
        <f>HYPERLINK("http://catalog.hathitrust.org/Record/000167430","HathiTrust Record")</f>
        <v/>
      </c>
      <c r="AS232">
        <f>HYPERLINK("https://creighton-primo.hosted.exlibrisgroup.com/primo-explore/search?tab=default_tab&amp;search_scope=EVERYTHING&amp;vid=01CRU&amp;lang=en_US&amp;offset=0&amp;query=any,contains,991005183699702656","Catalog Record")</f>
        <v/>
      </c>
      <c r="AT232">
        <f>HYPERLINK("http://www.worldcat.org/oclc/7948157","WorldCat Record")</f>
        <v/>
      </c>
      <c r="AU232" t="inlineStr">
        <is>
          <t>1582133:eng</t>
        </is>
      </c>
      <c r="AV232" t="inlineStr">
        <is>
          <t>7948157</t>
        </is>
      </c>
      <c r="AW232" t="inlineStr">
        <is>
          <t>991005183699702656</t>
        </is>
      </c>
      <c r="AX232" t="inlineStr">
        <is>
          <t>991005183699702656</t>
        </is>
      </c>
      <c r="AY232" t="inlineStr">
        <is>
          <t>2270444390002656</t>
        </is>
      </c>
      <c r="AZ232" t="inlineStr">
        <is>
          <t>BOOK</t>
        </is>
      </c>
      <c r="BB232" t="inlineStr">
        <is>
          <t>9780684173009</t>
        </is>
      </c>
      <c r="BC232" t="inlineStr">
        <is>
          <t>32285000838549</t>
        </is>
      </c>
      <c r="BD232" t="inlineStr">
        <is>
          <t>893905283</t>
        </is>
      </c>
    </row>
    <row r="233">
      <c r="A233" t="inlineStr">
        <is>
          <t>No</t>
        </is>
      </c>
      <c r="B233" t="inlineStr">
        <is>
          <t>RC263 .P728 1986</t>
        </is>
      </c>
      <c r="C233" t="inlineStr">
        <is>
          <t>0                      RC 0263000P  728         1986</t>
        </is>
      </c>
      <c r="D233" t="inlineStr">
        <is>
          <t>Cancer, the misguided cell / David M. Prescott &amp; Abraham S. Flexer.</t>
        </is>
      </c>
      <c r="F233" t="inlineStr">
        <is>
          <t>No</t>
        </is>
      </c>
      <c r="G233" t="inlineStr">
        <is>
          <t>1</t>
        </is>
      </c>
      <c r="H233" t="inlineStr">
        <is>
          <t>No</t>
        </is>
      </c>
      <c r="I233" t="inlineStr">
        <is>
          <t>Yes</t>
        </is>
      </c>
      <c r="J233" t="inlineStr">
        <is>
          <t>0</t>
        </is>
      </c>
      <c r="K233" t="inlineStr">
        <is>
          <t>Prescott, David M., 1926-2011.</t>
        </is>
      </c>
      <c r="L233" t="inlineStr">
        <is>
          <t>Sunderland, Mass. : Sinauer, c1986.</t>
        </is>
      </c>
      <c r="M233" t="inlineStr">
        <is>
          <t>1986</t>
        </is>
      </c>
      <c r="N233" t="inlineStr">
        <is>
          <t>2nd ed.</t>
        </is>
      </c>
      <c r="O233" t="inlineStr">
        <is>
          <t>eng</t>
        </is>
      </c>
      <c r="P233" t="inlineStr">
        <is>
          <t>mau</t>
        </is>
      </c>
      <c r="R233" t="inlineStr">
        <is>
          <t xml:space="preserve">RC </t>
        </is>
      </c>
      <c r="S233" t="n">
        <v>32</v>
      </c>
      <c r="T233" t="n">
        <v>32</v>
      </c>
      <c r="U233" t="inlineStr">
        <is>
          <t>2004-12-13</t>
        </is>
      </c>
      <c r="V233" t="inlineStr">
        <is>
          <t>2004-12-13</t>
        </is>
      </c>
      <c r="W233" t="inlineStr">
        <is>
          <t>1992-03-17</t>
        </is>
      </c>
      <c r="X233" t="inlineStr">
        <is>
          <t>1992-03-17</t>
        </is>
      </c>
      <c r="Y233" t="n">
        <v>300</v>
      </c>
      <c r="Z233" t="n">
        <v>253</v>
      </c>
      <c r="AA233" t="n">
        <v>839</v>
      </c>
      <c r="AB233" t="n">
        <v>3</v>
      </c>
      <c r="AC233" t="n">
        <v>5</v>
      </c>
      <c r="AD233" t="n">
        <v>12</v>
      </c>
      <c r="AE233" t="n">
        <v>20</v>
      </c>
      <c r="AF233" t="n">
        <v>5</v>
      </c>
      <c r="AG233" t="n">
        <v>9</v>
      </c>
      <c r="AH233" t="n">
        <v>3</v>
      </c>
      <c r="AI233" t="n">
        <v>3</v>
      </c>
      <c r="AJ233" t="n">
        <v>5</v>
      </c>
      <c r="AK233" t="n">
        <v>10</v>
      </c>
      <c r="AL233" t="n">
        <v>2</v>
      </c>
      <c r="AM233" t="n">
        <v>3</v>
      </c>
      <c r="AN233" t="n">
        <v>0</v>
      </c>
      <c r="AO233" t="n">
        <v>0</v>
      </c>
      <c r="AP233" t="inlineStr">
        <is>
          <t>No</t>
        </is>
      </c>
      <c r="AQ233" t="inlineStr">
        <is>
          <t>Yes</t>
        </is>
      </c>
      <c r="AR233">
        <f>HYPERLINK("http://catalog.hathitrust.org/Record/000441948","HathiTrust Record")</f>
        <v/>
      </c>
      <c r="AS233">
        <f>HYPERLINK("https://creighton-primo.hosted.exlibrisgroup.com/primo-explore/search?tab=default_tab&amp;search_scope=EVERYTHING&amp;vid=01CRU&amp;lang=en_US&amp;offset=0&amp;query=any,contains,991000750199702656","Catalog Record")</f>
        <v/>
      </c>
      <c r="AT233">
        <f>HYPERLINK("http://www.worldcat.org/oclc/12909223","WorldCat Record")</f>
        <v/>
      </c>
      <c r="AU233" t="inlineStr">
        <is>
          <t>1582133:eng</t>
        </is>
      </c>
      <c r="AV233" t="inlineStr">
        <is>
          <t>12909223</t>
        </is>
      </c>
      <c r="AW233" t="inlineStr">
        <is>
          <t>991000750199702656</t>
        </is>
      </c>
      <c r="AX233" t="inlineStr">
        <is>
          <t>991000750199702656</t>
        </is>
      </c>
      <c r="AY233" t="inlineStr">
        <is>
          <t>2266624750002656</t>
        </is>
      </c>
      <c r="AZ233" t="inlineStr">
        <is>
          <t>BOOK</t>
        </is>
      </c>
      <c r="BB233" t="inlineStr">
        <is>
          <t>9780878937080</t>
        </is>
      </c>
      <c r="BC233" t="inlineStr">
        <is>
          <t>32285000529064</t>
        </is>
      </c>
      <c r="BD233" t="inlineStr">
        <is>
          <t>893426003</t>
        </is>
      </c>
    </row>
    <row r="234">
      <c r="A234" t="inlineStr">
        <is>
          <t>No</t>
        </is>
      </c>
      <c r="B234" t="inlineStr">
        <is>
          <t>RC265.6.S76 S76 2003</t>
        </is>
      </c>
      <c r="C234" t="inlineStr">
        <is>
          <t>0                      RC 0265600S  76                 S  76          2003</t>
        </is>
      </c>
      <c r="D234" t="inlineStr">
        <is>
          <t>At the end of words : a daughter's memoirs / Miriam Stone.</t>
        </is>
      </c>
      <c r="F234" t="inlineStr">
        <is>
          <t>No</t>
        </is>
      </c>
      <c r="G234" t="inlineStr">
        <is>
          <t>1</t>
        </is>
      </c>
      <c r="H234" t="inlineStr">
        <is>
          <t>No</t>
        </is>
      </c>
      <c r="I234" t="inlineStr">
        <is>
          <t>No</t>
        </is>
      </c>
      <c r="J234" t="inlineStr">
        <is>
          <t>0</t>
        </is>
      </c>
      <c r="K234" t="inlineStr">
        <is>
          <t>Stone, Miriam R.</t>
        </is>
      </c>
      <c r="L234" t="inlineStr">
        <is>
          <t>Cambridge, Mass. : Candlewick Press, 2003.</t>
        </is>
      </c>
      <c r="M234" t="inlineStr">
        <is>
          <t>2003</t>
        </is>
      </c>
      <c r="N234" t="inlineStr">
        <is>
          <t>1st ed.</t>
        </is>
      </c>
      <c r="O234" t="inlineStr">
        <is>
          <t>eng</t>
        </is>
      </c>
      <c r="P234" t="inlineStr">
        <is>
          <t>mau</t>
        </is>
      </c>
      <c r="R234" t="inlineStr">
        <is>
          <t xml:space="preserve">RC </t>
        </is>
      </c>
      <c r="S234" t="n">
        <v>2</v>
      </c>
      <c r="T234" t="n">
        <v>2</v>
      </c>
      <c r="U234" t="inlineStr">
        <is>
          <t>2009-11-15</t>
        </is>
      </c>
      <c r="V234" t="inlineStr">
        <is>
          <t>2009-11-15</t>
        </is>
      </c>
      <c r="W234" t="inlineStr">
        <is>
          <t>2004-07-28</t>
        </is>
      </c>
      <c r="X234" t="inlineStr">
        <is>
          <t>2004-07-28</t>
        </is>
      </c>
      <c r="Y234" t="n">
        <v>480</v>
      </c>
      <c r="Z234" t="n">
        <v>466</v>
      </c>
      <c r="AA234" t="n">
        <v>471</v>
      </c>
      <c r="AB234" t="n">
        <v>5</v>
      </c>
      <c r="AC234" t="n">
        <v>5</v>
      </c>
      <c r="AD234" t="n">
        <v>6</v>
      </c>
      <c r="AE234" t="n">
        <v>6</v>
      </c>
      <c r="AF234" t="n">
        <v>1</v>
      </c>
      <c r="AG234" t="n">
        <v>1</v>
      </c>
      <c r="AH234" t="n">
        <v>3</v>
      </c>
      <c r="AI234" t="n">
        <v>3</v>
      </c>
      <c r="AJ234" t="n">
        <v>1</v>
      </c>
      <c r="AK234" t="n">
        <v>1</v>
      </c>
      <c r="AL234" t="n">
        <v>2</v>
      </c>
      <c r="AM234" t="n">
        <v>2</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HYPERLINK("https://creighton-primo.hosted.exlibrisgroup.com/primo-explore/search?tab=default_tab&amp;search_scope=EVERYTHING&amp;vid=01CRU&amp;lang=en_US&amp;offset=0&amp;query=any,contains,991004330139702656","Catalog Record")</f>
        <v/>
      </c>
      <c r="AT234">
        <f>HYPERLINK("http://www.worldcat.org/oclc/50164829","WorldCat Record")</f>
        <v/>
      </c>
      <c r="AU234" t="inlineStr">
        <is>
          <t>10488057685:eng</t>
        </is>
      </c>
      <c r="AV234" t="inlineStr">
        <is>
          <t>50164829</t>
        </is>
      </c>
      <c r="AW234" t="inlineStr">
        <is>
          <t>991004330139702656</t>
        </is>
      </c>
      <c r="AX234" t="inlineStr">
        <is>
          <t>991004330139702656</t>
        </is>
      </c>
      <c r="AY234" t="inlineStr">
        <is>
          <t>2270146230002656</t>
        </is>
      </c>
      <c r="AZ234" t="inlineStr">
        <is>
          <t>BOOK</t>
        </is>
      </c>
      <c r="BB234" t="inlineStr">
        <is>
          <t>9780763618544</t>
        </is>
      </c>
      <c r="BC234" t="inlineStr">
        <is>
          <t>32285004926910</t>
        </is>
      </c>
      <c r="BD234" t="inlineStr">
        <is>
          <t>893679424</t>
        </is>
      </c>
    </row>
    <row r="235">
      <c r="A235" t="inlineStr">
        <is>
          <t>No</t>
        </is>
      </c>
      <c r="B235" t="inlineStr">
        <is>
          <t>RC267 .G3 1966</t>
        </is>
      </c>
      <c r="C235" t="inlineStr">
        <is>
          <t>0                      RC 0267000G  3           1966</t>
        </is>
      </c>
      <c r="D235" t="inlineStr">
        <is>
          <t>Microbial models of cancer cells [by] G. F. Gause.</t>
        </is>
      </c>
      <c r="F235" t="inlineStr">
        <is>
          <t>No</t>
        </is>
      </c>
      <c r="G235" t="inlineStr">
        <is>
          <t>1</t>
        </is>
      </c>
      <c r="H235" t="inlineStr">
        <is>
          <t>No</t>
        </is>
      </c>
      <c r="I235" t="inlineStr">
        <is>
          <t>No</t>
        </is>
      </c>
      <c r="J235" t="inlineStr">
        <is>
          <t>0</t>
        </is>
      </c>
      <c r="K235" t="inlineStr">
        <is>
          <t>Gauze, G. F. (Georgiĭ Frant͡sevich), 1910-1986.</t>
        </is>
      </c>
      <c r="L235" t="inlineStr">
        <is>
          <t>Amsterdam, North-Holland Pub. Co., 1966.</t>
        </is>
      </c>
      <c r="M235" t="inlineStr">
        <is>
          <t>1966</t>
        </is>
      </c>
      <c r="O235" t="inlineStr">
        <is>
          <t>eng</t>
        </is>
      </c>
      <c r="P235" t="inlineStr">
        <is>
          <t xml:space="preserve">ne </t>
        </is>
      </c>
      <c r="Q235" t="inlineStr">
        <is>
          <t>Frontiers of biology (Amsterdam), v. 1</t>
        </is>
      </c>
      <c r="R235" t="inlineStr">
        <is>
          <t xml:space="preserve">RC </t>
        </is>
      </c>
      <c r="S235" t="n">
        <v>3</v>
      </c>
      <c r="T235" t="n">
        <v>3</v>
      </c>
      <c r="U235" t="inlineStr">
        <is>
          <t>1998-10-09</t>
        </is>
      </c>
      <c r="V235" t="inlineStr">
        <is>
          <t>1998-10-09</t>
        </is>
      </c>
      <c r="W235" t="inlineStr">
        <is>
          <t>1997-08-08</t>
        </is>
      </c>
      <c r="X235" t="inlineStr">
        <is>
          <t>1997-08-08</t>
        </is>
      </c>
      <c r="Y235" t="n">
        <v>156</v>
      </c>
      <c r="Z235" t="n">
        <v>107</v>
      </c>
      <c r="AA235" t="n">
        <v>284</v>
      </c>
      <c r="AB235" t="n">
        <v>1</v>
      </c>
      <c r="AC235" t="n">
        <v>2</v>
      </c>
      <c r="AD235" t="n">
        <v>3</v>
      </c>
      <c r="AE235" t="n">
        <v>13</v>
      </c>
      <c r="AF235" t="n">
        <v>1</v>
      </c>
      <c r="AG235" t="n">
        <v>5</v>
      </c>
      <c r="AH235" t="n">
        <v>1</v>
      </c>
      <c r="AI235" t="n">
        <v>4</v>
      </c>
      <c r="AJ235" t="n">
        <v>2</v>
      </c>
      <c r="AK235" t="n">
        <v>7</v>
      </c>
      <c r="AL235" t="n">
        <v>0</v>
      </c>
      <c r="AM235" t="n">
        <v>1</v>
      </c>
      <c r="AN235" t="n">
        <v>0</v>
      </c>
      <c r="AO235" t="n">
        <v>0</v>
      </c>
      <c r="AP235" t="inlineStr">
        <is>
          <t>No</t>
        </is>
      </c>
      <c r="AQ235" t="inlineStr">
        <is>
          <t>Yes</t>
        </is>
      </c>
      <c r="AR235">
        <f>HYPERLINK("http://catalog.hathitrust.org/Record/005708815","HathiTrust Record")</f>
        <v/>
      </c>
      <c r="AS235">
        <f>HYPERLINK("https://creighton-primo.hosted.exlibrisgroup.com/primo-explore/search?tab=default_tab&amp;search_scope=EVERYTHING&amp;vid=01CRU&amp;lang=en_US&amp;offset=0&amp;query=any,contains,991002780919702656","Catalog Record")</f>
        <v/>
      </c>
      <c r="AT235">
        <f>HYPERLINK("http://www.worldcat.org/oclc/440196","WorldCat Record")</f>
        <v/>
      </c>
      <c r="AU235" t="inlineStr">
        <is>
          <t>218509411:eng</t>
        </is>
      </c>
      <c r="AV235" t="inlineStr">
        <is>
          <t>440196</t>
        </is>
      </c>
      <c r="AW235" t="inlineStr">
        <is>
          <t>991002780919702656</t>
        </is>
      </c>
      <c r="AX235" t="inlineStr">
        <is>
          <t>991002780919702656</t>
        </is>
      </c>
      <c r="AY235" t="inlineStr">
        <is>
          <t>2256646650002656</t>
        </is>
      </c>
      <c r="AZ235" t="inlineStr">
        <is>
          <t>BOOK</t>
        </is>
      </c>
      <c r="BC235" t="inlineStr">
        <is>
          <t>32285003084505</t>
        </is>
      </c>
      <c r="BD235" t="inlineStr">
        <is>
          <t>893899220</t>
        </is>
      </c>
    </row>
    <row r="236">
      <c r="A236" t="inlineStr">
        <is>
          <t>No</t>
        </is>
      </c>
      <c r="B236" t="inlineStr">
        <is>
          <t>RC267 .W45 1996</t>
        </is>
      </c>
      <c r="C236" t="inlineStr">
        <is>
          <t>0                      RC 0267000W  45          1996</t>
        </is>
      </c>
      <c r="D236" t="inlineStr">
        <is>
          <t>Racing to the beginning of the road : the search for the origin of cancer / Robert A. Weinberg.</t>
        </is>
      </c>
      <c r="F236" t="inlineStr">
        <is>
          <t>No</t>
        </is>
      </c>
      <c r="G236" t="inlineStr">
        <is>
          <t>1</t>
        </is>
      </c>
      <c r="H236" t="inlineStr">
        <is>
          <t>No</t>
        </is>
      </c>
      <c r="I236" t="inlineStr">
        <is>
          <t>No</t>
        </is>
      </c>
      <c r="J236" t="inlineStr">
        <is>
          <t>0</t>
        </is>
      </c>
      <c r="K236" t="inlineStr">
        <is>
          <t>Weinberg, Robert A. (Robert Allan), 1942-</t>
        </is>
      </c>
      <c r="L236" t="inlineStr">
        <is>
          <t>New York : Harmony Books, c1996.</t>
        </is>
      </c>
      <c r="M236" t="inlineStr">
        <is>
          <t>1996</t>
        </is>
      </c>
      <c r="N236" t="inlineStr">
        <is>
          <t>1st ed.</t>
        </is>
      </c>
      <c r="O236" t="inlineStr">
        <is>
          <t>eng</t>
        </is>
      </c>
      <c r="P236" t="inlineStr">
        <is>
          <t>nyu</t>
        </is>
      </c>
      <c r="R236" t="inlineStr">
        <is>
          <t xml:space="preserve">RC </t>
        </is>
      </c>
      <c r="S236" t="n">
        <v>1</v>
      </c>
      <c r="T236" t="n">
        <v>1</v>
      </c>
      <c r="U236" t="inlineStr">
        <is>
          <t>2001-02-13</t>
        </is>
      </c>
      <c r="V236" t="inlineStr">
        <is>
          <t>2001-02-13</t>
        </is>
      </c>
      <c r="W236" t="inlineStr">
        <is>
          <t>1997-01-27</t>
        </is>
      </c>
      <c r="X236" t="inlineStr">
        <is>
          <t>1997-01-27</t>
        </is>
      </c>
      <c r="Y236" t="n">
        <v>464</v>
      </c>
      <c r="Z236" t="n">
        <v>426</v>
      </c>
      <c r="AA236" t="n">
        <v>539</v>
      </c>
      <c r="AB236" t="n">
        <v>2</v>
      </c>
      <c r="AC236" t="n">
        <v>2</v>
      </c>
      <c r="AD236" t="n">
        <v>14</v>
      </c>
      <c r="AE236" t="n">
        <v>17</v>
      </c>
      <c r="AF236" t="n">
        <v>4</v>
      </c>
      <c r="AG236" t="n">
        <v>7</v>
      </c>
      <c r="AH236" t="n">
        <v>2</v>
      </c>
      <c r="AI236" t="n">
        <v>2</v>
      </c>
      <c r="AJ236" t="n">
        <v>8</v>
      </c>
      <c r="AK236" t="n">
        <v>9</v>
      </c>
      <c r="AL236" t="n">
        <v>1</v>
      </c>
      <c r="AM236" t="n">
        <v>1</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HYPERLINK("https://creighton-primo.hosted.exlibrisgroup.com/primo-explore/search?tab=default_tab&amp;search_scope=EVERYTHING&amp;vid=01CRU&amp;lang=en_US&amp;offset=0&amp;query=any,contains,991002601869702656","Catalog Record")</f>
        <v/>
      </c>
      <c r="AT236">
        <f>HYPERLINK("http://www.worldcat.org/oclc/34078983","WorldCat Record")</f>
        <v/>
      </c>
      <c r="AU236" t="inlineStr">
        <is>
          <t>227431248:eng</t>
        </is>
      </c>
      <c r="AV236" t="inlineStr">
        <is>
          <t>34078983</t>
        </is>
      </c>
      <c r="AW236" t="inlineStr">
        <is>
          <t>991002601869702656</t>
        </is>
      </c>
      <c r="AX236" t="inlineStr">
        <is>
          <t>991002601869702656</t>
        </is>
      </c>
      <c r="AY236" t="inlineStr">
        <is>
          <t>2270680530002656</t>
        </is>
      </c>
      <c r="AZ236" t="inlineStr">
        <is>
          <t>BOOK</t>
        </is>
      </c>
      <c r="BB236" t="inlineStr">
        <is>
          <t>9780517591185</t>
        </is>
      </c>
      <c r="BC236" t="inlineStr">
        <is>
          <t>32285002411493</t>
        </is>
      </c>
      <c r="BD236" t="inlineStr">
        <is>
          <t>893239256</t>
        </is>
      </c>
    </row>
    <row r="237">
      <c r="A237" t="inlineStr">
        <is>
          <t>No</t>
        </is>
      </c>
      <c r="B237" t="inlineStr">
        <is>
          <t>RC268 .C356 1996</t>
        </is>
      </c>
      <c r="C237" t="inlineStr">
        <is>
          <t>0                      RC 0268000C  356         1996</t>
        </is>
      </c>
      <c r="D237" t="inlineStr">
        <is>
          <t>Cancer free : the comprehensive cancer prevention program / Sidney J. Winawer and Moshe Shike and Philip Bashe and Genell Subak-Sharpe ; introd. by Paul A. Marks.</t>
        </is>
      </c>
      <c r="F237" t="inlineStr">
        <is>
          <t>No</t>
        </is>
      </c>
      <c r="G237" t="inlineStr">
        <is>
          <t>1</t>
        </is>
      </c>
      <c r="H237" t="inlineStr">
        <is>
          <t>Yes</t>
        </is>
      </c>
      <c r="I237" t="inlineStr">
        <is>
          <t>No</t>
        </is>
      </c>
      <c r="J237" t="inlineStr">
        <is>
          <t>0</t>
        </is>
      </c>
      <c r="K237" t="inlineStr">
        <is>
          <t>Winawer, Sidney J.</t>
        </is>
      </c>
      <c r="L237" t="inlineStr">
        <is>
          <t>New York : Simon &amp; Schuster, 1996, c1995.</t>
        </is>
      </c>
      <c r="M237" t="inlineStr">
        <is>
          <t>1996</t>
        </is>
      </c>
      <c r="O237" t="inlineStr">
        <is>
          <t>eng</t>
        </is>
      </c>
      <c r="P237" t="inlineStr">
        <is>
          <t>nyu</t>
        </is>
      </c>
      <c r="R237" t="inlineStr">
        <is>
          <t xml:space="preserve">RC </t>
        </is>
      </c>
      <c r="S237" t="n">
        <v>15</v>
      </c>
      <c r="T237" t="n">
        <v>22</v>
      </c>
      <c r="U237" t="inlineStr">
        <is>
          <t>2010-02-09</t>
        </is>
      </c>
      <c r="V237" t="inlineStr">
        <is>
          <t>2010-02-09</t>
        </is>
      </c>
      <c r="W237" t="inlineStr">
        <is>
          <t>1998-03-26</t>
        </is>
      </c>
      <c r="X237" t="inlineStr">
        <is>
          <t>1998-04-23</t>
        </is>
      </c>
      <c r="Y237" t="n">
        <v>939</v>
      </c>
      <c r="Z237" t="n">
        <v>933</v>
      </c>
      <c r="AA237" t="n">
        <v>1876</v>
      </c>
      <c r="AB237" t="n">
        <v>17</v>
      </c>
      <c r="AC237" t="n">
        <v>23</v>
      </c>
      <c r="AD237" t="n">
        <v>20</v>
      </c>
      <c r="AE237" t="n">
        <v>32</v>
      </c>
      <c r="AF237" t="n">
        <v>8</v>
      </c>
      <c r="AG237" t="n">
        <v>13</v>
      </c>
      <c r="AH237" t="n">
        <v>1</v>
      </c>
      <c r="AI237" t="n">
        <v>2</v>
      </c>
      <c r="AJ237" t="n">
        <v>4</v>
      </c>
      <c r="AK237" t="n">
        <v>11</v>
      </c>
      <c r="AL237" t="n">
        <v>10</v>
      </c>
      <c r="AM237" t="n">
        <v>13</v>
      </c>
      <c r="AN237" t="n">
        <v>0</v>
      </c>
      <c r="AO237" t="n">
        <v>0</v>
      </c>
      <c r="AP237" t="inlineStr">
        <is>
          <t>No</t>
        </is>
      </c>
      <c r="AQ237" t="inlineStr">
        <is>
          <t>Yes</t>
        </is>
      </c>
      <c r="AR237">
        <f>HYPERLINK("http://catalog.hathitrust.org/Record/003251387","HathiTrust Record")</f>
        <v/>
      </c>
      <c r="AS237">
        <f>HYPERLINK("https://creighton-primo.hosted.exlibrisgroup.com/primo-explore/search?tab=default_tab&amp;search_scope=EVERYTHING&amp;vid=01CRU&amp;lang=en_US&amp;offset=0&amp;query=any,contains,991001774789702656","Catalog Record")</f>
        <v/>
      </c>
      <c r="AT237">
        <f>HYPERLINK("http://www.worldcat.org/oclc/38874995","WorldCat Record")</f>
        <v/>
      </c>
      <c r="AU237" t="inlineStr">
        <is>
          <t>34894885:eng</t>
        </is>
      </c>
      <c r="AV237" t="inlineStr">
        <is>
          <t>38874995</t>
        </is>
      </c>
      <c r="AW237" t="inlineStr">
        <is>
          <t>991001774789702656</t>
        </is>
      </c>
      <c r="AX237" t="inlineStr">
        <is>
          <t>991001774789702656</t>
        </is>
      </c>
      <c r="AY237" t="inlineStr">
        <is>
          <t>2263432930002656</t>
        </is>
      </c>
      <c r="AZ237" t="inlineStr">
        <is>
          <t>BOOK</t>
        </is>
      </c>
      <c r="BB237" t="inlineStr">
        <is>
          <t>9780684815121</t>
        </is>
      </c>
      <c r="BC237" t="inlineStr">
        <is>
          <t>32285003380929</t>
        </is>
      </c>
      <c r="BD237" t="inlineStr">
        <is>
          <t>893503677</t>
        </is>
      </c>
    </row>
    <row r="238">
      <c r="A238" t="inlineStr">
        <is>
          <t>No</t>
        </is>
      </c>
      <c r="B238" t="inlineStr">
        <is>
          <t>RC268 .P77 1999</t>
        </is>
      </c>
      <c r="C238" t="inlineStr">
        <is>
          <t>0                      RC 0268000P  77          1999</t>
        </is>
      </c>
      <c r="D238" t="inlineStr">
        <is>
          <t>The Nazi war on cancer / Robert N. Proctor.</t>
        </is>
      </c>
      <c r="F238" t="inlineStr">
        <is>
          <t>No</t>
        </is>
      </c>
      <c r="G238" t="inlineStr">
        <is>
          <t>1</t>
        </is>
      </c>
      <c r="H238" t="inlineStr">
        <is>
          <t>No</t>
        </is>
      </c>
      <c r="I238" t="inlineStr">
        <is>
          <t>No</t>
        </is>
      </c>
      <c r="J238" t="inlineStr">
        <is>
          <t>0</t>
        </is>
      </c>
      <c r="K238" t="inlineStr">
        <is>
          <t>Proctor, Robert, 1954-</t>
        </is>
      </c>
      <c r="L238" t="inlineStr">
        <is>
          <t>Princeton, N.J. : Princeton University Press, c1999.</t>
        </is>
      </c>
      <c r="M238" t="inlineStr">
        <is>
          <t>1999</t>
        </is>
      </c>
      <c r="O238" t="inlineStr">
        <is>
          <t>eng</t>
        </is>
      </c>
      <c r="P238" t="inlineStr">
        <is>
          <t>nju</t>
        </is>
      </c>
      <c r="R238" t="inlineStr">
        <is>
          <t xml:space="preserve">RC </t>
        </is>
      </c>
      <c r="S238" t="n">
        <v>4</v>
      </c>
      <c r="T238" t="n">
        <v>4</v>
      </c>
      <c r="U238" t="inlineStr">
        <is>
          <t>2002-04-11</t>
        </is>
      </c>
      <c r="V238" t="inlineStr">
        <is>
          <t>2002-04-11</t>
        </is>
      </c>
      <c r="W238" t="inlineStr">
        <is>
          <t>1999-12-02</t>
        </is>
      </c>
      <c r="X238" t="inlineStr">
        <is>
          <t>1999-12-02</t>
        </is>
      </c>
      <c r="Y238" t="n">
        <v>924</v>
      </c>
      <c r="Z238" t="n">
        <v>801</v>
      </c>
      <c r="AA238" t="n">
        <v>979</v>
      </c>
      <c r="AB238" t="n">
        <v>3</v>
      </c>
      <c r="AC238" t="n">
        <v>3</v>
      </c>
      <c r="AD238" t="n">
        <v>33</v>
      </c>
      <c r="AE238" t="n">
        <v>41</v>
      </c>
      <c r="AF238" t="n">
        <v>17</v>
      </c>
      <c r="AG238" t="n">
        <v>21</v>
      </c>
      <c r="AH238" t="n">
        <v>7</v>
      </c>
      <c r="AI238" t="n">
        <v>11</v>
      </c>
      <c r="AJ238" t="n">
        <v>15</v>
      </c>
      <c r="AK238" t="n">
        <v>18</v>
      </c>
      <c r="AL238" t="n">
        <v>2</v>
      </c>
      <c r="AM238" t="n">
        <v>2</v>
      </c>
      <c r="AN238" t="n">
        <v>1</v>
      </c>
      <c r="AO238" t="n">
        <v>1</v>
      </c>
      <c r="AP238" t="inlineStr">
        <is>
          <t>No</t>
        </is>
      </c>
      <c r="AQ238" t="inlineStr">
        <is>
          <t>No</t>
        </is>
      </c>
      <c r="AS238">
        <f>HYPERLINK("https://creighton-primo.hosted.exlibrisgroup.com/primo-explore/search?tab=default_tab&amp;search_scope=EVERYTHING&amp;vid=01CRU&amp;lang=en_US&amp;offset=0&amp;query=any,contains,991005429649702656","Catalog Record")</f>
        <v/>
      </c>
      <c r="AT238">
        <f>HYPERLINK("http://www.worldcat.org/oclc/40200136","WorldCat Record")</f>
        <v/>
      </c>
      <c r="AU238" t="inlineStr">
        <is>
          <t>48070:eng</t>
        </is>
      </c>
      <c r="AV238" t="inlineStr">
        <is>
          <t>40200136</t>
        </is>
      </c>
      <c r="AW238" t="inlineStr">
        <is>
          <t>991005429649702656</t>
        </is>
      </c>
      <c r="AX238" t="inlineStr">
        <is>
          <t>991005429649702656</t>
        </is>
      </c>
      <c r="AY238" t="inlineStr">
        <is>
          <t>2267123150002656</t>
        </is>
      </c>
      <c r="AZ238" t="inlineStr">
        <is>
          <t>BOOK</t>
        </is>
      </c>
      <c r="BB238" t="inlineStr">
        <is>
          <t>9780691001968</t>
        </is>
      </c>
      <c r="BC238" t="inlineStr">
        <is>
          <t>32285003626875</t>
        </is>
      </c>
      <c r="BD238" t="inlineStr">
        <is>
          <t>893339084</t>
        </is>
      </c>
    </row>
    <row r="239">
      <c r="A239" t="inlineStr">
        <is>
          <t>No</t>
        </is>
      </c>
      <c r="B239" t="inlineStr">
        <is>
          <t>RC268.25 .S74 1998</t>
        </is>
      </c>
      <c r="C239" t="inlineStr">
        <is>
          <t>0                      RC 0268250S  74          1998</t>
        </is>
      </c>
      <c r="D239" t="inlineStr">
        <is>
          <t>Living downstream : a scientist's personal investigation of cancer and the environment / Sandra Steingraber.</t>
        </is>
      </c>
      <c r="F239" t="inlineStr">
        <is>
          <t>No</t>
        </is>
      </c>
      <c r="G239" t="inlineStr">
        <is>
          <t>1</t>
        </is>
      </c>
      <c r="H239" t="inlineStr">
        <is>
          <t>No</t>
        </is>
      </c>
      <c r="I239" t="inlineStr">
        <is>
          <t>No</t>
        </is>
      </c>
      <c r="J239" t="inlineStr">
        <is>
          <t>0</t>
        </is>
      </c>
      <c r="K239" t="inlineStr">
        <is>
          <t>Steingraber, Sandra.</t>
        </is>
      </c>
      <c r="L239" t="inlineStr">
        <is>
          <t>New York : Vintage Books, c1998.</t>
        </is>
      </c>
      <c r="M239" t="inlineStr">
        <is>
          <t>1998</t>
        </is>
      </c>
      <c r="N239" t="inlineStr">
        <is>
          <t>1st Vintage Books ed.</t>
        </is>
      </c>
      <c r="O239" t="inlineStr">
        <is>
          <t>eng</t>
        </is>
      </c>
      <c r="P239" t="inlineStr">
        <is>
          <t>nyu</t>
        </is>
      </c>
      <c r="R239" t="inlineStr">
        <is>
          <t xml:space="preserve">RC </t>
        </is>
      </c>
      <c r="S239" t="n">
        <v>2</v>
      </c>
      <c r="T239" t="n">
        <v>2</v>
      </c>
      <c r="U239" t="inlineStr">
        <is>
          <t>2008-02-10</t>
        </is>
      </c>
      <c r="V239" t="inlineStr">
        <is>
          <t>2008-02-10</t>
        </is>
      </c>
      <c r="W239" t="inlineStr">
        <is>
          <t>2004-03-22</t>
        </is>
      </c>
      <c r="X239" t="inlineStr">
        <is>
          <t>2004-03-22</t>
        </is>
      </c>
      <c r="Y239" t="n">
        <v>297</v>
      </c>
      <c r="Z239" t="n">
        <v>270</v>
      </c>
      <c r="AA239" t="n">
        <v>628</v>
      </c>
      <c r="AB239" t="n">
        <v>1</v>
      </c>
      <c r="AC239" t="n">
        <v>1</v>
      </c>
      <c r="AD239" t="n">
        <v>8</v>
      </c>
      <c r="AE239" t="n">
        <v>17</v>
      </c>
      <c r="AF239" t="n">
        <v>3</v>
      </c>
      <c r="AG239" t="n">
        <v>9</v>
      </c>
      <c r="AH239" t="n">
        <v>3</v>
      </c>
      <c r="AI239" t="n">
        <v>5</v>
      </c>
      <c r="AJ239" t="n">
        <v>4</v>
      </c>
      <c r="AK239" t="n">
        <v>9</v>
      </c>
      <c r="AL239" t="n">
        <v>0</v>
      </c>
      <c r="AM239" t="n">
        <v>0</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HYPERLINK("https://creighton-primo.hosted.exlibrisgroup.com/primo-explore/search?tab=default_tab&amp;search_scope=EVERYTHING&amp;vid=01CRU&amp;lang=en_US&amp;offset=0&amp;query=any,contains,991004257099702656","Catalog Record")</f>
        <v/>
      </c>
      <c r="AT239">
        <f>HYPERLINK("http://www.worldcat.org/oclc/39162273","WorldCat Record")</f>
        <v/>
      </c>
      <c r="AU239" t="inlineStr">
        <is>
          <t>3858020087:eng</t>
        </is>
      </c>
      <c r="AV239" t="inlineStr">
        <is>
          <t>39162273</t>
        </is>
      </c>
      <c r="AW239" t="inlineStr">
        <is>
          <t>991004257099702656</t>
        </is>
      </c>
      <c r="AX239" t="inlineStr">
        <is>
          <t>991004257099702656</t>
        </is>
      </c>
      <c r="AY239" t="inlineStr">
        <is>
          <t>2269416460002656</t>
        </is>
      </c>
      <c r="AZ239" t="inlineStr">
        <is>
          <t>BOOK</t>
        </is>
      </c>
      <c r="BB239" t="inlineStr">
        <is>
          <t>9780375700996</t>
        </is>
      </c>
      <c r="BC239" t="inlineStr">
        <is>
          <t>32285004895453</t>
        </is>
      </c>
      <c r="BD239" t="inlineStr">
        <is>
          <t>893325133</t>
        </is>
      </c>
    </row>
    <row r="240">
      <c r="A240" t="inlineStr">
        <is>
          <t>No</t>
        </is>
      </c>
      <c r="B240" t="inlineStr">
        <is>
          <t>RC268.3 .U53 1993</t>
        </is>
      </c>
      <c r="C240" t="inlineStr">
        <is>
          <t>0                      RC 0268300U  53          1993</t>
        </is>
      </c>
      <c r="D240" t="inlineStr">
        <is>
          <t>The Underlying molecular, cellular, and immunological factors in cancer and aging / edited by Stringner Sue Yang and Huber R. Warner.</t>
        </is>
      </c>
      <c r="F240" t="inlineStr">
        <is>
          <t>No</t>
        </is>
      </c>
      <c r="G240" t="inlineStr">
        <is>
          <t>1</t>
        </is>
      </c>
      <c r="H240" t="inlineStr">
        <is>
          <t>No</t>
        </is>
      </c>
      <c r="I240" t="inlineStr">
        <is>
          <t>No</t>
        </is>
      </c>
      <c r="J240" t="inlineStr">
        <is>
          <t>0</t>
        </is>
      </c>
      <c r="L240" t="inlineStr">
        <is>
          <t>New York : Plenum Press, c1993.</t>
        </is>
      </c>
      <c r="M240" t="inlineStr">
        <is>
          <t>1993</t>
        </is>
      </c>
      <c r="O240" t="inlineStr">
        <is>
          <t>eng</t>
        </is>
      </c>
      <c r="P240" t="inlineStr">
        <is>
          <t>nyu</t>
        </is>
      </c>
      <c r="Q240" t="inlineStr">
        <is>
          <t>Advances in experimental medicine and biology ; v. 330</t>
        </is>
      </c>
      <c r="R240" t="inlineStr">
        <is>
          <t xml:space="preserve">RC </t>
        </is>
      </c>
      <c r="S240" t="n">
        <v>12</v>
      </c>
      <c r="T240" t="n">
        <v>12</v>
      </c>
      <c r="U240" t="inlineStr">
        <is>
          <t>1999-10-12</t>
        </is>
      </c>
      <c r="V240" t="inlineStr">
        <is>
          <t>1999-10-12</t>
        </is>
      </c>
      <c r="W240" t="inlineStr">
        <is>
          <t>1994-06-02</t>
        </is>
      </c>
      <c r="X240" t="inlineStr">
        <is>
          <t>1994-06-02</t>
        </is>
      </c>
      <c r="Y240" t="n">
        <v>208</v>
      </c>
      <c r="Z240" t="n">
        <v>167</v>
      </c>
      <c r="AA240" t="n">
        <v>174</v>
      </c>
      <c r="AB240" t="n">
        <v>1</v>
      </c>
      <c r="AC240" t="n">
        <v>1</v>
      </c>
      <c r="AD240" t="n">
        <v>3</v>
      </c>
      <c r="AE240" t="n">
        <v>3</v>
      </c>
      <c r="AF240" t="n">
        <v>0</v>
      </c>
      <c r="AG240" t="n">
        <v>0</v>
      </c>
      <c r="AH240" t="n">
        <v>1</v>
      </c>
      <c r="AI240" t="n">
        <v>1</v>
      </c>
      <c r="AJ240" t="n">
        <v>2</v>
      </c>
      <c r="AK240" t="n">
        <v>2</v>
      </c>
      <c r="AL240" t="n">
        <v>0</v>
      </c>
      <c r="AM240" t="n">
        <v>0</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HYPERLINK("https://creighton-primo.hosted.exlibrisgroup.com/primo-explore/search?tab=default_tab&amp;search_scope=EVERYTHING&amp;vid=01CRU&amp;lang=en_US&amp;offset=0&amp;query=any,contains,991002174899702656","Catalog Record")</f>
        <v/>
      </c>
      <c r="AT240">
        <f>HYPERLINK("http://www.worldcat.org/oclc/27978568","WorldCat Record")</f>
        <v/>
      </c>
      <c r="AU240" t="inlineStr">
        <is>
          <t>365574711:eng</t>
        </is>
      </c>
      <c r="AV240" t="inlineStr">
        <is>
          <t>27978568</t>
        </is>
      </c>
      <c r="AW240" t="inlineStr">
        <is>
          <t>991002174899702656</t>
        </is>
      </c>
      <c r="AX240" t="inlineStr">
        <is>
          <t>991002174899702656</t>
        </is>
      </c>
      <c r="AY240" t="inlineStr">
        <is>
          <t>2259674480002656</t>
        </is>
      </c>
      <c r="AZ240" t="inlineStr">
        <is>
          <t>BOOK</t>
        </is>
      </c>
      <c r="BB240" t="inlineStr">
        <is>
          <t>9780306444111</t>
        </is>
      </c>
      <c r="BC240" t="inlineStr">
        <is>
          <t>32285001920700</t>
        </is>
      </c>
      <c r="BD240" t="inlineStr">
        <is>
          <t>893244855</t>
        </is>
      </c>
    </row>
    <row r="241">
      <c r="A241" t="inlineStr">
        <is>
          <t>No</t>
        </is>
      </c>
      <c r="B241" t="inlineStr">
        <is>
          <t>RC268.4 .C49 1983</t>
        </is>
      </c>
      <c r="C241" t="inlineStr">
        <is>
          <t>0                      RC 0268400C  49          1983</t>
        </is>
      </c>
      <c r="D241" t="inlineStr">
        <is>
          <t>Chromosomes and cancer : from molecules to man / edited by Janet D. Rowley, John E. Ultmann.</t>
        </is>
      </c>
      <c r="F241" t="inlineStr">
        <is>
          <t>No</t>
        </is>
      </c>
      <c r="G241" t="inlineStr">
        <is>
          <t>1</t>
        </is>
      </c>
      <c r="H241" t="inlineStr">
        <is>
          <t>No</t>
        </is>
      </c>
      <c r="I241" t="inlineStr">
        <is>
          <t>No</t>
        </is>
      </c>
      <c r="J241" t="inlineStr">
        <is>
          <t>0</t>
        </is>
      </c>
      <c r="L241" t="inlineStr">
        <is>
          <t>New York : Academic Press, 1983.</t>
        </is>
      </c>
      <c r="M241" t="inlineStr">
        <is>
          <t>1983</t>
        </is>
      </c>
      <c r="O241" t="inlineStr">
        <is>
          <t>eng</t>
        </is>
      </c>
      <c r="P241" t="inlineStr">
        <is>
          <t>nyu</t>
        </is>
      </c>
      <c r="Q241" t="inlineStr">
        <is>
          <t>Bristol-Myers cancer symposia ; 5</t>
        </is>
      </c>
      <c r="R241" t="inlineStr">
        <is>
          <t xml:space="preserve">RC </t>
        </is>
      </c>
      <c r="S241" t="n">
        <v>9</v>
      </c>
      <c r="T241" t="n">
        <v>9</v>
      </c>
      <c r="U241" t="inlineStr">
        <is>
          <t>2003-03-15</t>
        </is>
      </c>
      <c r="V241" t="inlineStr">
        <is>
          <t>2003-03-15</t>
        </is>
      </c>
      <c r="W241" t="inlineStr">
        <is>
          <t>1992-02-07</t>
        </is>
      </c>
      <c r="X241" t="inlineStr">
        <is>
          <t>1992-02-07</t>
        </is>
      </c>
      <c r="Y241" t="n">
        <v>170</v>
      </c>
      <c r="Z241" t="n">
        <v>116</v>
      </c>
      <c r="AA241" t="n">
        <v>118</v>
      </c>
      <c r="AB241" t="n">
        <v>1</v>
      </c>
      <c r="AC241" t="n">
        <v>1</v>
      </c>
      <c r="AD241" t="n">
        <v>2</v>
      </c>
      <c r="AE241" t="n">
        <v>2</v>
      </c>
      <c r="AF241" t="n">
        <v>1</v>
      </c>
      <c r="AG241" t="n">
        <v>1</v>
      </c>
      <c r="AH241" t="n">
        <v>0</v>
      </c>
      <c r="AI241" t="n">
        <v>0</v>
      </c>
      <c r="AJ241" t="n">
        <v>1</v>
      </c>
      <c r="AK241" t="n">
        <v>1</v>
      </c>
      <c r="AL241" t="n">
        <v>0</v>
      </c>
      <c r="AM241" t="n">
        <v>0</v>
      </c>
      <c r="AN241" t="n">
        <v>0</v>
      </c>
      <c r="AO241" t="n">
        <v>0</v>
      </c>
      <c r="AP241" t="inlineStr">
        <is>
          <t>No</t>
        </is>
      </c>
      <c r="AQ241" t="inlineStr">
        <is>
          <t>Yes</t>
        </is>
      </c>
      <c r="AR241">
        <f>HYPERLINK("http://catalog.hathitrust.org/Record/000780895","HathiTrust Record")</f>
        <v/>
      </c>
      <c r="AS241">
        <f>HYPERLINK("https://creighton-primo.hosted.exlibrisgroup.com/primo-explore/search?tab=default_tab&amp;search_scope=EVERYTHING&amp;vid=01CRU&amp;lang=en_US&amp;offset=0&amp;query=any,contains,991000228239702656","Catalog Record")</f>
        <v/>
      </c>
      <c r="AT241">
        <f>HYPERLINK("http://www.worldcat.org/oclc/9622345","WorldCat Record")</f>
        <v/>
      </c>
      <c r="AU241" t="inlineStr">
        <is>
          <t>365949435:eng</t>
        </is>
      </c>
      <c r="AV241" t="inlineStr">
        <is>
          <t>9622345</t>
        </is>
      </c>
      <c r="AW241" t="inlineStr">
        <is>
          <t>991000228239702656</t>
        </is>
      </c>
      <c r="AX241" t="inlineStr">
        <is>
          <t>991000228239702656</t>
        </is>
      </c>
      <c r="AY241" t="inlineStr">
        <is>
          <t>2269309860002656</t>
        </is>
      </c>
      <c r="AZ241" t="inlineStr">
        <is>
          <t>BOOK</t>
        </is>
      </c>
      <c r="BB241" t="inlineStr">
        <is>
          <t>9780126002508</t>
        </is>
      </c>
      <c r="BC241" t="inlineStr">
        <is>
          <t>32285000943083</t>
        </is>
      </c>
      <c r="BD241" t="inlineStr">
        <is>
          <t>893230979</t>
        </is>
      </c>
    </row>
    <row r="242">
      <c r="A242" t="inlineStr">
        <is>
          <t>No</t>
        </is>
      </c>
      <c r="B242" t="inlineStr">
        <is>
          <t>RC268.4 .G42 1984</t>
        </is>
      </c>
      <c r="C242" t="inlineStr">
        <is>
          <t>0                      RC 0268400G  42          1984</t>
        </is>
      </c>
      <c r="D242" t="inlineStr">
        <is>
          <t>Gene transfer and cancer / editors, Mark L. Pearson and Nat L. Sternberg.</t>
        </is>
      </c>
      <c r="F242" t="inlineStr">
        <is>
          <t>No</t>
        </is>
      </c>
      <c r="G242" t="inlineStr">
        <is>
          <t>1</t>
        </is>
      </c>
      <c r="H242" t="inlineStr">
        <is>
          <t>No</t>
        </is>
      </c>
      <c r="I242" t="inlineStr">
        <is>
          <t>No</t>
        </is>
      </c>
      <c r="J242" t="inlineStr">
        <is>
          <t>0</t>
        </is>
      </c>
      <c r="L242" t="inlineStr">
        <is>
          <t>New York : Raven Press, c1984.</t>
        </is>
      </c>
      <c r="M242" t="inlineStr">
        <is>
          <t>1984</t>
        </is>
      </c>
      <c r="O242" t="inlineStr">
        <is>
          <t>eng</t>
        </is>
      </c>
      <c r="P242" t="inlineStr">
        <is>
          <t>nyu</t>
        </is>
      </c>
      <c r="Q242" t="inlineStr">
        <is>
          <t>Progress in cancer research and therapy ; v. 30</t>
        </is>
      </c>
      <c r="R242" t="inlineStr">
        <is>
          <t xml:space="preserve">RC </t>
        </is>
      </c>
      <c r="S242" t="n">
        <v>20</v>
      </c>
      <c r="T242" t="n">
        <v>20</v>
      </c>
      <c r="U242" t="inlineStr">
        <is>
          <t>2003-03-15</t>
        </is>
      </c>
      <c r="V242" t="inlineStr">
        <is>
          <t>2003-03-15</t>
        </is>
      </c>
      <c r="W242" t="inlineStr">
        <is>
          <t>1992-02-07</t>
        </is>
      </c>
      <c r="X242" t="inlineStr">
        <is>
          <t>1992-02-07</t>
        </is>
      </c>
      <c r="Y242" t="n">
        <v>180</v>
      </c>
      <c r="Z242" t="n">
        <v>137</v>
      </c>
      <c r="AA242" t="n">
        <v>137</v>
      </c>
      <c r="AB242" t="n">
        <v>2</v>
      </c>
      <c r="AC242" t="n">
        <v>2</v>
      </c>
      <c r="AD242" t="n">
        <v>3</v>
      </c>
      <c r="AE242" t="n">
        <v>3</v>
      </c>
      <c r="AF242" t="n">
        <v>0</v>
      </c>
      <c r="AG242" t="n">
        <v>0</v>
      </c>
      <c r="AH242" t="n">
        <v>1</v>
      </c>
      <c r="AI242" t="n">
        <v>1</v>
      </c>
      <c r="AJ242" t="n">
        <v>2</v>
      </c>
      <c r="AK242" t="n">
        <v>2</v>
      </c>
      <c r="AL242" t="n">
        <v>1</v>
      </c>
      <c r="AM242" t="n">
        <v>1</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HYPERLINK("https://creighton-primo.hosted.exlibrisgroup.com/primo-explore/search?tab=default_tab&amp;search_scope=EVERYTHING&amp;vid=01CRU&amp;lang=en_US&amp;offset=0&amp;query=any,contains,991000374259702656","Catalog Record")</f>
        <v/>
      </c>
      <c r="AT242">
        <f>HYPERLINK("http://www.worldcat.org/oclc/10456879","WorldCat Record")</f>
        <v/>
      </c>
      <c r="AU242" t="inlineStr">
        <is>
          <t>355921786:eng</t>
        </is>
      </c>
      <c r="AV242" t="inlineStr">
        <is>
          <t>10456879</t>
        </is>
      </c>
      <c r="AW242" t="inlineStr">
        <is>
          <t>991000374259702656</t>
        </is>
      </c>
      <c r="AX242" t="inlineStr">
        <is>
          <t>991000374259702656</t>
        </is>
      </c>
      <c r="AY242" t="inlineStr">
        <is>
          <t>2262672420002656</t>
        </is>
      </c>
      <c r="AZ242" t="inlineStr">
        <is>
          <t>BOOK</t>
        </is>
      </c>
      <c r="BB242" t="inlineStr">
        <is>
          <t>9780890048993</t>
        </is>
      </c>
      <c r="BC242" t="inlineStr">
        <is>
          <t>32285000943091</t>
        </is>
      </c>
      <c r="BD242" t="inlineStr">
        <is>
          <t>893601688</t>
        </is>
      </c>
    </row>
    <row r="243">
      <c r="A243" t="inlineStr">
        <is>
          <t>No</t>
        </is>
      </c>
      <c r="B243" t="inlineStr">
        <is>
          <t>RC268.4 .G444 1984</t>
        </is>
      </c>
      <c r="C243" t="inlineStr">
        <is>
          <t>0                      RC 0268400G  444         1984</t>
        </is>
      </c>
      <c r="D243" t="inlineStr">
        <is>
          <t>Genetic and phenotypic markers of tumors / edited by Stuart A. Aaronson, Luigi Frati, and Roberto Verna.</t>
        </is>
      </c>
      <c r="F243" t="inlineStr">
        <is>
          <t>No</t>
        </is>
      </c>
      <c r="G243" t="inlineStr">
        <is>
          <t>1</t>
        </is>
      </c>
      <c r="H243" t="inlineStr">
        <is>
          <t>No</t>
        </is>
      </c>
      <c r="I243" t="inlineStr">
        <is>
          <t>No</t>
        </is>
      </c>
      <c r="J243" t="inlineStr">
        <is>
          <t>0</t>
        </is>
      </c>
      <c r="L243" t="inlineStr">
        <is>
          <t>New York : Plenum Press, c1984.</t>
        </is>
      </c>
      <c r="M243" t="inlineStr">
        <is>
          <t>1984</t>
        </is>
      </c>
      <c r="O243" t="inlineStr">
        <is>
          <t>eng</t>
        </is>
      </c>
      <c r="P243" t="inlineStr">
        <is>
          <t>nyu</t>
        </is>
      </c>
      <c r="R243" t="inlineStr">
        <is>
          <t xml:space="preserve">RC </t>
        </is>
      </c>
      <c r="S243" t="n">
        <v>4</v>
      </c>
      <c r="T243" t="n">
        <v>4</v>
      </c>
      <c r="U243" t="inlineStr">
        <is>
          <t>2003-03-15</t>
        </is>
      </c>
      <c r="V243" t="inlineStr">
        <is>
          <t>2003-03-15</t>
        </is>
      </c>
      <c r="W243" t="inlineStr">
        <is>
          <t>1992-11-07</t>
        </is>
      </c>
      <c r="X243" t="inlineStr">
        <is>
          <t>1992-11-07</t>
        </is>
      </c>
      <c r="Y243" t="n">
        <v>98</v>
      </c>
      <c r="Z243" t="n">
        <v>81</v>
      </c>
      <c r="AA243" t="n">
        <v>108</v>
      </c>
      <c r="AB243" t="n">
        <v>2</v>
      </c>
      <c r="AC243" t="n">
        <v>2</v>
      </c>
      <c r="AD243" t="n">
        <v>3</v>
      </c>
      <c r="AE243" t="n">
        <v>4</v>
      </c>
      <c r="AF243" t="n">
        <v>0</v>
      </c>
      <c r="AG243" t="n">
        <v>1</v>
      </c>
      <c r="AH243" t="n">
        <v>1</v>
      </c>
      <c r="AI243" t="n">
        <v>1</v>
      </c>
      <c r="AJ243" t="n">
        <v>2</v>
      </c>
      <c r="AK243" t="n">
        <v>3</v>
      </c>
      <c r="AL243" t="n">
        <v>1</v>
      </c>
      <c r="AM243" t="n">
        <v>1</v>
      </c>
      <c r="AN243" t="n">
        <v>0</v>
      </c>
      <c r="AO243" t="n">
        <v>0</v>
      </c>
      <c r="AP243" t="inlineStr">
        <is>
          <t>No</t>
        </is>
      </c>
      <c r="AQ243" t="inlineStr">
        <is>
          <t>Yes</t>
        </is>
      </c>
      <c r="AR243">
        <f>HYPERLINK("http://catalog.hathitrust.org/Record/000609994","HathiTrust Record")</f>
        <v/>
      </c>
      <c r="AS243">
        <f>HYPERLINK("https://creighton-primo.hosted.exlibrisgroup.com/primo-explore/search?tab=default_tab&amp;search_scope=EVERYTHING&amp;vid=01CRU&amp;lang=en_US&amp;offset=0&amp;query=any,contains,991000503269702656","Catalog Record")</f>
        <v/>
      </c>
      <c r="AT243">
        <f>HYPERLINK("http://www.worldcat.org/oclc/11187729","WorldCat Record")</f>
        <v/>
      </c>
      <c r="AU243" t="inlineStr">
        <is>
          <t>4163496:eng</t>
        </is>
      </c>
      <c r="AV243" t="inlineStr">
        <is>
          <t>11187729</t>
        </is>
      </c>
      <c r="AW243" t="inlineStr">
        <is>
          <t>991000503269702656</t>
        </is>
      </c>
      <c r="AX243" t="inlineStr">
        <is>
          <t>991000503269702656</t>
        </is>
      </c>
      <c r="AY243" t="inlineStr">
        <is>
          <t>2263455770002656</t>
        </is>
      </c>
      <c r="AZ243" t="inlineStr">
        <is>
          <t>BOOK</t>
        </is>
      </c>
      <c r="BB243" t="inlineStr">
        <is>
          <t>9780306418174</t>
        </is>
      </c>
      <c r="BC243" t="inlineStr">
        <is>
          <t>32285001383131</t>
        </is>
      </c>
      <c r="BD243" t="inlineStr">
        <is>
          <t>893314993</t>
        </is>
      </c>
    </row>
    <row r="244">
      <c r="A244" t="inlineStr">
        <is>
          <t>No</t>
        </is>
      </c>
      <c r="B244" t="inlineStr">
        <is>
          <t>RC268.4 .G46</t>
        </is>
      </c>
      <c r="C244" t="inlineStr">
        <is>
          <t>0                      RC 0268400G  46</t>
        </is>
      </c>
      <c r="D244" t="inlineStr">
        <is>
          <t>Genetics of human cancer / edited by John J. Mulvihill, Robert W. Miller, Joseph F. Fraumeni, Jr.</t>
        </is>
      </c>
      <c r="F244" t="inlineStr">
        <is>
          <t>No</t>
        </is>
      </c>
      <c r="G244" t="inlineStr">
        <is>
          <t>1</t>
        </is>
      </c>
      <c r="H244" t="inlineStr">
        <is>
          <t>No</t>
        </is>
      </c>
      <c r="I244" t="inlineStr">
        <is>
          <t>No</t>
        </is>
      </c>
      <c r="J244" t="inlineStr">
        <is>
          <t>0</t>
        </is>
      </c>
      <c r="L244" t="inlineStr">
        <is>
          <t>New York : Raven Press, 1977.</t>
        </is>
      </c>
      <c r="M244" t="inlineStr">
        <is>
          <t>1977</t>
        </is>
      </c>
      <c r="O244" t="inlineStr">
        <is>
          <t>eng</t>
        </is>
      </c>
      <c r="P244" t="inlineStr">
        <is>
          <t>nyu</t>
        </is>
      </c>
      <c r="Q244" t="inlineStr">
        <is>
          <t>Progress in cancer research and therapy ; v. 3</t>
        </is>
      </c>
      <c r="R244" t="inlineStr">
        <is>
          <t xml:space="preserve">RC </t>
        </is>
      </c>
      <c r="S244" t="n">
        <v>10</v>
      </c>
      <c r="T244" t="n">
        <v>10</v>
      </c>
      <c r="U244" t="inlineStr">
        <is>
          <t>2003-03-15</t>
        </is>
      </c>
      <c r="V244" t="inlineStr">
        <is>
          <t>2003-03-15</t>
        </is>
      </c>
      <c r="W244" t="inlineStr">
        <is>
          <t>1992-02-10</t>
        </is>
      </c>
      <c r="X244" t="inlineStr">
        <is>
          <t>1992-02-10</t>
        </is>
      </c>
      <c r="Y244" t="n">
        <v>294</v>
      </c>
      <c r="Z244" t="n">
        <v>217</v>
      </c>
      <c r="AA244" t="n">
        <v>224</v>
      </c>
      <c r="AB244" t="n">
        <v>2</v>
      </c>
      <c r="AC244" t="n">
        <v>2</v>
      </c>
      <c r="AD244" t="n">
        <v>4</v>
      </c>
      <c r="AE244" t="n">
        <v>4</v>
      </c>
      <c r="AF244" t="n">
        <v>1</v>
      </c>
      <c r="AG244" t="n">
        <v>1</v>
      </c>
      <c r="AH244" t="n">
        <v>3</v>
      </c>
      <c r="AI244" t="n">
        <v>3</v>
      </c>
      <c r="AJ244" t="n">
        <v>1</v>
      </c>
      <c r="AK244" t="n">
        <v>1</v>
      </c>
      <c r="AL244" t="n">
        <v>1</v>
      </c>
      <c r="AM244" t="n">
        <v>1</v>
      </c>
      <c r="AN244" t="n">
        <v>0</v>
      </c>
      <c r="AO244" t="n">
        <v>0</v>
      </c>
      <c r="AP244" t="inlineStr">
        <is>
          <t>No</t>
        </is>
      </c>
      <c r="AQ244" t="inlineStr">
        <is>
          <t>Yes</t>
        </is>
      </c>
      <c r="AR244">
        <f>HYPERLINK("http://catalog.hathitrust.org/Record/000212913","HathiTrust Record")</f>
        <v/>
      </c>
      <c r="AS244">
        <f>HYPERLINK("https://creighton-primo.hosted.exlibrisgroup.com/primo-explore/search?tab=default_tab&amp;search_scope=EVERYTHING&amp;vid=01CRU&amp;lang=en_US&amp;offset=0&amp;query=any,contains,991004289719702656","Catalog Record")</f>
        <v/>
      </c>
      <c r="AT244">
        <f>HYPERLINK("http://www.worldcat.org/oclc/2940000","WorldCat Record")</f>
        <v/>
      </c>
      <c r="AU244" t="inlineStr">
        <is>
          <t>7120382:eng</t>
        </is>
      </c>
      <c r="AV244" t="inlineStr">
        <is>
          <t>2940000</t>
        </is>
      </c>
      <c r="AW244" t="inlineStr">
        <is>
          <t>991004289719702656</t>
        </is>
      </c>
      <c r="AX244" t="inlineStr">
        <is>
          <t>991004289719702656</t>
        </is>
      </c>
      <c r="AY244" t="inlineStr">
        <is>
          <t>2272438960002656</t>
        </is>
      </c>
      <c r="AZ244" t="inlineStr">
        <is>
          <t>BOOK</t>
        </is>
      </c>
      <c r="BB244" t="inlineStr">
        <is>
          <t>9780890041109</t>
        </is>
      </c>
      <c r="BC244" t="inlineStr">
        <is>
          <t>32285000946128</t>
        </is>
      </c>
      <c r="BD244" t="inlineStr">
        <is>
          <t>893331412</t>
        </is>
      </c>
    </row>
    <row r="245">
      <c r="A245" t="inlineStr">
        <is>
          <t>No</t>
        </is>
      </c>
      <c r="B245" t="inlineStr">
        <is>
          <t>RC268.4 .G46 1995</t>
        </is>
      </c>
      <c r="C245" t="inlineStr">
        <is>
          <t>0                      RC 0268400G  46          1995</t>
        </is>
      </c>
      <c r="D245" t="inlineStr">
        <is>
          <t>Genetics and cancer : a second look / guest editors, B.A.J. Ponder, W.K. Cavenee, and E. Solomon.</t>
        </is>
      </c>
      <c r="F245" t="inlineStr">
        <is>
          <t>No</t>
        </is>
      </c>
      <c r="G245" t="inlineStr">
        <is>
          <t>1</t>
        </is>
      </c>
      <c r="H245" t="inlineStr">
        <is>
          <t>No</t>
        </is>
      </c>
      <c r="I245" t="inlineStr">
        <is>
          <t>No</t>
        </is>
      </c>
      <c r="J245" t="inlineStr">
        <is>
          <t>0</t>
        </is>
      </c>
      <c r="L245" t="inlineStr">
        <is>
          <t>Oxford, U.K. : Published for the Imperial Cancer Research Fund by Oxford University Press ; Plainview, NY : Cold Spring Harbor Laboratory Press, 1995.</t>
        </is>
      </c>
      <c r="M245" t="inlineStr">
        <is>
          <t>1995</t>
        </is>
      </c>
      <c r="O245" t="inlineStr">
        <is>
          <t>eng</t>
        </is>
      </c>
      <c r="P245" t="inlineStr">
        <is>
          <t>xxu</t>
        </is>
      </c>
      <c r="Q245" t="inlineStr">
        <is>
          <t>Cancer surveys ; v. 25</t>
        </is>
      </c>
      <c r="R245" t="inlineStr">
        <is>
          <t xml:space="preserve">RC </t>
        </is>
      </c>
      <c r="S245" t="n">
        <v>6</v>
      </c>
      <c r="T245" t="n">
        <v>6</v>
      </c>
      <c r="U245" t="inlineStr">
        <is>
          <t>1999-10-05</t>
        </is>
      </c>
      <c r="V245" t="inlineStr">
        <is>
          <t>1999-10-05</t>
        </is>
      </c>
      <c r="W245" t="inlineStr">
        <is>
          <t>1996-02-21</t>
        </is>
      </c>
      <c r="X245" t="inlineStr">
        <is>
          <t>1996-02-21</t>
        </is>
      </c>
      <c r="Y245" t="n">
        <v>129</v>
      </c>
      <c r="Z245" t="n">
        <v>78</v>
      </c>
      <c r="AA245" t="n">
        <v>82</v>
      </c>
      <c r="AB245" t="n">
        <v>1</v>
      </c>
      <c r="AC245" t="n">
        <v>1</v>
      </c>
      <c r="AD245" t="n">
        <v>2</v>
      </c>
      <c r="AE245" t="n">
        <v>2</v>
      </c>
      <c r="AF245" t="n">
        <v>0</v>
      </c>
      <c r="AG245" t="n">
        <v>0</v>
      </c>
      <c r="AH245" t="n">
        <v>1</v>
      </c>
      <c r="AI245" t="n">
        <v>1</v>
      </c>
      <c r="AJ245" t="n">
        <v>2</v>
      </c>
      <c r="AK245" t="n">
        <v>2</v>
      </c>
      <c r="AL245" t="n">
        <v>0</v>
      </c>
      <c r="AM245" t="n">
        <v>0</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HYPERLINK("https://creighton-primo.hosted.exlibrisgroup.com/primo-explore/search?tab=default_tab&amp;search_scope=EVERYTHING&amp;vid=01CRU&amp;lang=en_US&amp;offset=0&amp;query=any,contains,991002602429702656","Catalog Record")</f>
        <v/>
      </c>
      <c r="AT245">
        <f>HYPERLINK("http://www.worldcat.org/oclc/34089575","WorldCat Record")</f>
        <v/>
      </c>
      <c r="AU245" t="inlineStr">
        <is>
          <t>794993950:eng</t>
        </is>
      </c>
      <c r="AV245" t="inlineStr">
        <is>
          <t>34089575</t>
        </is>
      </c>
      <c r="AW245" t="inlineStr">
        <is>
          <t>991002602429702656</t>
        </is>
      </c>
      <c r="AX245" t="inlineStr">
        <is>
          <t>991002602429702656</t>
        </is>
      </c>
      <c r="AY245" t="inlineStr">
        <is>
          <t>2270391130002656</t>
        </is>
      </c>
      <c r="AZ245" t="inlineStr">
        <is>
          <t>BOOK</t>
        </is>
      </c>
      <c r="BB245" t="inlineStr">
        <is>
          <t>9780879694692</t>
        </is>
      </c>
      <c r="BC245" t="inlineStr">
        <is>
          <t>32285002136876</t>
        </is>
      </c>
      <c r="BD245" t="inlineStr">
        <is>
          <t>893710470</t>
        </is>
      </c>
    </row>
    <row r="246">
      <c r="A246" t="inlineStr">
        <is>
          <t>No</t>
        </is>
      </c>
      <c r="B246" t="inlineStr">
        <is>
          <t>RC268.4 .P56 1986</t>
        </is>
      </c>
      <c r="C246" t="inlineStr">
        <is>
          <t>0                      RC 0268400P  56          1986</t>
        </is>
      </c>
      <c r="D246" t="inlineStr">
        <is>
          <t>Oncogenes / author, Enrique Pimentel.</t>
        </is>
      </c>
      <c r="F246" t="inlineStr">
        <is>
          <t>No</t>
        </is>
      </c>
      <c r="G246" t="inlineStr">
        <is>
          <t>1</t>
        </is>
      </c>
      <c r="H246" t="inlineStr">
        <is>
          <t>Yes</t>
        </is>
      </c>
      <c r="I246" t="inlineStr">
        <is>
          <t>No</t>
        </is>
      </c>
      <c r="J246" t="inlineStr">
        <is>
          <t>0</t>
        </is>
      </c>
      <c r="K246" t="inlineStr">
        <is>
          <t>Pimentel, Enrique.</t>
        </is>
      </c>
      <c r="L246" t="inlineStr">
        <is>
          <t>Boca Raton, Fla. : CRC Press, c1986.</t>
        </is>
      </c>
      <c r="M246" t="inlineStr">
        <is>
          <t>1986</t>
        </is>
      </c>
      <c r="O246" t="inlineStr">
        <is>
          <t>eng</t>
        </is>
      </c>
      <c r="P246" t="inlineStr">
        <is>
          <t>flu</t>
        </is>
      </c>
      <c r="R246" t="inlineStr">
        <is>
          <t xml:space="preserve">RC </t>
        </is>
      </c>
      <c r="S246" t="n">
        <v>8</v>
      </c>
      <c r="T246" t="n">
        <v>11</v>
      </c>
      <c r="U246" t="inlineStr">
        <is>
          <t>2003-03-15</t>
        </is>
      </c>
      <c r="V246" t="inlineStr">
        <is>
          <t>2003-03-15</t>
        </is>
      </c>
      <c r="W246" t="inlineStr">
        <is>
          <t>1990-03-29</t>
        </is>
      </c>
      <c r="X246" t="inlineStr">
        <is>
          <t>1990-03-29</t>
        </is>
      </c>
      <c r="Y246" t="n">
        <v>195</v>
      </c>
      <c r="Z246" t="n">
        <v>138</v>
      </c>
      <c r="AA246" t="n">
        <v>205</v>
      </c>
      <c r="AB246" t="n">
        <v>2</v>
      </c>
      <c r="AC246" t="n">
        <v>3</v>
      </c>
      <c r="AD246" t="n">
        <v>3</v>
      </c>
      <c r="AE246" t="n">
        <v>7</v>
      </c>
      <c r="AF246" t="n">
        <v>1</v>
      </c>
      <c r="AG246" t="n">
        <v>2</v>
      </c>
      <c r="AH246" t="n">
        <v>1</v>
      </c>
      <c r="AI246" t="n">
        <v>2</v>
      </c>
      <c r="AJ246" t="n">
        <v>2</v>
      </c>
      <c r="AK246" t="n">
        <v>5</v>
      </c>
      <c r="AL246" t="n">
        <v>0</v>
      </c>
      <c r="AM246" t="n">
        <v>1</v>
      </c>
      <c r="AN246" t="n">
        <v>0</v>
      </c>
      <c r="AO246" t="n">
        <v>0</v>
      </c>
      <c r="AP246" t="inlineStr">
        <is>
          <t>No</t>
        </is>
      </c>
      <c r="AQ246" t="inlineStr">
        <is>
          <t>Yes</t>
        </is>
      </c>
      <c r="AR246">
        <f>HYPERLINK("http://catalog.hathitrust.org/Record/000441863","HathiTrust Record")</f>
        <v/>
      </c>
      <c r="AS246">
        <f>HYPERLINK("https://creighton-primo.hosted.exlibrisgroup.com/primo-explore/search?tab=default_tab&amp;search_scope=EVERYTHING&amp;vid=01CRU&amp;lang=en_US&amp;offset=0&amp;query=any,contains,991001784319702656","Catalog Record")</f>
        <v/>
      </c>
      <c r="AT246">
        <f>HYPERLINK("http://www.worldcat.org/oclc/12911028","WorldCat Record")</f>
        <v/>
      </c>
      <c r="AU246" t="inlineStr">
        <is>
          <t>5464776:eng</t>
        </is>
      </c>
      <c r="AV246" t="inlineStr">
        <is>
          <t>12911028</t>
        </is>
      </c>
      <c r="AW246" t="inlineStr">
        <is>
          <t>991001784319702656</t>
        </is>
      </c>
      <c r="AX246" t="inlineStr">
        <is>
          <t>991001784319702656</t>
        </is>
      </c>
      <c r="AY246" t="inlineStr">
        <is>
          <t>2255395500002656</t>
        </is>
      </c>
      <c r="AZ246" t="inlineStr">
        <is>
          <t>BOOK</t>
        </is>
      </c>
      <c r="BB246" t="inlineStr">
        <is>
          <t>9780849365669</t>
        </is>
      </c>
      <c r="BC246" t="inlineStr">
        <is>
          <t>32285000107549</t>
        </is>
      </c>
      <c r="BD246" t="inlineStr">
        <is>
          <t>893697033</t>
        </is>
      </c>
    </row>
    <row r="247">
      <c r="A247" t="inlineStr">
        <is>
          <t>No</t>
        </is>
      </c>
      <c r="B247" t="inlineStr">
        <is>
          <t>RC268.4 .S3</t>
        </is>
      </c>
      <c r="C247" t="inlineStr">
        <is>
          <t>0                      RC 0268400S  3</t>
        </is>
      </c>
      <c r="D247" t="inlineStr">
        <is>
          <t>Genetics and cancer in man / R. Neil Schimke ; foreword by Alan E. H. Emery.</t>
        </is>
      </c>
      <c r="F247" t="inlineStr">
        <is>
          <t>No</t>
        </is>
      </c>
      <c r="G247" t="inlineStr">
        <is>
          <t>1</t>
        </is>
      </c>
      <c r="H247" t="inlineStr">
        <is>
          <t>No</t>
        </is>
      </c>
      <c r="I247" t="inlineStr">
        <is>
          <t>No</t>
        </is>
      </c>
      <c r="J247" t="inlineStr">
        <is>
          <t>0</t>
        </is>
      </c>
      <c r="K247" t="inlineStr">
        <is>
          <t>Schimke, R. Neil, 1935-</t>
        </is>
      </c>
      <c r="L247" t="inlineStr">
        <is>
          <t>Edinburgh ; New York : Churchill Livingstone ; distributed in the U. S. by Longman, 1978.</t>
        </is>
      </c>
      <c r="M247" t="inlineStr">
        <is>
          <t>1978</t>
        </is>
      </c>
      <c r="O247" t="inlineStr">
        <is>
          <t>eng</t>
        </is>
      </c>
      <c r="P247" t="inlineStr">
        <is>
          <t>enk</t>
        </is>
      </c>
      <c r="Q247" t="inlineStr">
        <is>
          <t>Genetics in medicine and surgery</t>
        </is>
      </c>
      <c r="R247" t="inlineStr">
        <is>
          <t xml:space="preserve">RC </t>
        </is>
      </c>
      <c r="S247" t="n">
        <v>10</v>
      </c>
      <c r="T247" t="n">
        <v>10</v>
      </c>
      <c r="U247" t="inlineStr">
        <is>
          <t>1999-10-12</t>
        </is>
      </c>
      <c r="V247" t="inlineStr">
        <is>
          <t>1999-10-12</t>
        </is>
      </c>
      <c r="W247" t="inlineStr">
        <is>
          <t>1990-03-29</t>
        </is>
      </c>
      <c r="X247" t="inlineStr">
        <is>
          <t>1990-03-29</t>
        </is>
      </c>
      <c r="Y247" t="n">
        <v>142</v>
      </c>
      <c r="Z247" t="n">
        <v>92</v>
      </c>
      <c r="AA247" t="n">
        <v>94</v>
      </c>
      <c r="AB247" t="n">
        <v>2</v>
      </c>
      <c r="AC247" t="n">
        <v>2</v>
      </c>
      <c r="AD247" t="n">
        <v>1</v>
      </c>
      <c r="AE247" t="n">
        <v>1</v>
      </c>
      <c r="AF247" t="n">
        <v>0</v>
      </c>
      <c r="AG247" t="n">
        <v>0</v>
      </c>
      <c r="AH247" t="n">
        <v>0</v>
      </c>
      <c r="AI247" t="n">
        <v>0</v>
      </c>
      <c r="AJ247" t="n">
        <v>0</v>
      </c>
      <c r="AK247" t="n">
        <v>0</v>
      </c>
      <c r="AL247" t="n">
        <v>1</v>
      </c>
      <c r="AM247" t="n">
        <v>1</v>
      </c>
      <c r="AN247" t="n">
        <v>0</v>
      </c>
      <c r="AO247" t="n">
        <v>0</v>
      </c>
      <c r="AP247" t="inlineStr">
        <is>
          <t>No</t>
        </is>
      </c>
      <c r="AQ247" t="inlineStr">
        <is>
          <t>Yes</t>
        </is>
      </c>
      <c r="AR247">
        <f>HYPERLINK("http://catalog.hathitrust.org/Record/000040837","HathiTrust Record")</f>
        <v/>
      </c>
      <c r="AS247">
        <f>HYPERLINK("https://creighton-primo.hosted.exlibrisgroup.com/primo-explore/search?tab=default_tab&amp;search_scope=EVERYTHING&amp;vid=01CRU&amp;lang=en_US&amp;offset=0&amp;query=any,contains,991004707049702656","Catalog Record")</f>
        <v/>
      </c>
      <c r="AT247">
        <f>HYPERLINK("http://www.worldcat.org/oclc/4723810","WorldCat Record")</f>
        <v/>
      </c>
      <c r="AU247" t="inlineStr">
        <is>
          <t>15028059:eng</t>
        </is>
      </c>
      <c r="AV247" t="inlineStr">
        <is>
          <t>4723810</t>
        </is>
      </c>
      <c r="AW247" t="inlineStr">
        <is>
          <t>991004707049702656</t>
        </is>
      </c>
      <c r="AX247" t="inlineStr">
        <is>
          <t>991004707049702656</t>
        </is>
      </c>
      <c r="AY247" t="inlineStr">
        <is>
          <t>2263310680002656</t>
        </is>
      </c>
      <c r="AZ247" t="inlineStr">
        <is>
          <t>BOOK</t>
        </is>
      </c>
      <c r="BB247" t="inlineStr">
        <is>
          <t>9780443016738</t>
        </is>
      </c>
      <c r="BC247" t="inlineStr">
        <is>
          <t>32285000107556</t>
        </is>
      </c>
      <c r="BD247" t="inlineStr">
        <is>
          <t>893807376</t>
        </is>
      </c>
    </row>
    <row r="248">
      <c r="A248" t="inlineStr">
        <is>
          <t>No</t>
        </is>
      </c>
      <c r="B248" t="inlineStr">
        <is>
          <t>RC268.4 .S95 1982</t>
        </is>
      </c>
      <c r="C248" t="inlineStr">
        <is>
          <t>0                      RC 0268400S  95          1982</t>
        </is>
      </c>
      <c r="D248" t="inlineStr">
        <is>
          <t>Perspectives on genes and the molecular biology of cancer / edited by Donald L. Robberson, Grady F. Saunders ; the University of Texas, M.D. Anderson Hospital and Tumor Institute at Houston, 35th Annual Symposium on Fundamental Cancer Research.</t>
        </is>
      </c>
      <c r="F248" t="inlineStr">
        <is>
          <t>No</t>
        </is>
      </c>
      <c r="G248" t="inlineStr">
        <is>
          <t>1</t>
        </is>
      </c>
      <c r="H248" t="inlineStr">
        <is>
          <t>No</t>
        </is>
      </c>
      <c r="I248" t="inlineStr">
        <is>
          <t>No</t>
        </is>
      </c>
      <c r="J248" t="inlineStr">
        <is>
          <t>0</t>
        </is>
      </c>
      <c r="K248" t="inlineStr">
        <is>
          <t>Symposium on Fundamental Cancer Research (35th : 1982 : M.D. Anderson Hospital and Tumor Institute)</t>
        </is>
      </c>
      <c r="L248" t="inlineStr">
        <is>
          <t>New York : Raven Press, c1983.</t>
        </is>
      </c>
      <c r="M248" t="inlineStr">
        <is>
          <t>1983</t>
        </is>
      </c>
      <c r="O248" t="inlineStr">
        <is>
          <t>eng</t>
        </is>
      </c>
      <c r="P248" t="inlineStr">
        <is>
          <t>nyu</t>
        </is>
      </c>
      <c r="R248" t="inlineStr">
        <is>
          <t xml:space="preserve">RC </t>
        </is>
      </c>
      <c r="S248" t="n">
        <v>5</v>
      </c>
      <c r="T248" t="n">
        <v>5</v>
      </c>
      <c r="U248" t="inlineStr">
        <is>
          <t>1999-10-12</t>
        </is>
      </c>
      <c r="V248" t="inlineStr">
        <is>
          <t>1999-10-12</t>
        </is>
      </c>
      <c r="W248" t="inlineStr">
        <is>
          <t>1990-03-29</t>
        </is>
      </c>
      <c r="X248" t="inlineStr">
        <is>
          <t>1990-03-29</t>
        </is>
      </c>
      <c r="Y248" t="n">
        <v>183</v>
      </c>
      <c r="Z248" t="n">
        <v>138</v>
      </c>
      <c r="AA248" t="n">
        <v>140</v>
      </c>
      <c r="AB248" t="n">
        <v>2</v>
      </c>
      <c r="AC248" t="n">
        <v>2</v>
      </c>
      <c r="AD248" t="n">
        <v>4</v>
      </c>
      <c r="AE248" t="n">
        <v>4</v>
      </c>
      <c r="AF248" t="n">
        <v>0</v>
      </c>
      <c r="AG248" t="n">
        <v>0</v>
      </c>
      <c r="AH248" t="n">
        <v>1</v>
      </c>
      <c r="AI248" t="n">
        <v>1</v>
      </c>
      <c r="AJ248" t="n">
        <v>2</v>
      </c>
      <c r="AK248" t="n">
        <v>2</v>
      </c>
      <c r="AL248" t="n">
        <v>1</v>
      </c>
      <c r="AM248" t="n">
        <v>1</v>
      </c>
      <c r="AN248" t="n">
        <v>0</v>
      </c>
      <c r="AO248" t="n">
        <v>0</v>
      </c>
      <c r="AP248" t="inlineStr">
        <is>
          <t>No</t>
        </is>
      </c>
      <c r="AQ248" t="inlineStr">
        <is>
          <t>Yes</t>
        </is>
      </c>
      <c r="AR248">
        <f>HYPERLINK("http://catalog.hathitrust.org/Record/000187752","HathiTrust Record")</f>
        <v/>
      </c>
      <c r="AS248">
        <f>HYPERLINK("https://creighton-primo.hosted.exlibrisgroup.com/primo-explore/search?tab=default_tab&amp;search_scope=EVERYTHING&amp;vid=01CRU&amp;lang=en_US&amp;offset=0&amp;query=any,contains,991000083189702656","Catalog Record")</f>
        <v/>
      </c>
      <c r="AT248">
        <f>HYPERLINK("http://www.worldcat.org/oclc/8846251","WorldCat Record")</f>
        <v/>
      </c>
      <c r="AU248" t="inlineStr">
        <is>
          <t>43247772:eng</t>
        </is>
      </c>
      <c r="AV248" t="inlineStr">
        <is>
          <t>8846251</t>
        </is>
      </c>
      <c r="AW248" t="inlineStr">
        <is>
          <t>991000083189702656</t>
        </is>
      </c>
      <c r="AX248" t="inlineStr">
        <is>
          <t>991000083189702656</t>
        </is>
      </c>
      <c r="AY248" t="inlineStr">
        <is>
          <t>2255060780002656</t>
        </is>
      </c>
      <c r="AZ248" t="inlineStr">
        <is>
          <t>BOOK</t>
        </is>
      </c>
      <c r="BB248" t="inlineStr">
        <is>
          <t>9780890047712</t>
        </is>
      </c>
      <c r="BC248" t="inlineStr">
        <is>
          <t>32285000107564</t>
        </is>
      </c>
      <c r="BD248" t="inlineStr">
        <is>
          <t>893230857</t>
        </is>
      </c>
    </row>
    <row r="249">
      <c r="A249" t="inlineStr">
        <is>
          <t>No</t>
        </is>
      </c>
      <c r="B249" t="inlineStr">
        <is>
          <t>RC268.42 .B87 1988</t>
        </is>
      </c>
      <c r="C249" t="inlineStr">
        <is>
          <t>0                      RC 0268420B  87          1988</t>
        </is>
      </c>
      <c r="D249" t="inlineStr">
        <is>
          <t>Oncogenes : an introduction to the concept of cancer genes / Kathy B. Burck, Edison T. Liu, James W. Larrick ; with a foreword by Joshua Lederberg.</t>
        </is>
      </c>
      <c r="F249" t="inlineStr">
        <is>
          <t>No</t>
        </is>
      </c>
      <c r="G249" t="inlineStr">
        <is>
          <t>1</t>
        </is>
      </c>
      <c r="H249" t="inlineStr">
        <is>
          <t>Yes</t>
        </is>
      </c>
      <c r="I249" t="inlineStr">
        <is>
          <t>No</t>
        </is>
      </c>
      <c r="J249" t="inlineStr">
        <is>
          <t>0</t>
        </is>
      </c>
      <c r="K249" t="inlineStr">
        <is>
          <t>Burck, Kathy B.</t>
        </is>
      </c>
      <c r="L249" t="inlineStr">
        <is>
          <t>New York : Springer-Verlag, 1988.</t>
        </is>
      </c>
      <c r="M249" t="inlineStr">
        <is>
          <t>1988</t>
        </is>
      </c>
      <c r="O249" t="inlineStr">
        <is>
          <t>eng</t>
        </is>
      </c>
      <c r="P249" t="inlineStr">
        <is>
          <t>nyu</t>
        </is>
      </c>
      <c r="R249" t="inlineStr">
        <is>
          <t xml:space="preserve">RC </t>
        </is>
      </c>
      <c r="S249" t="n">
        <v>14</v>
      </c>
      <c r="T249" t="n">
        <v>20</v>
      </c>
      <c r="U249" t="inlineStr">
        <is>
          <t>2000-04-15</t>
        </is>
      </c>
      <c r="V249" t="inlineStr">
        <is>
          <t>2000-04-15</t>
        </is>
      </c>
      <c r="W249" t="inlineStr">
        <is>
          <t>1990-03-29</t>
        </is>
      </c>
      <c r="X249" t="inlineStr">
        <is>
          <t>1995-08-09</t>
        </is>
      </c>
      <c r="Y249" t="n">
        <v>390</v>
      </c>
      <c r="Z249" t="n">
        <v>268</v>
      </c>
      <c r="AA249" t="n">
        <v>309</v>
      </c>
      <c r="AB249" t="n">
        <v>2</v>
      </c>
      <c r="AC249" t="n">
        <v>2</v>
      </c>
      <c r="AD249" t="n">
        <v>9</v>
      </c>
      <c r="AE249" t="n">
        <v>9</v>
      </c>
      <c r="AF249" t="n">
        <v>1</v>
      </c>
      <c r="AG249" t="n">
        <v>1</v>
      </c>
      <c r="AH249" t="n">
        <v>2</v>
      </c>
      <c r="AI249" t="n">
        <v>2</v>
      </c>
      <c r="AJ249" t="n">
        <v>8</v>
      </c>
      <c r="AK249" t="n">
        <v>8</v>
      </c>
      <c r="AL249" t="n">
        <v>0</v>
      </c>
      <c r="AM249" t="n">
        <v>0</v>
      </c>
      <c r="AN249" t="n">
        <v>0</v>
      </c>
      <c r="AO249" t="n">
        <v>0</v>
      </c>
      <c r="AP249" t="inlineStr">
        <is>
          <t>No</t>
        </is>
      </c>
      <c r="AQ249" t="inlineStr">
        <is>
          <t>Yes</t>
        </is>
      </c>
      <c r="AR249">
        <f>HYPERLINK("http://catalog.hathitrust.org/Record/000915903","HathiTrust Record")</f>
        <v/>
      </c>
      <c r="AS249">
        <f>HYPERLINK("https://creighton-primo.hosted.exlibrisgroup.com/primo-explore/search?tab=default_tab&amp;search_scope=EVERYTHING&amp;vid=01CRU&amp;lang=en_US&amp;offset=0&amp;query=any,contains,991001798759702656","Catalog Record")</f>
        <v/>
      </c>
      <c r="AT249">
        <f>HYPERLINK("http://www.worldcat.org/oclc/16832519","WorldCat Record")</f>
        <v/>
      </c>
      <c r="AU249" t="inlineStr">
        <is>
          <t>197868586:eng</t>
        </is>
      </c>
      <c r="AV249" t="inlineStr">
        <is>
          <t>16832519</t>
        </is>
      </c>
      <c r="AW249" t="inlineStr">
        <is>
          <t>991001798759702656</t>
        </is>
      </c>
      <c r="AX249" t="inlineStr">
        <is>
          <t>991001798759702656</t>
        </is>
      </c>
      <c r="AY249" t="inlineStr">
        <is>
          <t>2257177890002656</t>
        </is>
      </c>
      <c r="AZ249" t="inlineStr">
        <is>
          <t>BOOK</t>
        </is>
      </c>
      <c r="BB249" t="inlineStr">
        <is>
          <t>9780387964232</t>
        </is>
      </c>
      <c r="BC249" t="inlineStr">
        <is>
          <t>32285000107572</t>
        </is>
      </c>
      <c r="BD249" t="inlineStr">
        <is>
          <t>893522869</t>
        </is>
      </c>
    </row>
    <row r="250">
      <c r="A250" t="inlineStr">
        <is>
          <t>No</t>
        </is>
      </c>
      <c r="B250" t="inlineStr">
        <is>
          <t>RC268.42 .C66 1990</t>
        </is>
      </c>
      <c r="C250" t="inlineStr">
        <is>
          <t>0                      RC 0268420C  66          1990</t>
        </is>
      </c>
      <c r="D250" t="inlineStr">
        <is>
          <t>Oncogenes / Geoffrey M. Cooper.</t>
        </is>
      </c>
      <c r="F250" t="inlineStr">
        <is>
          <t>No</t>
        </is>
      </c>
      <c r="G250" t="inlineStr">
        <is>
          <t>1</t>
        </is>
      </c>
      <c r="H250" t="inlineStr">
        <is>
          <t>No</t>
        </is>
      </c>
      <c r="I250" t="inlineStr">
        <is>
          <t>No</t>
        </is>
      </c>
      <c r="J250" t="inlineStr">
        <is>
          <t>0</t>
        </is>
      </c>
      <c r="K250" t="inlineStr">
        <is>
          <t>Cooper, Geoffrey M.</t>
        </is>
      </c>
      <c r="L250" t="inlineStr">
        <is>
          <t>Boston : Jones and Bartlett Publishers, c1990.</t>
        </is>
      </c>
      <c r="M250" t="inlineStr">
        <is>
          <t>1990</t>
        </is>
      </c>
      <c r="O250" t="inlineStr">
        <is>
          <t>eng</t>
        </is>
      </c>
      <c r="P250" t="inlineStr">
        <is>
          <t>mau</t>
        </is>
      </c>
      <c r="Q250" t="inlineStr">
        <is>
          <t>The Jones and Bartlett series in biology</t>
        </is>
      </c>
      <c r="R250" t="inlineStr">
        <is>
          <t xml:space="preserve">RC </t>
        </is>
      </c>
      <c r="S250" t="n">
        <v>11</v>
      </c>
      <c r="T250" t="n">
        <v>11</v>
      </c>
      <c r="U250" t="inlineStr">
        <is>
          <t>1999-10-05</t>
        </is>
      </c>
      <c r="V250" t="inlineStr">
        <is>
          <t>1999-10-05</t>
        </is>
      </c>
      <c r="W250" t="inlineStr">
        <is>
          <t>1991-02-20</t>
        </is>
      </c>
      <c r="X250" t="inlineStr">
        <is>
          <t>1991-02-20</t>
        </is>
      </c>
      <c r="Y250" t="n">
        <v>371</v>
      </c>
      <c r="Z250" t="n">
        <v>296</v>
      </c>
      <c r="AA250" t="n">
        <v>761</v>
      </c>
      <c r="AB250" t="n">
        <v>2</v>
      </c>
      <c r="AC250" t="n">
        <v>4</v>
      </c>
      <c r="AD250" t="n">
        <v>14</v>
      </c>
      <c r="AE250" t="n">
        <v>21</v>
      </c>
      <c r="AF250" t="n">
        <v>2</v>
      </c>
      <c r="AG250" t="n">
        <v>6</v>
      </c>
      <c r="AH250" t="n">
        <v>5</v>
      </c>
      <c r="AI250" t="n">
        <v>5</v>
      </c>
      <c r="AJ250" t="n">
        <v>11</v>
      </c>
      <c r="AK250" t="n">
        <v>13</v>
      </c>
      <c r="AL250" t="n">
        <v>1</v>
      </c>
      <c r="AM250" t="n">
        <v>3</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HYPERLINK("https://creighton-primo.hosted.exlibrisgroup.com/primo-explore/search?tab=default_tab&amp;search_scope=EVERYTHING&amp;vid=01CRU&amp;lang=en_US&amp;offset=0&amp;query=any,contains,991001626429702656","Catalog Record")</f>
        <v/>
      </c>
      <c r="AT250">
        <f>HYPERLINK("http://www.worldcat.org/oclc/20852974","WorldCat Record")</f>
        <v/>
      </c>
      <c r="AU250" t="inlineStr">
        <is>
          <t>3901265809:eng</t>
        </is>
      </c>
      <c r="AV250" t="inlineStr">
        <is>
          <t>20852974</t>
        </is>
      </c>
      <c r="AW250" t="inlineStr">
        <is>
          <t>991001626429702656</t>
        </is>
      </c>
      <c r="AX250" t="inlineStr">
        <is>
          <t>991001626429702656</t>
        </is>
      </c>
      <c r="AY250" t="inlineStr">
        <is>
          <t>2264865210002656</t>
        </is>
      </c>
      <c r="AZ250" t="inlineStr">
        <is>
          <t>BOOK</t>
        </is>
      </c>
      <c r="BB250" t="inlineStr">
        <is>
          <t>9780867201369</t>
        </is>
      </c>
      <c r="BC250" t="inlineStr">
        <is>
          <t>32285000490218</t>
        </is>
      </c>
      <c r="BD250" t="inlineStr">
        <is>
          <t>893509732</t>
        </is>
      </c>
    </row>
    <row r="251">
      <c r="A251" t="inlineStr">
        <is>
          <t>No</t>
        </is>
      </c>
      <c r="B251" t="inlineStr">
        <is>
          <t>RC268.42 .H48 1994</t>
        </is>
      </c>
      <c r="C251" t="inlineStr">
        <is>
          <t>0                      RC 0268420H  48          1994</t>
        </is>
      </c>
      <c r="D251" t="inlineStr">
        <is>
          <t>The Oncogene handbook / Robin Hesketh.</t>
        </is>
      </c>
      <c r="F251" t="inlineStr">
        <is>
          <t>No</t>
        </is>
      </c>
      <c r="G251" t="inlineStr">
        <is>
          <t>1</t>
        </is>
      </c>
      <c r="H251" t="inlineStr">
        <is>
          <t>No</t>
        </is>
      </c>
      <c r="I251" t="inlineStr">
        <is>
          <t>No</t>
        </is>
      </c>
      <c r="J251" t="inlineStr">
        <is>
          <t>0</t>
        </is>
      </c>
      <c r="K251" t="inlineStr">
        <is>
          <t>Hesketh, Robin.</t>
        </is>
      </c>
      <c r="L251" t="inlineStr">
        <is>
          <t>London ; San Diego : Academic Press, c1994.</t>
        </is>
      </c>
      <c r="M251" t="inlineStr">
        <is>
          <t>1994</t>
        </is>
      </c>
      <c r="O251" t="inlineStr">
        <is>
          <t>eng</t>
        </is>
      </c>
      <c r="P251" t="inlineStr">
        <is>
          <t>cau</t>
        </is>
      </c>
      <c r="R251" t="inlineStr">
        <is>
          <t xml:space="preserve">RC </t>
        </is>
      </c>
      <c r="S251" t="n">
        <v>12</v>
      </c>
      <c r="T251" t="n">
        <v>12</v>
      </c>
      <c r="U251" t="inlineStr">
        <is>
          <t>2000-04-15</t>
        </is>
      </c>
      <c r="V251" t="inlineStr">
        <is>
          <t>2000-04-15</t>
        </is>
      </c>
      <c r="W251" t="inlineStr">
        <is>
          <t>1994-08-08</t>
        </is>
      </c>
      <c r="X251" t="inlineStr">
        <is>
          <t>1994-08-08</t>
        </is>
      </c>
      <c r="Y251" t="n">
        <v>156</v>
      </c>
      <c r="Z251" t="n">
        <v>104</v>
      </c>
      <c r="AA251" t="n">
        <v>104</v>
      </c>
      <c r="AB251" t="n">
        <v>1</v>
      </c>
      <c r="AC251" t="n">
        <v>1</v>
      </c>
      <c r="AD251" t="n">
        <v>4</v>
      </c>
      <c r="AE251" t="n">
        <v>4</v>
      </c>
      <c r="AF251" t="n">
        <v>1</v>
      </c>
      <c r="AG251" t="n">
        <v>1</v>
      </c>
      <c r="AH251" t="n">
        <v>2</v>
      </c>
      <c r="AI251" t="n">
        <v>2</v>
      </c>
      <c r="AJ251" t="n">
        <v>1</v>
      </c>
      <c r="AK251" t="n">
        <v>1</v>
      </c>
      <c r="AL251" t="n">
        <v>0</v>
      </c>
      <c r="AM251" t="n">
        <v>0</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HYPERLINK("https://creighton-primo.hosted.exlibrisgroup.com/primo-explore/search?tab=default_tab&amp;search_scope=EVERYTHING&amp;vid=01CRU&amp;lang=en_US&amp;offset=0&amp;query=any,contains,991002347359702656","Catalog Record")</f>
        <v/>
      </c>
      <c r="AT251">
        <f>HYPERLINK("http://www.worldcat.org/oclc/30566667","WorldCat Record")</f>
        <v/>
      </c>
      <c r="AU251" t="inlineStr">
        <is>
          <t>3749182237:eng</t>
        </is>
      </c>
      <c r="AV251" t="inlineStr">
        <is>
          <t>30566667</t>
        </is>
      </c>
      <c r="AW251" t="inlineStr">
        <is>
          <t>991002347359702656</t>
        </is>
      </c>
      <c r="AX251" t="inlineStr">
        <is>
          <t>991002347359702656</t>
        </is>
      </c>
      <c r="AY251" t="inlineStr">
        <is>
          <t>2264421210002656</t>
        </is>
      </c>
      <c r="AZ251" t="inlineStr">
        <is>
          <t>BOOK</t>
        </is>
      </c>
      <c r="BB251" t="inlineStr">
        <is>
          <t>9780123445551</t>
        </is>
      </c>
      <c r="BC251" t="inlineStr">
        <is>
          <t>32285001941771</t>
        </is>
      </c>
      <c r="BD251" t="inlineStr">
        <is>
          <t>893328962</t>
        </is>
      </c>
    </row>
    <row r="252">
      <c r="A252" t="inlineStr">
        <is>
          <t>No</t>
        </is>
      </c>
      <c r="B252" t="inlineStr">
        <is>
          <t>RC268.44.P16 M85 1995</t>
        </is>
      </c>
      <c r="C252" t="inlineStr">
        <is>
          <t>0                      RC 0268440P  16                 M  85          1995</t>
        </is>
      </c>
      <c r="D252" t="inlineStr">
        <is>
          <t>p53 suppressor gene / Tapas Mukhopadhyay, Steven A. Maxwell, Jack A. Roth.</t>
        </is>
      </c>
      <c r="F252" t="inlineStr">
        <is>
          <t>No</t>
        </is>
      </c>
      <c r="G252" t="inlineStr">
        <is>
          <t>1</t>
        </is>
      </c>
      <c r="H252" t="inlineStr">
        <is>
          <t>No</t>
        </is>
      </c>
      <c r="I252" t="inlineStr">
        <is>
          <t>No</t>
        </is>
      </c>
      <c r="J252" t="inlineStr">
        <is>
          <t>0</t>
        </is>
      </c>
      <c r="K252" t="inlineStr">
        <is>
          <t>Mukhopadhyay, Tapas.</t>
        </is>
      </c>
      <c r="L252" t="inlineStr">
        <is>
          <t>Austin, Tex. : R.G. Landes Co., c1995.</t>
        </is>
      </c>
      <c r="M252" t="inlineStr">
        <is>
          <t>1995</t>
        </is>
      </c>
      <c r="O252" t="inlineStr">
        <is>
          <t>eng</t>
        </is>
      </c>
      <c r="P252" t="inlineStr">
        <is>
          <t>txu</t>
        </is>
      </c>
      <c r="Q252" t="inlineStr">
        <is>
          <t>Molecular biology intelligence unit</t>
        </is>
      </c>
      <c r="R252" t="inlineStr">
        <is>
          <t xml:space="preserve">RC </t>
        </is>
      </c>
      <c r="S252" t="n">
        <v>18</v>
      </c>
      <c r="T252" t="n">
        <v>18</v>
      </c>
      <c r="U252" t="inlineStr">
        <is>
          <t>2002-03-02</t>
        </is>
      </c>
      <c r="V252" t="inlineStr">
        <is>
          <t>2002-03-02</t>
        </is>
      </c>
      <c r="W252" t="inlineStr">
        <is>
          <t>1995-06-07</t>
        </is>
      </c>
      <c r="X252" t="inlineStr">
        <is>
          <t>1995-06-07</t>
        </is>
      </c>
      <c r="Y252" t="n">
        <v>100</v>
      </c>
      <c r="Z252" t="n">
        <v>63</v>
      </c>
      <c r="AA252" t="n">
        <v>87</v>
      </c>
      <c r="AB252" t="n">
        <v>1</v>
      </c>
      <c r="AC252" t="n">
        <v>1</v>
      </c>
      <c r="AD252" t="n">
        <v>1</v>
      </c>
      <c r="AE252" t="n">
        <v>2</v>
      </c>
      <c r="AF252" t="n">
        <v>0</v>
      </c>
      <c r="AG252" t="n">
        <v>1</v>
      </c>
      <c r="AH252" t="n">
        <v>1</v>
      </c>
      <c r="AI252" t="n">
        <v>1</v>
      </c>
      <c r="AJ252" t="n">
        <v>0</v>
      </c>
      <c r="AK252" t="n">
        <v>1</v>
      </c>
      <c r="AL252" t="n">
        <v>0</v>
      </c>
      <c r="AM252" t="n">
        <v>0</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HYPERLINK("https://creighton-primo.hosted.exlibrisgroup.com/primo-explore/search?tab=default_tab&amp;search_scope=EVERYTHING&amp;vid=01CRU&amp;lang=en_US&amp;offset=0&amp;query=any,contains,991002459839702656","Catalog Record")</f>
        <v/>
      </c>
      <c r="AT252">
        <f>HYPERLINK("http://www.worldcat.org/oclc/32051331","WorldCat Record")</f>
        <v/>
      </c>
      <c r="AU252" t="inlineStr">
        <is>
          <t>33619906:eng</t>
        </is>
      </c>
      <c r="AV252" t="inlineStr">
        <is>
          <t>32051331</t>
        </is>
      </c>
      <c r="AW252" t="inlineStr">
        <is>
          <t>991002459839702656</t>
        </is>
      </c>
      <c r="AX252" t="inlineStr">
        <is>
          <t>991002459839702656</t>
        </is>
      </c>
      <c r="AY252" t="inlineStr">
        <is>
          <t>2270260150002656</t>
        </is>
      </c>
      <c r="AZ252" t="inlineStr">
        <is>
          <t>BOOK</t>
        </is>
      </c>
      <c r="BB252" t="inlineStr">
        <is>
          <t>9781570592126</t>
        </is>
      </c>
      <c r="BC252" t="inlineStr">
        <is>
          <t>32285002050747</t>
        </is>
      </c>
      <c r="BD252" t="inlineStr">
        <is>
          <t>893867244</t>
        </is>
      </c>
    </row>
    <row r="253">
      <c r="A253" t="inlineStr">
        <is>
          <t>No</t>
        </is>
      </c>
      <c r="B253" t="inlineStr">
        <is>
          <t>RC268.5 .C324 1986</t>
        </is>
      </c>
      <c r="C253" t="inlineStr">
        <is>
          <t>0                      RC 0268500C  324         1986</t>
        </is>
      </c>
      <c r="D253" t="inlineStr">
        <is>
          <t>Cancer biology / with introductions by Errol C. Friedberg.</t>
        </is>
      </c>
      <c r="F253" t="inlineStr">
        <is>
          <t>No</t>
        </is>
      </c>
      <c r="G253" t="inlineStr">
        <is>
          <t>1</t>
        </is>
      </c>
      <c r="H253" t="inlineStr">
        <is>
          <t>No</t>
        </is>
      </c>
      <c r="I253" t="inlineStr">
        <is>
          <t>No</t>
        </is>
      </c>
      <c r="J253" t="inlineStr">
        <is>
          <t>0</t>
        </is>
      </c>
      <c r="L253" t="inlineStr">
        <is>
          <t>New York : W.H. Freeman, c1986.</t>
        </is>
      </c>
      <c r="M253" t="inlineStr">
        <is>
          <t>1986</t>
        </is>
      </c>
      <c r="O253" t="inlineStr">
        <is>
          <t>eng</t>
        </is>
      </c>
      <c r="P253" t="inlineStr">
        <is>
          <t>nyu</t>
        </is>
      </c>
      <c r="R253" t="inlineStr">
        <is>
          <t xml:space="preserve">RC </t>
        </is>
      </c>
      <c r="S253" t="n">
        <v>12</v>
      </c>
      <c r="T253" t="n">
        <v>12</v>
      </c>
      <c r="U253" t="inlineStr">
        <is>
          <t>2009-02-21</t>
        </is>
      </c>
      <c r="V253" t="inlineStr">
        <is>
          <t>2009-02-21</t>
        </is>
      </c>
      <c r="W253" t="inlineStr">
        <is>
          <t>1990-02-28</t>
        </is>
      </c>
      <c r="X253" t="inlineStr">
        <is>
          <t>1990-02-28</t>
        </is>
      </c>
      <c r="Y253" t="n">
        <v>298</v>
      </c>
      <c r="Z253" t="n">
        <v>224</v>
      </c>
      <c r="AA253" t="n">
        <v>230</v>
      </c>
      <c r="AB253" t="n">
        <v>3</v>
      </c>
      <c r="AC253" t="n">
        <v>3</v>
      </c>
      <c r="AD253" t="n">
        <v>7</v>
      </c>
      <c r="AE253" t="n">
        <v>7</v>
      </c>
      <c r="AF253" t="n">
        <v>2</v>
      </c>
      <c r="AG253" t="n">
        <v>2</v>
      </c>
      <c r="AH253" t="n">
        <v>1</v>
      </c>
      <c r="AI253" t="n">
        <v>1</v>
      </c>
      <c r="AJ253" t="n">
        <v>4</v>
      </c>
      <c r="AK253" t="n">
        <v>4</v>
      </c>
      <c r="AL253" t="n">
        <v>2</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HYPERLINK("https://creighton-primo.hosted.exlibrisgroup.com/primo-explore/search?tab=default_tab&amp;search_scope=EVERYTHING&amp;vid=01CRU&amp;lang=en_US&amp;offset=0&amp;query=any,contains,991005405219702656","Catalog Record")</f>
        <v/>
      </c>
      <c r="AT253">
        <f>HYPERLINK("http://www.worldcat.org/oclc/12049934","WorldCat Record")</f>
        <v/>
      </c>
      <c r="AU253" t="inlineStr">
        <is>
          <t>3855372959:eng</t>
        </is>
      </c>
      <c r="AV253" t="inlineStr">
        <is>
          <t>12049934</t>
        </is>
      </c>
      <c r="AW253" t="inlineStr">
        <is>
          <t>991005405219702656</t>
        </is>
      </c>
      <c r="AX253" t="inlineStr">
        <is>
          <t>991005405219702656</t>
        </is>
      </c>
      <c r="AY253" t="inlineStr">
        <is>
          <t>2256305100002656</t>
        </is>
      </c>
      <c r="AZ253" t="inlineStr">
        <is>
          <t>BOOK</t>
        </is>
      </c>
      <c r="BB253" t="inlineStr">
        <is>
          <t>9780716717751</t>
        </is>
      </c>
      <c r="BC253" t="inlineStr">
        <is>
          <t>32285000072370</t>
        </is>
      </c>
      <c r="BD253" t="inlineStr">
        <is>
          <t>893783629</t>
        </is>
      </c>
    </row>
    <row r="254">
      <c r="A254" t="inlineStr">
        <is>
          <t>No</t>
        </is>
      </c>
      <c r="B254" t="inlineStr">
        <is>
          <t>RC268.5 .D54</t>
        </is>
      </c>
      <c r="C254" t="inlineStr">
        <is>
          <t>0                      RC 0268500D  54</t>
        </is>
      </c>
      <c r="D254" t="inlineStr">
        <is>
          <t>Differentiation of normal and neoplastic hematopoietic cells / edited by Bayard Clarkson, Paul A. Marks, James E. Till.</t>
        </is>
      </c>
      <c r="E254" t="inlineStr">
        <is>
          <t>V.1</t>
        </is>
      </c>
      <c r="F254" t="inlineStr">
        <is>
          <t>Yes</t>
        </is>
      </c>
      <c r="G254" t="inlineStr">
        <is>
          <t>1</t>
        </is>
      </c>
      <c r="H254" t="inlineStr">
        <is>
          <t>No</t>
        </is>
      </c>
      <c r="I254" t="inlineStr">
        <is>
          <t>No</t>
        </is>
      </c>
      <c r="J254" t="inlineStr">
        <is>
          <t>0</t>
        </is>
      </c>
      <c r="L254" t="inlineStr">
        <is>
          <t>Cold Spring Harbor, N.Y. : Cold Spring Harbor Laboratory, 1978.</t>
        </is>
      </c>
      <c r="M254" t="inlineStr">
        <is>
          <t>1978</t>
        </is>
      </c>
      <c r="O254" t="inlineStr">
        <is>
          <t>eng</t>
        </is>
      </c>
      <c r="P254" t="inlineStr">
        <is>
          <t>nyu</t>
        </is>
      </c>
      <c r="Q254" t="inlineStr">
        <is>
          <t>Cold Spring Harbor conferences on cell proliferation ; v. 5</t>
        </is>
      </c>
      <c r="R254" t="inlineStr">
        <is>
          <t xml:space="preserve">RC </t>
        </is>
      </c>
      <c r="S254" t="n">
        <v>0</v>
      </c>
      <c r="T254" t="n">
        <v>4</v>
      </c>
      <c r="V254" t="inlineStr">
        <is>
          <t>1999-10-03</t>
        </is>
      </c>
      <c r="W254" t="inlineStr">
        <is>
          <t>1993-03-17</t>
        </is>
      </c>
      <c r="X254" t="inlineStr">
        <is>
          <t>1993-03-17</t>
        </is>
      </c>
      <c r="Y254" t="n">
        <v>248</v>
      </c>
      <c r="Z254" t="n">
        <v>192</v>
      </c>
      <c r="AA254" t="n">
        <v>196</v>
      </c>
      <c r="AB254" t="n">
        <v>2</v>
      </c>
      <c r="AC254" t="n">
        <v>2</v>
      </c>
      <c r="AD254" t="n">
        <v>8</v>
      </c>
      <c r="AE254" t="n">
        <v>8</v>
      </c>
      <c r="AF254" t="n">
        <v>0</v>
      </c>
      <c r="AG254" t="n">
        <v>0</v>
      </c>
      <c r="AH254" t="n">
        <v>4</v>
      </c>
      <c r="AI254" t="n">
        <v>4</v>
      </c>
      <c r="AJ254" t="n">
        <v>6</v>
      </c>
      <c r="AK254" t="n">
        <v>6</v>
      </c>
      <c r="AL254" t="n">
        <v>1</v>
      </c>
      <c r="AM254" t="n">
        <v>1</v>
      </c>
      <c r="AN254" t="n">
        <v>0</v>
      </c>
      <c r="AO254" t="n">
        <v>0</v>
      </c>
      <c r="AP254" t="inlineStr">
        <is>
          <t>No</t>
        </is>
      </c>
      <c r="AQ254" t="inlineStr">
        <is>
          <t>Yes</t>
        </is>
      </c>
      <c r="AR254">
        <f>HYPERLINK("http://catalog.hathitrust.org/Record/000178305","HathiTrust Record")</f>
        <v/>
      </c>
      <c r="AS254">
        <f>HYPERLINK("https://creighton-primo.hosted.exlibrisgroup.com/primo-explore/search?tab=default_tab&amp;search_scope=EVERYTHING&amp;vid=01CRU&amp;lang=en_US&amp;offset=0&amp;query=any,contains,991004578309702656","Catalog Record")</f>
        <v/>
      </c>
      <c r="AT254">
        <f>HYPERLINK("http://www.worldcat.org/oclc/4055892","WorldCat Record")</f>
        <v/>
      </c>
      <c r="AU254" t="inlineStr">
        <is>
          <t>355528088:eng</t>
        </is>
      </c>
      <c r="AV254" t="inlineStr">
        <is>
          <t>4055892</t>
        </is>
      </c>
      <c r="AW254" t="inlineStr">
        <is>
          <t>991004578309702656</t>
        </is>
      </c>
      <c r="AX254" t="inlineStr">
        <is>
          <t>991004578309702656</t>
        </is>
      </c>
      <c r="AY254" t="inlineStr">
        <is>
          <t>2272094550002656</t>
        </is>
      </c>
      <c r="AZ254" t="inlineStr">
        <is>
          <t>BOOK</t>
        </is>
      </c>
      <c r="BB254" t="inlineStr">
        <is>
          <t>9780879691219</t>
        </is>
      </c>
      <c r="BC254" t="inlineStr">
        <is>
          <t>32285001589174</t>
        </is>
      </c>
      <c r="BD254" t="inlineStr">
        <is>
          <t>893532553</t>
        </is>
      </c>
    </row>
    <row r="255">
      <c r="A255" t="inlineStr">
        <is>
          <t>No</t>
        </is>
      </c>
      <c r="B255" t="inlineStr">
        <is>
          <t>RC268.5 .D54</t>
        </is>
      </c>
      <c r="C255" t="inlineStr">
        <is>
          <t>0                      RC 0268500D  54</t>
        </is>
      </c>
      <c r="D255" t="inlineStr">
        <is>
          <t>Differentiation of normal and neoplastic hematopoietic cells / edited by Bayard Clarkson, Paul A. Marks, James E. Till.</t>
        </is>
      </c>
      <c r="E255" t="inlineStr">
        <is>
          <t>V.2</t>
        </is>
      </c>
      <c r="F255" t="inlineStr">
        <is>
          <t>Yes</t>
        </is>
      </c>
      <c r="G255" t="inlineStr">
        <is>
          <t>1</t>
        </is>
      </c>
      <c r="H255" t="inlineStr">
        <is>
          <t>No</t>
        </is>
      </c>
      <c r="I255" t="inlineStr">
        <is>
          <t>No</t>
        </is>
      </c>
      <c r="J255" t="inlineStr">
        <is>
          <t>0</t>
        </is>
      </c>
      <c r="L255" t="inlineStr">
        <is>
          <t>Cold Spring Harbor, N.Y. : Cold Spring Harbor Laboratory, 1978.</t>
        </is>
      </c>
      <c r="M255" t="inlineStr">
        <is>
          <t>1978</t>
        </is>
      </c>
      <c r="O255" t="inlineStr">
        <is>
          <t>eng</t>
        </is>
      </c>
      <c r="P255" t="inlineStr">
        <is>
          <t>nyu</t>
        </is>
      </c>
      <c r="Q255" t="inlineStr">
        <is>
          <t>Cold Spring Harbor conferences on cell proliferation ; v. 5</t>
        </is>
      </c>
      <c r="R255" t="inlineStr">
        <is>
          <t xml:space="preserve">RC </t>
        </is>
      </c>
      <c r="S255" t="n">
        <v>4</v>
      </c>
      <c r="T255" t="n">
        <v>4</v>
      </c>
      <c r="U255" t="inlineStr">
        <is>
          <t>1999-10-03</t>
        </is>
      </c>
      <c r="V255" t="inlineStr">
        <is>
          <t>1999-10-03</t>
        </is>
      </c>
      <c r="W255" t="inlineStr">
        <is>
          <t>1993-03-17</t>
        </is>
      </c>
      <c r="X255" t="inlineStr">
        <is>
          <t>1993-03-17</t>
        </is>
      </c>
      <c r="Y255" t="n">
        <v>248</v>
      </c>
      <c r="Z255" t="n">
        <v>192</v>
      </c>
      <c r="AA255" t="n">
        <v>196</v>
      </c>
      <c r="AB255" t="n">
        <v>2</v>
      </c>
      <c r="AC255" t="n">
        <v>2</v>
      </c>
      <c r="AD255" t="n">
        <v>8</v>
      </c>
      <c r="AE255" t="n">
        <v>8</v>
      </c>
      <c r="AF255" t="n">
        <v>0</v>
      </c>
      <c r="AG255" t="n">
        <v>0</v>
      </c>
      <c r="AH255" t="n">
        <v>4</v>
      </c>
      <c r="AI255" t="n">
        <v>4</v>
      </c>
      <c r="AJ255" t="n">
        <v>6</v>
      </c>
      <c r="AK255" t="n">
        <v>6</v>
      </c>
      <c r="AL255" t="n">
        <v>1</v>
      </c>
      <c r="AM255" t="n">
        <v>1</v>
      </c>
      <c r="AN255" t="n">
        <v>0</v>
      </c>
      <c r="AO255" t="n">
        <v>0</v>
      </c>
      <c r="AP255" t="inlineStr">
        <is>
          <t>No</t>
        </is>
      </c>
      <c r="AQ255" t="inlineStr">
        <is>
          <t>Yes</t>
        </is>
      </c>
      <c r="AR255">
        <f>HYPERLINK("http://catalog.hathitrust.org/Record/000178305","HathiTrust Record")</f>
        <v/>
      </c>
      <c r="AS255">
        <f>HYPERLINK("https://creighton-primo.hosted.exlibrisgroup.com/primo-explore/search?tab=default_tab&amp;search_scope=EVERYTHING&amp;vid=01CRU&amp;lang=en_US&amp;offset=0&amp;query=any,contains,991004578309702656","Catalog Record")</f>
        <v/>
      </c>
      <c r="AT255">
        <f>HYPERLINK("http://www.worldcat.org/oclc/4055892","WorldCat Record")</f>
        <v/>
      </c>
      <c r="AU255" t="inlineStr">
        <is>
          <t>355528088:eng</t>
        </is>
      </c>
      <c r="AV255" t="inlineStr">
        <is>
          <t>4055892</t>
        </is>
      </c>
      <c r="AW255" t="inlineStr">
        <is>
          <t>991004578309702656</t>
        </is>
      </c>
      <c r="AX255" t="inlineStr">
        <is>
          <t>991004578309702656</t>
        </is>
      </c>
      <c r="AY255" t="inlineStr">
        <is>
          <t>2272094550002656</t>
        </is>
      </c>
      <c r="AZ255" t="inlineStr">
        <is>
          <t>BOOK</t>
        </is>
      </c>
      <c r="BB255" t="inlineStr">
        <is>
          <t>9780879691219</t>
        </is>
      </c>
      <c r="BC255" t="inlineStr">
        <is>
          <t>32285001589182</t>
        </is>
      </c>
      <c r="BD255" t="inlineStr">
        <is>
          <t>893532552</t>
        </is>
      </c>
    </row>
    <row r="256">
      <c r="A256" t="inlineStr">
        <is>
          <t>No</t>
        </is>
      </c>
      <c r="B256" t="inlineStr">
        <is>
          <t>RC268.5 .O74</t>
        </is>
      </c>
      <c r="C256" t="inlineStr">
        <is>
          <t>0                      RC 0268500O  74</t>
        </is>
      </c>
      <c r="D256" t="inlineStr">
        <is>
          <t>Origins of human cancer / edited by H. H. Hiatt, J. D. Watson, J. A. Winsten.</t>
        </is>
      </c>
      <c r="E256" t="inlineStr">
        <is>
          <t>V. 1</t>
        </is>
      </c>
      <c r="F256" t="inlineStr">
        <is>
          <t>Yes</t>
        </is>
      </c>
      <c r="G256" t="inlineStr">
        <is>
          <t>1</t>
        </is>
      </c>
      <c r="H256" t="inlineStr">
        <is>
          <t>No</t>
        </is>
      </c>
      <c r="I256" t="inlineStr">
        <is>
          <t>No</t>
        </is>
      </c>
      <c r="J256" t="inlineStr">
        <is>
          <t>0</t>
        </is>
      </c>
      <c r="L256" t="inlineStr">
        <is>
          <t>[Cold Spring Harbor, N.Y.] : Cold Spring Harbor Laboratory, 1977.</t>
        </is>
      </c>
      <c r="M256" t="inlineStr">
        <is>
          <t>1977</t>
        </is>
      </c>
      <c r="O256" t="inlineStr">
        <is>
          <t>eng</t>
        </is>
      </c>
      <c r="P256" t="inlineStr">
        <is>
          <t>nyu</t>
        </is>
      </c>
      <c r="Q256" t="inlineStr">
        <is>
          <t>Cold Spring Harbor conferences on cell proliferation ; v. 4</t>
        </is>
      </c>
      <c r="R256" t="inlineStr">
        <is>
          <t xml:space="preserve">RC </t>
        </is>
      </c>
      <c r="S256" t="n">
        <v>6</v>
      </c>
      <c r="T256" t="n">
        <v>17</v>
      </c>
      <c r="U256" t="inlineStr">
        <is>
          <t>2003-03-15</t>
        </is>
      </c>
      <c r="V256" t="inlineStr">
        <is>
          <t>2003-03-15</t>
        </is>
      </c>
      <c r="W256" t="inlineStr">
        <is>
          <t>1993-03-17</t>
        </is>
      </c>
      <c r="X256" t="inlineStr">
        <is>
          <t>1993-03-17</t>
        </is>
      </c>
      <c r="Y256" t="n">
        <v>585</v>
      </c>
      <c r="Z256" t="n">
        <v>497</v>
      </c>
      <c r="AA256" t="n">
        <v>506</v>
      </c>
      <c r="AB256" t="n">
        <v>3</v>
      </c>
      <c r="AC256" t="n">
        <v>3</v>
      </c>
      <c r="AD256" t="n">
        <v>10</v>
      </c>
      <c r="AE256" t="n">
        <v>10</v>
      </c>
      <c r="AF256" t="n">
        <v>2</v>
      </c>
      <c r="AG256" t="n">
        <v>2</v>
      </c>
      <c r="AH256" t="n">
        <v>3</v>
      </c>
      <c r="AI256" t="n">
        <v>3</v>
      </c>
      <c r="AJ256" t="n">
        <v>7</v>
      </c>
      <c r="AK256" t="n">
        <v>7</v>
      </c>
      <c r="AL256" t="n">
        <v>1</v>
      </c>
      <c r="AM256" t="n">
        <v>1</v>
      </c>
      <c r="AN256" t="n">
        <v>0</v>
      </c>
      <c r="AO256" t="n">
        <v>0</v>
      </c>
      <c r="AP256" t="inlineStr">
        <is>
          <t>No</t>
        </is>
      </c>
      <c r="AQ256" t="inlineStr">
        <is>
          <t>Yes</t>
        </is>
      </c>
      <c r="AR256">
        <f>HYPERLINK("http://catalog.hathitrust.org/Record/000090991","HathiTrust Record")</f>
        <v/>
      </c>
      <c r="AS256">
        <f>HYPERLINK("https://creighton-primo.hosted.exlibrisgroup.com/primo-explore/search?tab=default_tab&amp;search_scope=EVERYTHING&amp;vid=01CRU&amp;lang=en_US&amp;offset=0&amp;query=any,contains,991005264419702656","Catalog Record")</f>
        <v/>
      </c>
      <c r="AT256">
        <f>HYPERLINK("http://www.worldcat.org/oclc/3602074","WorldCat Record")</f>
        <v/>
      </c>
      <c r="AU256" t="inlineStr">
        <is>
          <t>2866614271:eng</t>
        </is>
      </c>
      <c r="AV256" t="inlineStr">
        <is>
          <t>3602074</t>
        </is>
      </c>
      <c r="AW256" t="inlineStr">
        <is>
          <t>991005264419702656</t>
        </is>
      </c>
      <c r="AX256" t="inlineStr">
        <is>
          <t>991005264419702656</t>
        </is>
      </c>
      <c r="AY256" t="inlineStr">
        <is>
          <t>2268185640002656</t>
        </is>
      </c>
      <c r="AZ256" t="inlineStr">
        <is>
          <t>BOOK</t>
        </is>
      </c>
      <c r="BB256" t="inlineStr">
        <is>
          <t>9780879691196</t>
        </is>
      </c>
      <c r="BC256" t="inlineStr">
        <is>
          <t>32285000031293</t>
        </is>
      </c>
      <c r="BD256" t="inlineStr">
        <is>
          <t>893783311</t>
        </is>
      </c>
    </row>
    <row r="257">
      <c r="A257" t="inlineStr">
        <is>
          <t>No</t>
        </is>
      </c>
      <c r="B257" t="inlineStr">
        <is>
          <t>RC268.5 .O74</t>
        </is>
      </c>
      <c r="C257" t="inlineStr">
        <is>
          <t>0                      RC 0268500O  74</t>
        </is>
      </c>
      <c r="D257" t="inlineStr">
        <is>
          <t>Origins of human cancer / edited by H. H. Hiatt, J. D. Watson, J. A. Winsten.</t>
        </is>
      </c>
      <c r="E257" t="inlineStr">
        <is>
          <t>V. 3</t>
        </is>
      </c>
      <c r="F257" t="inlineStr">
        <is>
          <t>Yes</t>
        </is>
      </c>
      <c r="G257" t="inlineStr">
        <is>
          <t>1</t>
        </is>
      </c>
      <c r="H257" t="inlineStr">
        <is>
          <t>No</t>
        </is>
      </c>
      <c r="I257" t="inlineStr">
        <is>
          <t>No</t>
        </is>
      </c>
      <c r="J257" t="inlineStr">
        <is>
          <t>0</t>
        </is>
      </c>
      <c r="L257" t="inlineStr">
        <is>
          <t>[Cold Spring Harbor, N.Y.] : Cold Spring Harbor Laboratory, 1977.</t>
        </is>
      </c>
      <c r="M257" t="inlineStr">
        <is>
          <t>1977</t>
        </is>
      </c>
      <c r="O257" t="inlineStr">
        <is>
          <t>eng</t>
        </is>
      </c>
      <c r="P257" t="inlineStr">
        <is>
          <t>nyu</t>
        </is>
      </c>
      <c r="Q257" t="inlineStr">
        <is>
          <t>Cold Spring Harbor conferences on cell proliferation ; v. 4</t>
        </is>
      </c>
      <c r="R257" t="inlineStr">
        <is>
          <t xml:space="preserve">RC </t>
        </is>
      </c>
      <c r="S257" t="n">
        <v>4</v>
      </c>
      <c r="T257" t="n">
        <v>17</v>
      </c>
      <c r="U257" t="inlineStr">
        <is>
          <t>2003-03-15</t>
        </is>
      </c>
      <c r="V257" t="inlineStr">
        <is>
          <t>2003-03-15</t>
        </is>
      </c>
      <c r="W257" t="inlineStr">
        <is>
          <t>1993-03-17</t>
        </is>
      </c>
      <c r="X257" t="inlineStr">
        <is>
          <t>1993-03-17</t>
        </is>
      </c>
      <c r="Y257" t="n">
        <v>585</v>
      </c>
      <c r="Z257" t="n">
        <v>497</v>
      </c>
      <c r="AA257" t="n">
        <v>506</v>
      </c>
      <c r="AB257" t="n">
        <v>3</v>
      </c>
      <c r="AC257" t="n">
        <v>3</v>
      </c>
      <c r="AD257" t="n">
        <v>10</v>
      </c>
      <c r="AE257" t="n">
        <v>10</v>
      </c>
      <c r="AF257" t="n">
        <v>2</v>
      </c>
      <c r="AG257" t="n">
        <v>2</v>
      </c>
      <c r="AH257" t="n">
        <v>3</v>
      </c>
      <c r="AI257" t="n">
        <v>3</v>
      </c>
      <c r="AJ257" t="n">
        <v>7</v>
      </c>
      <c r="AK257" t="n">
        <v>7</v>
      </c>
      <c r="AL257" t="n">
        <v>1</v>
      </c>
      <c r="AM257" t="n">
        <v>1</v>
      </c>
      <c r="AN257" t="n">
        <v>0</v>
      </c>
      <c r="AO257" t="n">
        <v>0</v>
      </c>
      <c r="AP257" t="inlineStr">
        <is>
          <t>No</t>
        </is>
      </c>
      <c r="AQ257" t="inlineStr">
        <is>
          <t>Yes</t>
        </is>
      </c>
      <c r="AR257">
        <f>HYPERLINK("http://catalog.hathitrust.org/Record/000090991","HathiTrust Record")</f>
        <v/>
      </c>
      <c r="AS257">
        <f>HYPERLINK("https://creighton-primo.hosted.exlibrisgroup.com/primo-explore/search?tab=default_tab&amp;search_scope=EVERYTHING&amp;vid=01CRU&amp;lang=en_US&amp;offset=0&amp;query=any,contains,991005264419702656","Catalog Record")</f>
        <v/>
      </c>
      <c r="AT257">
        <f>HYPERLINK("http://www.worldcat.org/oclc/3602074","WorldCat Record")</f>
        <v/>
      </c>
      <c r="AU257" t="inlineStr">
        <is>
          <t>2866614271:eng</t>
        </is>
      </c>
      <c r="AV257" t="inlineStr">
        <is>
          <t>3602074</t>
        </is>
      </c>
      <c r="AW257" t="inlineStr">
        <is>
          <t>991005264419702656</t>
        </is>
      </c>
      <c r="AX257" t="inlineStr">
        <is>
          <t>991005264419702656</t>
        </is>
      </c>
      <c r="AY257" t="inlineStr">
        <is>
          <t>2268185640002656</t>
        </is>
      </c>
      <c r="AZ257" t="inlineStr">
        <is>
          <t>BOOK</t>
        </is>
      </c>
      <c r="BB257" t="inlineStr">
        <is>
          <t>9780879691196</t>
        </is>
      </c>
      <c r="BC257" t="inlineStr">
        <is>
          <t>32285000031319</t>
        </is>
      </c>
      <c r="BD257" t="inlineStr">
        <is>
          <t>893789706</t>
        </is>
      </c>
    </row>
    <row r="258">
      <c r="A258" t="inlineStr">
        <is>
          <t>No</t>
        </is>
      </c>
      <c r="B258" t="inlineStr">
        <is>
          <t>RC268.5 .O74</t>
        </is>
      </c>
      <c r="C258" t="inlineStr">
        <is>
          <t>0                      RC 0268500O  74</t>
        </is>
      </c>
      <c r="D258" t="inlineStr">
        <is>
          <t>Origins of human cancer / edited by H. H. Hiatt, J. D. Watson, J. A. Winsten.</t>
        </is>
      </c>
      <c r="E258" t="inlineStr">
        <is>
          <t>V. 2</t>
        </is>
      </c>
      <c r="F258" t="inlineStr">
        <is>
          <t>Yes</t>
        </is>
      </c>
      <c r="G258" t="inlineStr">
        <is>
          <t>1</t>
        </is>
      </c>
      <c r="H258" t="inlineStr">
        <is>
          <t>No</t>
        </is>
      </c>
      <c r="I258" t="inlineStr">
        <is>
          <t>No</t>
        </is>
      </c>
      <c r="J258" t="inlineStr">
        <is>
          <t>0</t>
        </is>
      </c>
      <c r="L258" t="inlineStr">
        <is>
          <t>[Cold Spring Harbor, N.Y.] : Cold Spring Harbor Laboratory, 1977.</t>
        </is>
      </c>
      <c r="M258" t="inlineStr">
        <is>
          <t>1977</t>
        </is>
      </c>
      <c r="O258" t="inlineStr">
        <is>
          <t>eng</t>
        </is>
      </c>
      <c r="P258" t="inlineStr">
        <is>
          <t>nyu</t>
        </is>
      </c>
      <c r="Q258" t="inlineStr">
        <is>
          <t>Cold Spring Harbor conferences on cell proliferation ; v. 4</t>
        </is>
      </c>
      <c r="R258" t="inlineStr">
        <is>
          <t xml:space="preserve">RC </t>
        </is>
      </c>
      <c r="S258" t="n">
        <v>7</v>
      </c>
      <c r="T258" t="n">
        <v>17</v>
      </c>
      <c r="U258" t="inlineStr">
        <is>
          <t>2003-03-15</t>
        </is>
      </c>
      <c r="V258" t="inlineStr">
        <is>
          <t>2003-03-15</t>
        </is>
      </c>
      <c r="W258" t="inlineStr">
        <is>
          <t>1993-03-17</t>
        </is>
      </c>
      <c r="X258" t="inlineStr">
        <is>
          <t>1993-03-17</t>
        </is>
      </c>
      <c r="Y258" t="n">
        <v>585</v>
      </c>
      <c r="Z258" t="n">
        <v>497</v>
      </c>
      <c r="AA258" t="n">
        <v>506</v>
      </c>
      <c r="AB258" t="n">
        <v>3</v>
      </c>
      <c r="AC258" t="n">
        <v>3</v>
      </c>
      <c r="AD258" t="n">
        <v>10</v>
      </c>
      <c r="AE258" t="n">
        <v>10</v>
      </c>
      <c r="AF258" t="n">
        <v>2</v>
      </c>
      <c r="AG258" t="n">
        <v>2</v>
      </c>
      <c r="AH258" t="n">
        <v>3</v>
      </c>
      <c r="AI258" t="n">
        <v>3</v>
      </c>
      <c r="AJ258" t="n">
        <v>7</v>
      </c>
      <c r="AK258" t="n">
        <v>7</v>
      </c>
      <c r="AL258" t="n">
        <v>1</v>
      </c>
      <c r="AM258" t="n">
        <v>1</v>
      </c>
      <c r="AN258" t="n">
        <v>0</v>
      </c>
      <c r="AO258" t="n">
        <v>0</v>
      </c>
      <c r="AP258" t="inlineStr">
        <is>
          <t>No</t>
        </is>
      </c>
      <c r="AQ258" t="inlineStr">
        <is>
          <t>Yes</t>
        </is>
      </c>
      <c r="AR258">
        <f>HYPERLINK("http://catalog.hathitrust.org/Record/000090991","HathiTrust Record")</f>
        <v/>
      </c>
      <c r="AS258">
        <f>HYPERLINK("https://creighton-primo.hosted.exlibrisgroup.com/primo-explore/search?tab=default_tab&amp;search_scope=EVERYTHING&amp;vid=01CRU&amp;lang=en_US&amp;offset=0&amp;query=any,contains,991005264419702656","Catalog Record")</f>
        <v/>
      </c>
      <c r="AT258">
        <f>HYPERLINK("http://www.worldcat.org/oclc/3602074","WorldCat Record")</f>
        <v/>
      </c>
      <c r="AU258" t="inlineStr">
        <is>
          <t>2866614271:eng</t>
        </is>
      </c>
      <c r="AV258" t="inlineStr">
        <is>
          <t>3602074</t>
        </is>
      </c>
      <c r="AW258" t="inlineStr">
        <is>
          <t>991005264419702656</t>
        </is>
      </c>
      <c r="AX258" t="inlineStr">
        <is>
          <t>991005264419702656</t>
        </is>
      </c>
      <c r="AY258" t="inlineStr">
        <is>
          <t>2268185640002656</t>
        </is>
      </c>
      <c r="AZ258" t="inlineStr">
        <is>
          <t>BOOK</t>
        </is>
      </c>
      <c r="BB258" t="inlineStr">
        <is>
          <t>9780879691196</t>
        </is>
      </c>
      <c r="BC258" t="inlineStr">
        <is>
          <t>32285000031301</t>
        </is>
      </c>
      <c r="BD258" t="inlineStr">
        <is>
          <t>893783310</t>
        </is>
      </c>
    </row>
    <row r="259">
      <c r="A259" t="inlineStr">
        <is>
          <t>No</t>
        </is>
      </c>
      <c r="B259" t="inlineStr">
        <is>
          <t>RC268.5 .S74 1993</t>
        </is>
      </c>
      <c r="C259" t="inlineStr">
        <is>
          <t>0                      RC 0268500S  74          1993</t>
        </is>
      </c>
      <c r="D259" t="inlineStr">
        <is>
          <t>A conspiracy of cells : the basic science of cancer / R. Grant Steen.</t>
        </is>
      </c>
      <c r="F259" t="inlineStr">
        <is>
          <t>No</t>
        </is>
      </c>
      <c r="G259" t="inlineStr">
        <is>
          <t>1</t>
        </is>
      </c>
      <c r="H259" t="inlineStr">
        <is>
          <t>No</t>
        </is>
      </c>
      <c r="I259" t="inlineStr">
        <is>
          <t>No</t>
        </is>
      </c>
      <c r="J259" t="inlineStr">
        <is>
          <t>0</t>
        </is>
      </c>
      <c r="K259" t="inlineStr">
        <is>
          <t>Steen, R. Grant.</t>
        </is>
      </c>
      <c r="L259" t="inlineStr">
        <is>
          <t>New York: Plenum Press, c1993.</t>
        </is>
      </c>
      <c r="M259" t="inlineStr">
        <is>
          <t>1993</t>
        </is>
      </c>
      <c r="O259" t="inlineStr">
        <is>
          <t>eng</t>
        </is>
      </c>
      <c r="P259" t="inlineStr">
        <is>
          <t>nyu</t>
        </is>
      </c>
      <c r="R259" t="inlineStr">
        <is>
          <t xml:space="preserve">RC </t>
        </is>
      </c>
      <c r="S259" t="n">
        <v>18</v>
      </c>
      <c r="T259" t="n">
        <v>18</v>
      </c>
      <c r="U259" t="inlineStr">
        <is>
          <t>2009-02-21</t>
        </is>
      </c>
      <c r="V259" t="inlineStr">
        <is>
          <t>2009-02-21</t>
        </is>
      </c>
      <c r="W259" t="inlineStr">
        <is>
          <t>1994-04-13</t>
        </is>
      </c>
      <c r="X259" t="inlineStr">
        <is>
          <t>1994-04-13</t>
        </is>
      </c>
      <c r="Y259" t="n">
        <v>400</v>
      </c>
      <c r="Z259" t="n">
        <v>361</v>
      </c>
      <c r="AA259" t="n">
        <v>368</v>
      </c>
      <c r="AB259" t="n">
        <v>1</v>
      </c>
      <c r="AC259" t="n">
        <v>1</v>
      </c>
      <c r="AD259" t="n">
        <v>5</v>
      </c>
      <c r="AE259" t="n">
        <v>5</v>
      </c>
      <c r="AF259" t="n">
        <v>1</v>
      </c>
      <c r="AG259" t="n">
        <v>1</v>
      </c>
      <c r="AH259" t="n">
        <v>3</v>
      </c>
      <c r="AI259" t="n">
        <v>3</v>
      </c>
      <c r="AJ259" t="n">
        <v>3</v>
      </c>
      <c r="AK259" t="n">
        <v>3</v>
      </c>
      <c r="AL259" t="n">
        <v>0</v>
      </c>
      <c r="AM259" t="n">
        <v>0</v>
      </c>
      <c r="AN259" t="n">
        <v>0</v>
      </c>
      <c r="AO259" t="n">
        <v>0</v>
      </c>
      <c r="AP259" t="inlineStr">
        <is>
          <t>No</t>
        </is>
      </c>
      <c r="AQ259" t="inlineStr">
        <is>
          <t>Yes</t>
        </is>
      </c>
      <c r="AR259">
        <f>HYPERLINK("http://catalog.hathitrust.org/Record/002736905","HathiTrust Record")</f>
        <v/>
      </c>
      <c r="AS259">
        <f>HYPERLINK("https://creighton-primo.hosted.exlibrisgroup.com/primo-explore/search?tab=default_tab&amp;search_scope=EVERYTHING&amp;vid=01CRU&amp;lang=en_US&amp;offset=0&amp;query=any,contains,991002208009702656","Catalog Record")</f>
        <v/>
      </c>
      <c r="AT259">
        <f>HYPERLINK("http://www.worldcat.org/oclc/28410504","WorldCat Record")</f>
        <v/>
      </c>
      <c r="AU259" t="inlineStr">
        <is>
          <t>20752002:eng</t>
        </is>
      </c>
      <c r="AV259" t="inlineStr">
        <is>
          <t>28410504</t>
        </is>
      </c>
      <c r="AW259" t="inlineStr">
        <is>
          <t>991002208009702656</t>
        </is>
      </c>
      <c r="AX259" t="inlineStr">
        <is>
          <t>991002208009702656</t>
        </is>
      </c>
      <c r="AY259" t="inlineStr">
        <is>
          <t>2266853240002656</t>
        </is>
      </c>
      <c r="AZ259" t="inlineStr">
        <is>
          <t>BOOK</t>
        </is>
      </c>
      <c r="BB259" t="inlineStr">
        <is>
          <t>9780306445064</t>
        </is>
      </c>
      <c r="BC259" t="inlineStr">
        <is>
          <t>32285001859932</t>
        </is>
      </c>
      <c r="BD259" t="inlineStr">
        <is>
          <t>893697477</t>
        </is>
      </c>
    </row>
    <row r="260">
      <c r="A260" t="inlineStr">
        <is>
          <t>No</t>
        </is>
      </c>
      <c r="B260" t="inlineStr">
        <is>
          <t>RC268.5 .S827 1994</t>
        </is>
      </c>
      <c r="C260" t="inlineStr">
        <is>
          <t>0                      RC 0268500S  827         1994</t>
        </is>
      </c>
      <c r="D260" t="inlineStr">
        <is>
          <t>The molecular mechanisms of cancer predisposition / Neil F. Sullivan, Anne E. Willis.</t>
        </is>
      </c>
      <c r="F260" t="inlineStr">
        <is>
          <t>No</t>
        </is>
      </c>
      <c r="G260" t="inlineStr">
        <is>
          <t>1</t>
        </is>
      </c>
      <c r="H260" t="inlineStr">
        <is>
          <t>No</t>
        </is>
      </c>
      <c r="I260" t="inlineStr">
        <is>
          <t>No</t>
        </is>
      </c>
      <c r="J260" t="inlineStr">
        <is>
          <t>0</t>
        </is>
      </c>
      <c r="K260" t="inlineStr">
        <is>
          <t>Sullivan, Neil F., 1959-</t>
        </is>
      </c>
      <c r="L260" t="inlineStr">
        <is>
          <t>Austin, Tex. : R.G. Landes Co. ; Boca Raton, FL : CRC Press, distributor, c1994.</t>
        </is>
      </c>
      <c r="M260" t="inlineStr">
        <is>
          <t>1994</t>
        </is>
      </c>
      <c r="O260" t="inlineStr">
        <is>
          <t>eng</t>
        </is>
      </c>
      <c r="P260" t="inlineStr">
        <is>
          <t>txu</t>
        </is>
      </c>
      <c r="Q260" t="inlineStr">
        <is>
          <t>Molecular biology intelligence unit</t>
        </is>
      </c>
      <c r="R260" t="inlineStr">
        <is>
          <t xml:space="preserve">RC </t>
        </is>
      </c>
      <c r="S260" t="n">
        <v>10</v>
      </c>
      <c r="T260" t="n">
        <v>10</v>
      </c>
      <c r="U260" t="inlineStr">
        <is>
          <t>2005-09-24</t>
        </is>
      </c>
      <c r="V260" t="inlineStr">
        <is>
          <t>2005-09-24</t>
        </is>
      </c>
      <c r="W260" t="inlineStr">
        <is>
          <t>1995-07-14</t>
        </is>
      </c>
      <c r="X260" t="inlineStr">
        <is>
          <t>1995-07-14</t>
        </is>
      </c>
      <c r="Y260" t="n">
        <v>65</v>
      </c>
      <c r="Z260" t="n">
        <v>56</v>
      </c>
      <c r="AA260" t="n">
        <v>56</v>
      </c>
      <c r="AB260" t="n">
        <v>1</v>
      </c>
      <c r="AC260" t="n">
        <v>1</v>
      </c>
      <c r="AD260" t="n">
        <v>1</v>
      </c>
      <c r="AE260" t="n">
        <v>1</v>
      </c>
      <c r="AF260" t="n">
        <v>0</v>
      </c>
      <c r="AG260" t="n">
        <v>0</v>
      </c>
      <c r="AH260" t="n">
        <v>1</v>
      </c>
      <c r="AI260" t="n">
        <v>1</v>
      </c>
      <c r="AJ260" t="n">
        <v>0</v>
      </c>
      <c r="AK260" t="n">
        <v>0</v>
      </c>
      <c r="AL260" t="n">
        <v>0</v>
      </c>
      <c r="AM260" t="n">
        <v>0</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HYPERLINK("https://creighton-primo.hosted.exlibrisgroup.com/primo-explore/search?tab=default_tab&amp;search_scope=EVERYTHING&amp;vid=01CRU&amp;lang=en_US&amp;offset=0&amp;query=any,contains,991002411599702656","Catalog Record")</f>
        <v/>
      </c>
      <c r="AT260">
        <f>HYPERLINK("http://www.worldcat.org/oclc/31377231","WorldCat Record")</f>
        <v/>
      </c>
      <c r="AU260" t="inlineStr">
        <is>
          <t>33428180:eng</t>
        </is>
      </c>
      <c r="AV260" t="inlineStr">
        <is>
          <t>31377231</t>
        </is>
      </c>
      <c r="AW260" t="inlineStr">
        <is>
          <t>991002411599702656</t>
        </is>
      </c>
      <c r="AX260" t="inlineStr">
        <is>
          <t>991002411599702656</t>
        </is>
      </c>
      <c r="AY260" t="inlineStr">
        <is>
          <t>2256144180002656</t>
        </is>
      </c>
      <c r="AZ260" t="inlineStr">
        <is>
          <t>BOOK</t>
        </is>
      </c>
      <c r="BB260" t="inlineStr">
        <is>
          <t>9781570591938</t>
        </is>
      </c>
      <c r="BC260" t="inlineStr">
        <is>
          <t>32285002054210</t>
        </is>
      </c>
      <c r="BD260" t="inlineStr">
        <is>
          <t>893498082</t>
        </is>
      </c>
    </row>
    <row r="261">
      <c r="A261" t="inlineStr">
        <is>
          <t>No</t>
        </is>
      </c>
      <c r="B261" t="inlineStr">
        <is>
          <t>RC268.6 .C365 1982, v...</t>
        </is>
      </c>
      <c r="C261" t="inlineStr">
        <is>
          <t>0                      RC 0268600C  365         1982                                        v...</t>
        </is>
      </c>
      <c r="D261" t="inlineStr">
        <is>
          <t>Carcinogens and mutagens in the environment / editor, Hans F. Stich.</t>
        </is>
      </c>
      <c r="E261" t="inlineStr">
        <is>
          <t>V.4</t>
        </is>
      </c>
      <c r="F261" t="inlineStr">
        <is>
          <t>Yes</t>
        </is>
      </c>
      <c r="G261" t="inlineStr">
        <is>
          <t>1</t>
        </is>
      </c>
      <c r="H261" t="inlineStr">
        <is>
          <t>No</t>
        </is>
      </c>
      <c r="I261" t="inlineStr">
        <is>
          <t>No</t>
        </is>
      </c>
      <c r="J261" t="inlineStr">
        <is>
          <t>0</t>
        </is>
      </c>
      <c r="L261" t="inlineStr">
        <is>
          <t>Boca Raton, Fla. : CRC Press, c1982-</t>
        </is>
      </c>
      <c r="M261" t="inlineStr">
        <is>
          <t>1982</t>
        </is>
      </c>
      <c r="O261" t="inlineStr">
        <is>
          <t>eng</t>
        </is>
      </c>
      <c r="P261" t="inlineStr">
        <is>
          <t>flu</t>
        </is>
      </c>
      <c r="R261" t="inlineStr">
        <is>
          <t xml:space="preserve">RC </t>
        </is>
      </c>
      <c r="S261" t="n">
        <v>0</v>
      </c>
      <c r="T261" t="n">
        <v>1</v>
      </c>
      <c r="V261" t="inlineStr">
        <is>
          <t>2008-02-10</t>
        </is>
      </c>
      <c r="W261" t="inlineStr">
        <is>
          <t>1993-03-18</t>
        </is>
      </c>
      <c r="X261" t="inlineStr">
        <is>
          <t>1993-03-18</t>
        </is>
      </c>
      <c r="Y261" t="n">
        <v>272</v>
      </c>
      <c r="Z261" t="n">
        <v>195</v>
      </c>
      <c r="AA261" t="n">
        <v>197</v>
      </c>
      <c r="AB261" t="n">
        <v>1</v>
      </c>
      <c r="AC261" t="n">
        <v>1</v>
      </c>
      <c r="AD261" t="n">
        <v>4</v>
      </c>
      <c r="AE261" t="n">
        <v>4</v>
      </c>
      <c r="AF261" t="n">
        <v>1</v>
      </c>
      <c r="AG261" t="n">
        <v>1</v>
      </c>
      <c r="AH261" t="n">
        <v>1</v>
      </c>
      <c r="AI261" t="n">
        <v>1</v>
      </c>
      <c r="AJ261" t="n">
        <v>2</v>
      </c>
      <c r="AK261" t="n">
        <v>2</v>
      </c>
      <c r="AL261" t="n">
        <v>0</v>
      </c>
      <c r="AM261" t="n">
        <v>0</v>
      </c>
      <c r="AN261" t="n">
        <v>0</v>
      </c>
      <c r="AO261" t="n">
        <v>0</v>
      </c>
      <c r="AP261" t="inlineStr">
        <is>
          <t>No</t>
        </is>
      </c>
      <c r="AQ261" t="inlineStr">
        <is>
          <t>Yes</t>
        </is>
      </c>
      <c r="AR261">
        <f>HYPERLINK("http://catalog.hathitrust.org/Record/000149056","HathiTrust Record")</f>
        <v/>
      </c>
      <c r="AS261">
        <f>HYPERLINK("https://creighton-primo.hosted.exlibrisgroup.com/primo-explore/search?tab=default_tab&amp;search_scope=EVERYTHING&amp;vid=01CRU&amp;lang=en_US&amp;offset=0&amp;query=any,contains,991005205139702656","Catalog Record")</f>
        <v/>
      </c>
      <c r="AT261">
        <f>HYPERLINK("http://www.worldcat.org/oclc/8113021","WorldCat Record")</f>
        <v/>
      </c>
      <c r="AU261" t="inlineStr">
        <is>
          <t>2999626790:eng</t>
        </is>
      </c>
      <c r="AV261" t="inlineStr">
        <is>
          <t>8113021</t>
        </is>
      </c>
      <c r="AW261" t="inlineStr">
        <is>
          <t>991005205139702656</t>
        </is>
      </c>
      <c r="AX261" t="inlineStr">
        <is>
          <t>991005205139702656</t>
        </is>
      </c>
      <c r="AY261" t="inlineStr">
        <is>
          <t>2256687560002656</t>
        </is>
      </c>
      <c r="AZ261" t="inlineStr">
        <is>
          <t>BOOK</t>
        </is>
      </c>
      <c r="BB261" t="inlineStr">
        <is>
          <t>9780849358814</t>
        </is>
      </c>
      <c r="BC261" t="inlineStr">
        <is>
          <t>32285001589240</t>
        </is>
      </c>
      <c r="BD261" t="inlineStr">
        <is>
          <t>893810914</t>
        </is>
      </c>
    </row>
    <row r="262">
      <c r="A262" t="inlineStr">
        <is>
          <t>No</t>
        </is>
      </c>
      <c r="B262" t="inlineStr">
        <is>
          <t>RC268.6 .C365 1982, v...</t>
        </is>
      </c>
      <c r="C262" t="inlineStr">
        <is>
          <t>0                      RC 0268600C  365         1982                                        v...</t>
        </is>
      </c>
      <c r="D262" t="inlineStr">
        <is>
          <t>Carcinogens and mutagens in the environment / editor, Hans F. Stich.</t>
        </is>
      </c>
      <c r="E262" t="inlineStr">
        <is>
          <t>V.3</t>
        </is>
      </c>
      <c r="F262" t="inlineStr">
        <is>
          <t>Yes</t>
        </is>
      </c>
      <c r="G262" t="inlineStr">
        <is>
          <t>1</t>
        </is>
      </c>
      <c r="H262" t="inlineStr">
        <is>
          <t>No</t>
        </is>
      </c>
      <c r="I262" t="inlineStr">
        <is>
          <t>No</t>
        </is>
      </c>
      <c r="J262" t="inlineStr">
        <is>
          <t>0</t>
        </is>
      </c>
      <c r="L262" t="inlineStr">
        <is>
          <t>Boca Raton, Fla. : CRC Press, c1982-</t>
        </is>
      </c>
      <c r="M262" t="inlineStr">
        <is>
          <t>1982</t>
        </is>
      </c>
      <c r="O262" t="inlineStr">
        <is>
          <t>eng</t>
        </is>
      </c>
      <c r="P262" t="inlineStr">
        <is>
          <t>flu</t>
        </is>
      </c>
      <c r="R262" t="inlineStr">
        <is>
          <t xml:space="preserve">RC </t>
        </is>
      </c>
      <c r="S262" t="n">
        <v>0</v>
      </c>
      <c r="T262" t="n">
        <v>1</v>
      </c>
      <c r="V262" t="inlineStr">
        <is>
          <t>2008-02-10</t>
        </is>
      </c>
      <c r="W262" t="inlineStr">
        <is>
          <t>1993-03-18</t>
        </is>
      </c>
      <c r="X262" t="inlineStr">
        <is>
          <t>1993-03-18</t>
        </is>
      </c>
      <c r="Y262" t="n">
        <v>272</v>
      </c>
      <c r="Z262" t="n">
        <v>195</v>
      </c>
      <c r="AA262" t="n">
        <v>197</v>
      </c>
      <c r="AB262" t="n">
        <v>1</v>
      </c>
      <c r="AC262" t="n">
        <v>1</v>
      </c>
      <c r="AD262" t="n">
        <v>4</v>
      </c>
      <c r="AE262" t="n">
        <v>4</v>
      </c>
      <c r="AF262" t="n">
        <v>1</v>
      </c>
      <c r="AG262" t="n">
        <v>1</v>
      </c>
      <c r="AH262" t="n">
        <v>1</v>
      </c>
      <c r="AI262" t="n">
        <v>1</v>
      </c>
      <c r="AJ262" t="n">
        <v>2</v>
      </c>
      <c r="AK262" t="n">
        <v>2</v>
      </c>
      <c r="AL262" t="n">
        <v>0</v>
      </c>
      <c r="AM262" t="n">
        <v>0</v>
      </c>
      <c r="AN262" t="n">
        <v>0</v>
      </c>
      <c r="AO262" t="n">
        <v>0</v>
      </c>
      <c r="AP262" t="inlineStr">
        <is>
          <t>No</t>
        </is>
      </c>
      <c r="AQ262" t="inlineStr">
        <is>
          <t>Yes</t>
        </is>
      </c>
      <c r="AR262">
        <f>HYPERLINK("http://catalog.hathitrust.org/Record/000149056","HathiTrust Record")</f>
        <v/>
      </c>
      <c r="AS262">
        <f>HYPERLINK("https://creighton-primo.hosted.exlibrisgroup.com/primo-explore/search?tab=default_tab&amp;search_scope=EVERYTHING&amp;vid=01CRU&amp;lang=en_US&amp;offset=0&amp;query=any,contains,991005205139702656","Catalog Record")</f>
        <v/>
      </c>
      <c r="AT262">
        <f>HYPERLINK("http://www.worldcat.org/oclc/8113021","WorldCat Record")</f>
        <v/>
      </c>
      <c r="AU262" t="inlineStr">
        <is>
          <t>2999626790:eng</t>
        </is>
      </c>
      <c r="AV262" t="inlineStr">
        <is>
          <t>8113021</t>
        </is>
      </c>
      <c r="AW262" t="inlineStr">
        <is>
          <t>991005205139702656</t>
        </is>
      </c>
      <c r="AX262" t="inlineStr">
        <is>
          <t>991005205139702656</t>
        </is>
      </c>
      <c r="AY262" t="inlineStr">
        <is>
          <t>2256687560002656</t>
        </is>
      </c>
      <c r="AZ262" t="inlineStr">
        <is>
          <t>BOOK</t>
        </is>
      </c>
      <c r="BB262" t="inlineStr">
        <is>
          <t>9780849358814</t>
        </is>
      </c>
      <c r="BC262" t="inlineStr">
        <is>
          <t>32285001589232</t>
        </is>
      </c>
      <c r="BD262" t="inlineStr">
        <is>
          <t>893810915</t>
        </is>
      </c>
    </row>
    <row r="263">
      <c r="A263" t="inlineStr">
        <is>
          <t>No</t>
        </is>
      </c>
      <c r="B263" t="inlineStr">
        <is>
          <t>RC268.6 .C365 1982, v...</t>
        </is>
      </c>
      <c r="C263" t="inlineStr">
        <is>
          <t>0                      RC 0268600C  365         1982                                        v...</t>
        </is>
      </c>
      <c r="D263" t="inlineStr">
        <is>
          <t>Carcinogens and mutagens in the environment / editor, Hans F. Stich.</t>
        </is>
      </c>
      <c r="E263" t="inlineStr">
        <is>
          <t>V.2</t>
        </is>
      </c>
      <c r="F263" t="inlineStr">
        <is>
          <t>Yes</t>
        </is>
      </c>
      <c r="G263" t="inlineStr">
        <is>
          <t>1</t>
        </is>
      </c>
      <c r="H263" t="inlineStr">
        <is>
          <t>No</t>
        </is>
      </c>
      <c r="I263" t="inlineStr">
        <is>
          <t>No</t>
        </is>
      </c>
      <c r="J263" t="inlineStr">
        <is>
          <t>0</t>
        </is>
      </c>
      <c r="L263" t="inlineStr">
        <is>
          <t>Boca Raton, Fla. : CRC Press, c1982-</t>
        </is>
      </c>
      <c r="M263" t="inlineStr">
        <is>
          <t>1982</t>
        </is>
      </c>
      <c r="O263" t="inlineStr">
        <is>
          <t>eng</t>
        </is>
      </c>
      <c r="P263" t="inlineStr">
        <is>
          <t>flu</t>
        </is>
      </c>
      <c r="R263" t="inlineStr">
        <is>
          <t xml:space="preserve">RC </t>
        </is>
      </c>
      <c r="S263" t="n">
        <v>0</v>
      </c>
      <c r="T263" t="n">
        <v>1</v>
      </c>
      <c r="V263" t="inlineStr">
        <is>
          <t>2008-02-10</t>
        </is>
      </c>
      <c r="W263" t="inlineStr">
        <is>
          <t>1993-03-18</t>
        </is>
      </c>
      <c r="X263" t="inlineStr">
        <is>
          <t>1993-03-18</t>
        </is>
      </c>
      <c r="Y263" t="n">
        <v>272</v>
      </c>
      <c r="Z263" t="n">
        <v>195</v>
      </c>
      <c r="AA263" t="n">
        <v>197</v>
      </c>
      <c r="AB263" t="n">
        <v>1</v>
      </c>
      <c r="AC263" t="n">
        <v>1</v>
      </c>
      <c r="AD263" t="n">
        <v>4</v>
      </c>
      <c r="AE263" t="n">
        <v>4</v>
      </c>
      <c r="AF263" t="n">
        <v>1</v>
      </c>
      <c r="AG263" t="n">
        <v>1</v>
      </c>
      <c r="AH263" t="n">
        <v>1</v>
      </c>
      <c r="AI263" t="n">
        <v>1</v>
      </c>
      <c r="AJ263" t="n">
        <v>2</v>
      </c>
      <c r="AK263" t="n">
        <v>2</v>
      </c>
      <c r="AL263" t="n">
        <v>0</v>
      </c>
      <c r="AM263" t="n">
        <v>0</v>
      </c>
      <c r="AN263" t="n">
        <v>0</v>
      </c>
      <c r="AO263" t="n">
        <v>0</v>
      </c>
      <c r="AP263" t="inlineStr">
        <is>
          <t>No</t>
        </is>
      </c>
      <c r="AQ263" t="inlineStr">
        <is>
          <t>Yes</t>
        </is>
      </c>
      <c r="AR263">
        <f>HYPERLINK("http://catalog.hathitrust.org/Record/000149056","HathiTrust Record")</f>
        <v/>
      </c>
      <c r="AS263">
        <f>HYPERLINK("https://creighton-primo.hosted.exlibrisgroup.com/primo-explore/search?tab=default_tab&amp;search_scope=EVERYTHING&amp;vid=01CRU&amp;lang=en_US&amp;offset=0&amp;query=any,contains,991005205139702656","Catalog Record")</f>
        <v/>
      </c>
      <c r="AT263">
        <f>HYPERLINK("http://www.worldcat.org/oclc/8113021","WorldCat Record")</f>
        <v/>
      </c>
      <c r="AU263" t="inlineStr">
        <is>
          <t>2999626790:eng</t>
        </is>
      </c>
      <c r="AV263" t="inlineStr">
        <is>
          <t>8113021</t>
        </is>
      </c>
      <c r="AW263" t="inlineStr">
        <is>
          <t>991005205139702656</t>
        </is>
      </c>
      <c r="AX263" t="inlineStr">
        <is>
          <t>991005205139702656</t>
        </is>
      </c>
      <c r="AY263" t="inlineStr">
        <is>
          <t>2256687560002656</t>
        </is>
      </c>
      <c r="AZ263" t="inlineStr">
        <is>
          <t>BOOK</t>
        </is>
      </c>
      <c r="BB263" t="inlineStr">
        <is>
          <t>9780849358814</t>
        </is>
      </c>
      <c r="BC263" t="inlineStr">
        <is>
          <t>32285001589224</t>
        </is>
      </c>
      <c r="BD263" t="inlineStr">
        <is>
          <t>893795778</t>
        </is>
      </c>
    </row>
    <row r="264">
      <c r="A264" t="inlineStr">
        <is>
          <t>No</t>
        </is>
      </c>
      <c r="B264" t="inlineStr">
        <is>
          <t>RC268.6 .C365 1982, v...</t>
        </is>
      </c>
      <c r="C264" t="inlineStr">
        <is>
          <t>0                      RC 0268600C  365         1982                                        v...</t>
        </is>
      </c>
      <c r="D264" t="inlineStr">
        <is>
          <t>Carcinogens and mutagens in the environment / editor, Hans F. Stich.</t>
        </is>
      </c>
      <c r="E264" t="inlineStr">
        <is>
          <t>V.1</t>
        </is>
      </c>
      <c r="F264" t="inlineStr">
        <is>
          <t>Yes</t>
        </is>
      </c>
      <c r="G264" t="inlineStr">
        <is>
          <t>1</t>
        </is>
      </c>
      <c r="H264" t="inlineStr">
        <is>
          <t>No</t>
        </is>
      </c>
      <c r="I264" t="inlineStr">
        <is>
          <t>No</t>
        </is>
      </c>
      <c r="J264" t="inlineStr">
        <is>
          <t>0</t>
        </is>
      </c>
      <c r="L264" t="inlineStr">
        <is>
          <t>Boca Raton, Fla. : CRC Press, c1982-</t>
        </is>
      </c>
      <c r="M264" t="inlineStr">
        <is>
          <t>1982</t>
        </is>
      </c>
      <c r="O264" t="inlineStr">
        <is>
          <t>eng</t>
        </is>
      </c>
      <c r="P264" t="inlineStr">
        <is>
          <t>flu</t>
        </is>
      </c>
      <c r="R264" t="inlineStr">
        <is>
          <t xml:space="preserve">RC </t>
        </is>
      </c>
      <c r="S264" t="n">
        <v>1</v>
      </c>
      <c r="T264" t="n">
        <v>1</v>
      </c>
      <c r="U264" t="inlineStr">
        <is>
          <t>2008-02-10</t>
        </is>
      </c>
      <c r="V264" t="inlineStr">
        <is>
          <t>2008-02-10</t>
        </is>
      </c>
      <c r="W264" t="inlineStr">
        <is>
          <t>1993-03-18</t>
        </is>
      </c>
      <c r="X264" t="inlineStr">
        <is>
          <t>1993-03-18</t>
        </is>
      </c>
      <c r="Y264" t="n">
        <v>272</v>
      </c>
      <c r="Z264" t="n">
        <v>195</v>
      </c>
      <c r="AA264" t="n">
        <v>197</v>
      </c>
      <c r="AB264" t="n">
        <v>1</v>
      </c>
      <c r="AC264" t="n">
        <v>1</v>
      </c>
      <c r="AD264" t="n">
        <v>4</v>
      </c>
      <c r="AE264" t="n">
        <v>4</v>
      </c>
      <c r="AF264" t="n">
        <v>1</v>
      </c>
      <c r="AG264" t="n">
        <v>1</v>
      </c>
      <c r="AH264" t="n">
        <v>1</v>
      </c>
      <c r="AI264" t="n">
        <v>1</v>
      </c>
      <c r="AJ264" t="n">
        <v>2</v>
      </c>
      <c r="AK264" t="n">
        <v>2</v>
      </c>
      <c r="AL264" t="n">
        <v>0</v>
      </c>
      <c r="AM264" t="n">
        <v>0</v>
      </c>
      <c r="AN264" t="n">
        <v>0</v>
      </c>
      <c r="AO264" t="n">
        <v>0</v>
      </c>
      <c r="AP264" t="inlineStr">
        <is>
          <t>No</t>
        </is>
      </c>
      <c r="AQ264" t="inlineStr">
        <is>
          <t>Yes</t>
        </is>
      </c>
      <c r="AR264">
        <f>HYPERLINK("http://catalog.hathitrust.org/Record/000149056","HathiTrust Record")</f>
        <v/>
      </c>
      <c r="AS264">
        <f>HYPERLINK("https://creighton-primo.hosted.exlibrisgroup.com/primo-explore/search?tab=default_tab&amp;search_scope=EVERYTHING&amp;vid=01CRU&amp;lang=en_US&amp;offset=0&amp;query=any,contains,991005205139702656","Catalog Record")</f>
        <v/>
      </c>
      <c r="AT264">
        <f>HYPERLINK("http://www.worldcat.org/oclc/8113021","WorldCat Record")</f>
        <v/>
      </c>
      <c r="AU264" t="inlineStr">
        <is>
          <t>2999626790:eng</t>
        </is>
      </c>
      <c r="AV264" t="inlineStr">
        <is>
          <t>8113021</t>
        </is>
      </c>
      <c r="AW264" t="inlineStr">
        <is>
          <t>991005205139702656</t>
        </is>
      </c>
      <c r="AX264" t="inlineStr">
        <is>
          <t>991005205139702656</t>
        </is>
      </c>
      <c r="AY264" t="inlineStr">
        <is>
          <t>2256687560002656</t>
        </is>
      </c>
      <c r="AZ264" t="inlineStr">
        <is>
          <t>BOOK</t>
        </is>
      </c>
      <c r="BB264" t="inlineStr">
        <is>
          <t>9780849358814</t>
        </is>
      </c>
      <c r="BC264" t="inlineStr">
        <is>
          <t>32285001589216</t>
        </is>
      </c>
      <c r="BD264" t="inlineStr">
        <is>
          <t>893777028</t>
        </is>
      </c>
    </row>
    <row r="265">
      <c r="A265" t="inlineStr">
        <is>
          <t>No</t>
        </is>
      </c>
      <c r="B265" t="inlineStr">
        <is>
          <t>RC268.65 .E59 1987</t>
        </is>
      </c>
      <c r="C265" t="inlineStr">
        <is>
          <t>0                      RC 0268650E  59          1987</t>
        </is>
      </c>
      <c r="D265" t="inlineStr">
        <is>
          <t>Enzyme induction, mutagen activation, and carcinogen testing in yeast / editor, Alan Wiseman.</t>
        </is>
      </c>
      <c r="F265" t="inlineStr">
        <is>
          <t>No</t>
        </is>
      </c>
      <c r="G265" t="inlineStr">
        <is>
          <t>1</t>
        </is>
      </c>
      <c r="H265" t="inlineStr">
        <is>
          <t>No</t>
        </is>
      </c>
      <c r="I265" t="inlineStr">
        <is>
          <t>No</t>
        </is>
      </c>
      <c r="J265" t="inlineStr">
        <is>
          <t>0</t>
        </is>
      </c>
      <c r="L265" t="inlineStr">
        <is>
          <t>Chichester, West Sussex, England : Ellis Horwood ; New York : Halsted Press, 1987.</t>
        </is>
      </c>
      <c r="M265" t="inlineStr">
        <is>
          <t>1987</t>
        </is>
      </c>
      <c r="O265" t="inlineStr">
        <is>
          <t>eng</t>
        </is>
      </c>
      <c r="P265" t="inlineStr">
        <is>
          <t>enk</t>
        </is>
      </c>
      <c r="Q265" t="inlineStr">
        <is>
          <t>Ellis Horwood books in the biological sciences</t>
        </is>
      </c>
      <c r="R265" t="inlineStr">
        <is>
          <t xml:space="preserve">RC </t>
        </is>
      </c>
      <c r="S265" t="n">
        <v>4</v>
      </c>
      <c r="T265" t="n">
        <v>4</v>
      </c>
      <c r="U265" t="inlineStr">
        <is>
          <t>2002-02-04</t>
        </is>
      </c>
      <c r="V265" t="inlineStr">
        <is>
          <t>2002-02-04</t>
        </is>
      </c>
      <c r="W265" t="inlineStr">
        <is>
          <t>1993-03-18</t>
        </is>
      </c>
      <c r="X265" t="inlineStr">
        <is>
          <t>1993-03-18</t>
        </is>
      </c>
      <c r="Y265" t="n">
        <v>159</v>
      </c>
      <c r="Z265" t="n">
        <v>108</v>
      </c>
      <c r="AA265" t="n">
        <v>111</v>
      </c>
      <c r="AB265" t="n">
        <v>1</v>
      </c>
      <c r="AC265" t="n">
        <v>1</v>
      </c>
      <c r="AD265" t="n">
        <v>2</v>
      </c>
      <c r="AE265" t="n">
        <v>2</v>
      </c>
      <c r="AF265" t="n">
        <v>0</v>
      </c>
      <c r="AG265" t="n">
        <v>0</v>
      </c>
      <c r="AH265" t="n">
        <v>2</v>
      </c>
      <c r="AI265" t="n">
        <v>2</v>
      </c>
      <c r="AJ265" t="n">
        <v>1</v>
      </c>
      <c r="AK265" t="n">
        <v>1</v>
      </c>
      <c r="AL265" t="n">
        <v>0</v>
      </c>
      <c r="AM265" t="n">
        <v>0</v>
      </c>
      <c r="AN265" t="n">
        <v>0</v>
      </c>
      <c r="AO265" t="n">
        <v>0</v>
      </c>
      <c r="AP265" t="inlineStr">
        <is>
          <t>No</t>
        </is>
      </c>
      <c r="AQ265" t="inlineStr">
        <is>
          <t>Yes</t>
        </is>
      </c>
      <c r="AR265">
        <f>HYPERLINK("http://catalog.hathitrust.org/Record/000921104","HathiTrust Record")</f>
        <v/>
      </c>
      <c r="AS265">
        <f>HYPERLINK("https://creighton-primo.hosted.exlibrisgroup.com/primo-explore/search?tab=default_tab&amp;search_scope=EVERYTHING&amp;vid=01CRU&amp;lang=en_US&amp;offset=0&amp;query=any,contains,991001031989702656","Catalog Record")</f>
        <v/>
      </c>
      <c r="AT265">
        <f>HYPERLINK("http://www.worldcat.org/oclc/15519395","WorldCat Record")</f>
        <v/>
      </c>
      <c r="AU265" t="inlineStr">
        <is>
          <t>10165499:eng</t>
        </is>
      </c>
      <c r="AV265" t="inlineStr">
        <is>
          <t>15519395</t>
        </is>
      </c>
      <c r="AW265" t="inlineStr">
        <is>
          <t>991001031989702656</t>
        </is>
      </c>
      <c r="AX265" t="inlineStr">
        <is>
          <t>991001031989702656</t>
        </is>
      </c>
      <c r="AY265" t="inlineStr">
        <is>
          <t>2265202040002656</t>
        </is>
      </c>
      <c r="AZ265" t="inlineStr">
        <is>
          <t>BOOK</t>
        </is>
      </c>
      <c r="BB265" t="inlineStr">
        <is>
          <t>9780470208564</t>
        </is>
      </c>
      <c r="BC265" t="inlineStr">
        <is>
          <t>32285001589281</t>
        </is>
      </c>
      <c r="BD265" t="inlineStr">
        <is>
          <t>893772245</t>
        </is>
      </c>
    </row>
    <row r="266">
      <c r="A266" t="inlineStr">
        <is>
          <t>No</t>
        </is>
      </c>
      <c r="B266" t="inlineStr">
        <is>
          <t>RC270 .A78 2001</t>
        </is>
      </c>
      <c r="C266" t="inlineStr">
        <is>
          <t>0                      RC 0270000A  78          2001</t>
        </is>
      </c>
      <c r="D266" t="inlineStr">
        <is>
          <t>Artificial neural networks in cancer diagnosis, prognosis, and patient management / edited by Raouf N.G. Naguib, Gajanan V. Sherbet.</t>
        </is>
      </c>
      <c r="F266" t="inlineStr">
        <is>
          <t>No</t>
        </is>
      </c>
      <c r="G266" t="inlineStr">
        <is>
          <t>1</t>
        </is>
      </c>
      <c r="H266" t="inlineStr">
        <is>
          <t>No</t>
        </is>
      </c>
      <c r="I266" t="inlineStr">
        <is>
          <t>No</t>
        </is>
      </c>
      <c r="J266" t="inlineStr">
        <is>
          <t>0</t>
        </is>
      </c>
      <c r="L266" t="inlineStr">
        <is>
          <t>Boca Raton : CRC Press, 2001.</t>
        </is>
      </c>
      <c r="M266" t="inlineStr">
        <is>
          <t>2001</t>
        </is>
      </c>
      <c r="O266" t="inlineStr">
        <is>
          <t>eng</t>
        </is>
      </c>
      <c r="P266" t="inlineStr">
        <is>
          <t>flu</t>
        </is>
      </c>
      <c r="Q266" t="inlineStr">
        <is>
          <t>Biomedical engineering series</t>
        </is>
      </c>
      <c r="R266" t="inlineStr">
        <is>
          <t xml:space="preserve">RC </t>
        </is>
      </c>
      <c r="S266" t="n">
        <v>1</v>
      </c>
      <c r="T266" t="n">
        <v>1</v>
      </c>
      <c r="U266" t="inlineStr">
        <is>
          <t>2002-04-22</t>
        </is>
      </c>
      <c r="V266" t="inlineStr">
        <is>
          <t>2002-04-22</t>
        </is>
      </c>
      <c r="W266" t="inlineStr">
        <is>
          <t>2002-04-11</t>
        </is>
      </c>
      <c r="X266" t="inlineStr">
        <is>
          <t>2002-04-11</t>
        </is>
      </c>
      <c r="Y266" t="n">
        <v>100</v>
      </c>
      <c r="Z266" t="n">
        <v>56</v>
      </c>
      <c r="AA266" t="n">
        <v>124</v>
      </c>
      <c r="AB266" t="n">
        <v>1</v>
      </c>
      <c r="AC266" t="n">
        <v>1</v>
      </c>
      <c r="AD266" t="n">
        <v>0</v>
      </c>
      <c r="AE266" t="n">
        <v>1</v>
      </c>
      <c r="AF266" t="n">
        <v>0</v>
      </c>
      <c r="AG266" t="n">
        <v>0</v>
      </c>
      <c r="AH266" t="n">
        <v>0</v>
      </c>
      <c r="AI266" t="n">
        <v>0</v>
      </c>
      <c r="AJ266" t="n">
        <v>0</v>
      </c>
      <c r="AK266" t="n">
        <v>1</v>
      </c>
      <c r="AL266" t="n">
        <v>0</v>
      </c>
      <c r="AM266" t="n">
        <v>0</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HYPERLINK("https://creighton-primo.hosted.exlibrisgroup.com/primo-explore/search?tab=default_tab&amp;search_scope=EVERYTHING&amp;vid=01CRU&amp;lang=en_US&amp;offset=0&amp;query=any,contains,991003754439702656","Catalog Record")</f>
        <v/>
      </c>
      <c r="AT266">
        <f>HYPERLINK("http://www.worldcat.org/oclc/46402503","WorldCat Record")</f>
        <v/>
      </c>
      <c r="AU266" t="inlineStr">
        <is>
          <t>766862866:eng</t>
        </is>
      </c>
      <c r="AV266" t="inlineStr">
        <is>
          <t>46402503</t>
        </is>
      </c>
      <c r="AW266" t="inlineStr">
        <is>
          <t>991003754439702656</t>
        </is>
      </c>
      <c r="AX266" t="inlineStr">
        <is>
          <t>991003754439702656</t>
        </is>
      </c>
      <c r="AY266" t="inlineStr">
        <is>
          <t>2263805890002656</t>
        </is>
      </c>
      <c r="AZ266" t="inlineStr">
        <is>
          <t>BOOK</t>
        </is>
      </c>
      <c r="BB266" t="inlineStr">
        <is>
          <t>9780849396922</t>
        </is>
      </c>
      <c r="BC266" t="inlineStr">
        <is>
          <t>32285004479308</t>
        </is>
      </c>
      <c r="BD266" t="inlineStr">
        <is>
          <t>893881503</t>
        </is>
      </c>
    </row>
    <row r="267">
      <c r="A267" t="inlineStr">
        <is>
          <t>No</t>
        </is>
      </c>
      <c r="B267" t="inlineStr">
        <is>
          <t>RC270.8 .F46 1988</t>
        </is>
      </c>
      <c r="C267" t="inlineStr">
        <is>
          <t>0                      RC 0270800F  46          1988</t>
        </is>
      </c>
      <c r="D267" t="inlineStr">
        <is>
          <t>The diffusion of medical innovations : an applied network analysis / Mary L. Fennell and Richard B. Warnecke.</t>
        </is>
      </c>
      <c r="F267" t="inlineStr">
        <is>
          <t>No</t>
        </is>
      </c>
      <c r="G267" t="inlineStr">
        <is>
          <t>1</t>
        </is>
      </c>
      <c r="H267" t="inlineStr">
        <is>
          <t>No</t>
        </is>
      </c>
      <c r="I267" t="inlineStr">
        <is>
          <t>No</t>
        </is>
      </c>
      <c r="J267" t="inlineStr">
        <is>
          <t>0</t>
        </is>
      </c>
      <c r="K267" t="inlineStr">
        <is>
          <t>Fennell, Mary L.</t>
        </is>
      </c>
      <c r="L267" t="inlineStr">
        <is>
          <t>New York : Plenum Press, c1988.</t>
        </is>
      </c>
      <c r="M267" t="inlineStr">
        <is>
          <t>1988</t>
        </is>
      </c>
      <c r="O267" t="inlineStr">
        <is>
          <t>eng</t>
        </is>
      </c>
      <c r="P267" t="inlineStr">
        <is>
          <t>nyu</t>
        </is>
      </c>
      <c r="Q267" t="inlineStr">
        <is>
          <t>Environment, development, and public policy. Public policy and social services</t>
        </is>
      </c>
      <c r="R267" t="inlineStr">
        <is>
          <t xml:space="preserve">RC </t>
        </is>
      </c>
      <c r="S267" t="n">
        <v>3</v>
      </c>
      <c r="T267" t="n">
        <v>3</v>
      </c>
      <c r="U267" t="inlineStr">
        <is>
          <t>2000-02-21</t>
        </is>
      </c>
      <c r="V267" t="inlineStr">
        <is>
          <t>2000-02-21</t>
        </is>
      </c>
      <c r="W267" t="inlineStr">
        <is>
          <t>1992-11-23</t>
        </is>
      </c>
      <c r="X267" t="inlineStr">
        <is>
          <t>1992-11-23</t>
        </is>
      </c>
      <c r="Y267" t="n">
        <v>224</v>
      </c>
      <c r="Z267" t="n">
        <v>164</v>
      </c>
      <c r="AA267" t="n">
        <v>185</v>
      </c>
      <c r="AB267" t="n">
        <v>1</v>
      </c>
      <c r="AC267" t="n">
        <v>1</v>
      </c>
      <c r="AD267" t="n">
        <v>5</v>
      </c>
      <c r="AE267" t="n">
        <v>7</v>
      </c>
      <c r="AF267" t="n">
        <v>1</v>
      </c>
      <c r="AG267" t="n">
        <v>3</v>
      </c>
      <c r="AH267" t="n">
        <v>2</v>
      </c>
      <c r="AI267" t="n">
        <v>2</v>
      </c>
      <c r="AJ267" t="n">
        <v>3</v>
      </c>
      <c r="AK267" t="n">
        <v>4</v>
      </c>
      <c r="AL267" t="n">
        <v>0</v>
      </c>
      <c r="AM267" t="n">
        <v>0</v>
      </c>
      <c r="AN267" t="n">
        <v>0</v>
      </c>
      <c r="AO267" t="n">
        <v>0</v>
      </c>
      <c r="AP267" t="inlineStr">
        <is>
          <t>No</t>
        </is>
      </c>
      <c r="AQ267" t="inlineStr">
        <is>
          <t>Yes</t>
        </is>
      </c>
      <c r="AR267">
        <f>HYPERLINK("http://catalog.hathitrust.org/Record/001071466","HathiTrust Record")</f>
        <v/>
      </c>
      <c r="AS267">
        <f>HYPERLINK("https://creighton-primo.hosted.exlibrisgroup.com/primo-explore/search?tab=default_tab&amp;search_scope=EVERYTHING&amp;vid=01CRU&amp;lang=en_US&amp;offset=0&amp;query=any,contains,991001219179702656","Catalog Record")</f>
        <v/>
      </c>
      <c r="AT267">
        <f>HYPERLINK("http://www.worldcat.org/oclc/17441508","WorldCat Record")</f>
        <v/>
      </c>
      <c r="AU267" t="inlineStr">
        <is>
          <t>16076014:eng</t>
        </is>
      </c>
      <c r="AV267" t="inlineStr">
        <is>
          <t>17441508</t>
        </is>
      </c>
      <c r="AW267" t="inlineStr">
        <is>
          <t>991001219179702656</t>
        </is>
      </c>
      <c r="AX267" t="inlineStr">
        <is>
          <t>991001219179702656</t>
        </is>
      </c>
      <c r="AY267" t="inlineStr">
        <is>
          <t>2260706070002656</t>
        </is>
      </c>
      <c r="AZ267" t="inlineStr">
        <is>
          <t>BOOK</t>
        </is>
      </c>
      <c r="BB267" t="inlineStr">
        <is>
          <t>9780306427527</t>
        </is>
      </c>
      <c r="BC267" t="inlineStr">
        <is>
          <t>32285001408391</t>
        </is>
      </c>
      <c r="BD267" t="inlineStr">
        <is>
          <t>893872381</t>
        </is>
      </c>
    </row>
    <row r="268">
      <c r="A268" t="inlineStr">
        <is>
          <t>No</t>
        </is>
      </c>
      <c r="B268" t="inlineStr">
        <is>
          <t>RC271.I46 E33</t>
        </is>
      </c>
      <c r="C268" t="inlineStr">
        <is>
          <t>0                      RC 0271000I  46                 E  33</t>
        </is>
      </c>
      <c r="D268" t="inlineStr">
        <is>
          <t>Interferon : the new hope for cancer / Mike Edelhart, with Jean Lindenmann.</t>
        </is>
      </c>
      <c r="F268" t="inlineStr">
        <is>
          <t>No</t>
        </is>
      </c>
      <c r="G268" t="inlineStr">
        <is>
          <t>1</t>
        </is>
      </c>
      <c r="H268" t="inlineStr">
        <is>
          <t>Yes</t>
        </is>
      </c>
      <c r="I268" t="inlineStr">
        <is>
          <t>No</t>
        </is>
      </c>
      <c r="J268" t="inlineStr">
        <is>
          <t>0</t>
        </is>
      </c>
      <c r="K268" t="inlineStr">
        <is>
          <t>Edelhart, Mike.</t>
        </is>
      </c>
      <c r="L268" t="inlineStr">
        <is>
          <t>Reading, Mass. : Addison-Wesley Pub. Co., c1981.</t>
        </is>
      </c>
      <c r="M268" t="inlineStr">
        <is>
          <t>1981</t>
        </is>
      </c>
      <c r="O268" t="inlineStr">
        <is>
          <t>eng</t>
        </is>
      </c>
      <c r="P268" t="inlineStr">
        <is>
          <t>mau</t>
        </is>
      </c>
      <c r="R268" t="inlineStr">
        <is>
          <t xml:space="preserve">RC </t>
        </is>
      </c>
      <c r="S268" t="n">
        <v>6</v>
      </c>
      <c r="T268" t="n">
        <v>6</v>
      </c>
      <c r="U268" t="inlineStr">
        <is>
          <t>2004-12-13</t>
        </is>
      </c>
      <c r="V268" t="inlineStr">
        <is>
          <t>2004-12-13</t>
        </is>
      </c>
      <c r="W268" t="inlineStr">
        <is>
          <t>1993-03-18</t>
        </is>
      </c>
      <c r="X268" t="inlineStr">
        <is>
          <t>1993-03-18</t>
        </is>
      </c>
      <c r="Y268" t="n">
        <v>840</v>
      </c>
      <c r="Z268" t="n">
        <v>793</v>
      </c>
      <c r="AA268" t="n">
        <v>809</v>
      </c>
      <c r="AB268" t="n">
        <v>10</v>
      </c>
      <c r="AC268" t="n">
        <v>10</v>
      </c>
      <c r="AD268" t="n">
        <v>21</v>
      </c>
      <c r="AE268" t="n">
        <v>21</v>
      </c>
      <c r="AF268" t="n">
        <v>10</v>
      </c>
      <c r="AG268" t="n">
        <v>10</v>
      </c>
      <c r="AH268" t="n">
        <v>2</v>
      </c>
      <c r="AI268" t="n">
        <v>2</v>
      </c>
      <c r="AJ268" t="n">
        <v>8</v>
      </c>
      <c r="AK268" t="n">
        <v>8</v>
      </c>
      <c r="AL268" t="n">
        <v>5</v>
      </c>
      <c r="AM268" t="n">
        <v>5</v>
      </c>
      <c r="AN268" t="n">
        <v>0</v>
      </c>
      <c r="AO268" t="n">
        <v>0</v>
      </c>
      <c r="AP268" t="inlineStr">
        <is>
          <t>No</t>
        </is>
      </c>
      <c r="AQ268" t="inlineStr">
        <is>
          <t>Yes</t>
        </is>
      </c>
      <c r="AR268">
        <f>HYPERLINK("http://catalog.hathitrust.org/Record/000086919","HathiTrust Record")</f>
        <v/>
      </c>
      <c r="AS268">
        <f>HYPERLINK("https://creighton-primo.hosted.exlibrisgroup.com/primo-explore/search?tab=default_tab&amp;search_scope=EVERYTHING&amp;vid=01CRU&amp;lang=en_US&amp;offset=0&amp;query=any,contains,991005103049702656","Catalog Record")</f>
        <v/>
      </c>
      <c r="AT268">
        <f>HYPERLINK("http://www.worldcat.org/oclc/7307212","WorldCat Record")</f>
        <v/>
      </c>
      <c r="AU268" t="inlineStr">
        <is>
          <t>416863:eng</t>
        </is>
      </c>
      <c r="AV268" t="inlineStr">
        <is>
          <t>7307212</t>
        </is>
      </c>
      <c r="AW268" t="inlineStr">
        <is>
          <t>991005103049702656</t>
        </is>
      </c>
      <c r="AX268" t="inlineStr">
        <is>
          <t>991005103049702656</t>
        </is>
      </c>
      <c r="AY268" t="inlineStr">
        <is>
          <t>2259548530002656</t>
        </is>
      </c>
      <c r="AZ268" t="inlineStr">
        <is>
          <t>BOOK</t>
        </is>
      </c>
      <c r="BB268" t="inlineStr">
        <is>
          <t>9780201039436</t>
        </is>
      </c>
      <c r="BC268" t="inlineStr">
        <is>
          <t>32285001589307</t>
        </is>
      </c>
      <c r="BD268" t="inlineStr">
        <is>
          <t>893437160</t>
        </is>
      </c>
    </row>
    <row r="269">
      <c r="A269" t="inlineStr">
        <is>
          <t>No</t>
        </is>
      </c>
      <c r="B269" t="inlineStr">
        <is>
          <t>RC275 .R37 1978</t>
        </is>
      </c>
      <c r="C269" t="inlineStr">
        <is>
          <t>0                      RC 0275000R  37          1978</t>
        </is>
      </c>
      <c r="D269" t="inlineStr">
        <is>
          <t>The genesis of cancer : a study in the history of ideas / L. J. Rather.</t>
        </is>
      </c>
      <c r="F269" t="inlineStr">
        <is>
          <t>No</t>
        </is>
      </c>
      <c r="G269" t="inlineStr">
        <is>
          <t>1</t>
        </is>
      </c>
      <c r="H269" t="inlineStr">
        <is>
          <t>No</t>
        </is>
      </c>
      <c r="I269" t="inlineStr">
        <is>
          <t>No</t>
        </is>
      </c>
      <c r="J269" t="inlineStr">
        <is>
          <t>0</t>
        </is>
      </c>
      <c r="K269" t="inlineStr">
        <is>
          <t>Rather, L. J.</t>
        </is>
      </c>
      <c r="L269" t="inlineStr">
        <is>
          <t>Baltimore : Johns Hopkins University Press, c1978.</t>
        </is>
      </c>
      <c r="M269" t="inlineStr">
        <is>
          <t>1978</t>
        </is>
      </c>
      <c r="O269" t="inlineStr">
        <is>
          <t>eng</t>
        </is>
      </c>
      <c r="P269" t="inlineStr">
        <is>
          <t>mdu</t>
        </is>
      </c>
      <c r="R269" t="inlineStr">
        <is>
          <t xml:space="preserve">RC </t>
        </is>
      </c>
      <c r="S269" t="n">
        <v>3</v>
      </c>
      <c r="T269" t="n">
        <v>3</v>
      </c>
      <c r="U269" t="inlineStr">
        <is>
          <t>1995-10-09</t>
        </is>
      </c>
      <c r="V269" t="inlineStr">
        <is>
          <t>1995-10-09</t>
        </is>
      </c>
      <c r="W269" t="inlineStr">
        <is>
          <t>1993-03-18</t>
        </is>
      </c>
      <c r="X269" t="inlineStr">
        <is>
          <t>1993-03-18</t>
        </is>
      </c>
      <c r="Y269" t="n">
        <v>475</v>
      </c>
      <c r="Z269" t="n">
        <v>382</v>
      </c>
      <c r="AA269" t="n">
        <v>390</v>
      </c>
      <c r="AB269" t="n">
        <v>3</v>
      </c>
      <c r="AC269" t="n">
        <v>3</v>
      </c>
      <c r="AD269" t="n">
        <v>10</v>
      </c>
      <c r="AE269" t="n">
        <v>10</v>
      </c>
      <c r="AF269" t="n">
        <v>4</v>
      </c>
      <c r="AG269" t="n">
        <v>4</v>
      </c>
      <c r="AH269" t="n">
        <v>2</v>
      </c>
      <c r="AI269" t="n">
        <v>2</v>
      </c>
      <c r="AJ269" t="n">
        <v>5</v>
      </c>
      <c r="AK269" t="n">
        <v>5</v>
      </c>
      <c r="AL269" t="n">
        <v>2</v>
      </c>
      <c r="AM269" t="n">
        <v>2</v>
      </c>
      <c r="AN269" t="n">
        <v>0</v>
      </c>
      <c r="AO269" t="n">
        <v>0</v>
      </c>
      <c r="AP269" t="inlineStr">
        <is>
          <t>No</t>
        </is>
      </c>
      <c r="AQ269" t="inlineStr">
        <is>
          <t>Yes</t>
        </is>
      </c>
      <c r="AR269">
        <f>HYPERLINK("http://catalog.hathitrust.org/Record/000131439","HathiTrust Record")</f>
        <v/>
      </c>
      <c r="AS269">
        <f>HYPERLINK("https://creighton-primo.hosted.exlibrisgroup.com/primo-explore/search?tab=default_tab&amp;search_scope=EVERYTHING&amp;vid=01CRU&amp;lang=en_US&amp;offset=0&amp;query=any,contains,991004498719702656","Catalog Record")</f>
        <v/>
      </c>
      <c r="AT269">
        <f>HYPERLINK("http://www.worldcat.org/oclc/3707901","WorldCat Record")</f>
        <v/>
      </c>
      <c r="AU269" t="inlineStr">
        <is>
          <t>11812014:eng</t>
        </is>
      </c>
      <c r="AV269" t="inlineStr">
        <is>
          <t>3707901</t>
        </is>
      </c>
      <c r="AW269" t="inlineStr">
        <is>
          <t>991004498719702656</t>
        </is>
      </c>
      <c r="AX269" t="inlineStr">
        <is>
          <t>991004498719702656</t>
        </is>
      </c>
      <c r="AY269" t="inlineStr">
        <is>
          <t>2265556960002656</t>
        </is>
      </c>
      <c r="AZ269" t="inlineStr">
        <is>
          <t>BOOK</t>
        </is>
      </c>
      <c r="BB269" t="inlineStr">
        <is>
          <t>9780801821035</t>
        </is>
      </c>
      <c r="BC269" t="inlineStr">
        <is>
          <t>32285001589315</t>
        </is>
      </c>
      <c r="BD269" t="inlineStr">
        <is>
          <t>893624797</t>
        </is>
      </c>
    </row>
    <row r="270">
      <c r="A270" t="inlineStr">
        <is>
          <t>No</t>
        </is>
      </c>
      <c r="B270" t="inlineStr">
        <is>
          <t>RC276 .P76 1995</t>
        </is>
      </c>
      <c r="C270" t="inlineStr">
        <is>
          <t>0                      RC 0276000P  76          1995</t>
        </is>
      </c>
      <c r="D270" t="inlineStr">
        <is>
          <t>Cancer wars : how politics shapes what we know and don't know about cancer / Robert N. Proctor.</t>
        </is>
      </c>
      <c r="F270" t="inlineStr">
        <is>
          <t>No</t>
        </is>
      </c>
      <c r="G270" t="inlineStr">
        <is>
          <t>1</t>
        </is>
      </c>
      <c r="H270" t="inlineStr">
        <is>
          <t>No</t>
        </is>
      </c>
      <c r="I270" t="inlineStr">
        <is>
          <t>No</t>
        </is>
      </c>
      <c r="J270" t="inlineStr">
        <is>
          <t>0</t>
        </is>
      </c>
      <c r="K270" t="inlineStr">
        <is>
          <t>Proctor, Robert, 1954-</t>
        </is>
      </c>
      <c r="L270" t="inlineStr">
        <is>
          <t>New York : BasicBooks, c1995.</t>
        </is>
      </c>
      <c r="M270" t="inlineStr">
        <is>
          <t>1995</t>
        </is>
      </c>
      <c r="O270" t="inlineStr">
        <is>
          <t>eng</t>
        </is>
      </c>
      <c r="P270" t="inlineStr">
        <is>
          <t>nyu</t>
        </is>
      </c>
      <c r="R270" t="inlineStr">
        <is>
          <t xml:space="preserve">RC </t>
        </is>
      </c>
      <c r="S270" t="n">
        <v>3</v>
      </c>
      <c r="T270" t="n">
        <v>3</v>
      </c>
      <c r="U270" t="inlineStr">
        <is>
          <t>1997-10-12</t>
        </is>
      </c>
      <c r="V270" t="inlineStr">
        <is>
          <t>1997-10-12</t>
        </is>
      </c>
      <c r="W270" t="inlineStr">
        <is>
          <t>1995-10-11</t>
        </is>
      </c>
      <c r="X270" t="inlineStr">
        <is>
          <t>1995-10-11</t>
        </is>
      </c>
      <c r="Y270" t="n">
        <v>825</v>
      </c>
      <c r="Z270" t="n">
        <v>735</v>
      </c>
      <c r="AA270" t="n">
        <v>740</v>
      </c>
      <c r="AB270" t="n">
        <v>3</v>
      </c>
      <c r="AC270" t="n">
        <v>3</v>
      </c>
      <c r="AD270" t="n">
        <v>29</v>
      </c>
      <c r="AE270" t="n">
        <v>29</v>
      </c>
      <c r="AF270" t="n">
        <v>11</v>
      </c>
      <c r="AG270" t="n">
        <v>11</v>
      </c>
      <c r="AH270" t="n">
        <v>6</v>
      </c>
      <c r="AI270" t="n">
        <v>6</v>
      </c>
      <c r="AJ270" t="n">
        <v>14</v>
      </c>
      <c r="AK270" t="n">
        <v>14</v>
      </c>
      <c r="AL270" t="n">
        <v>2</v>
      </c>
      <c r="AM270" t="n">
        <v>2</v>
      </c>
      <c r="AN270" t="n">
        <v>1</v>
      </c>
      <c r="AO270" t="n">
        <v>1</v>
      </c>
      <c r="AP270" t="inlineStr">
        <is>
          <t>No</t>
        </is>
      </c>
      <c r="AQ270" t="inlineStr">
        <is>
          <t>No</t>
        </is>
      </c>
      <c r="AS270">
        <f>HYPERLINK("https://creighton-primo.hosted.exlibrisgroup.com/primo-explore/search?tab=default_tab&amp;search_scope=EVERYTHING&amp;vid=01CRU&amp;lang=en_US&amp;offset=0&amp;query=any,contains,991002405759702656","Catalog Record")</f>
        <v/>
      </c>
      <c r="AT270">
        <f>HYPERLINK("http://www.worldcat.org/oclc/31291134","WorldCat Record")</f>
        <v/>
      </c>
      <c r="AU270" t="inlineStr">
        <is>
          <t>892601978:eng</t>
        </is>
      </c>
      <c r="AV270" t="inlineStr">
        <is>
          <t>31291134</t>
        </is>
      </c>
      <c r="AW270" t="inlineStr">
        <is>
          <t>991002405759702656</t>
        </is>
      </c>
      <c r="AX270" t="inlineStr">
        <is>
          <t>991002405759702656</t>
        </is>
      </c>
      <c r="AY270" t="inlineStr">
        <is>
          <t>2265947860002656</t>
        </is>
      </c>
      <c r="AZ270" t="inlineStr">
        <is>
          <t>BOOK</t>
        </is>
      </c>
      <c r="BB270" t="inlineStr">
        <is>
          <t>9780465027569</t>
        </is>
      </c>
      <c r="BC270" t="inlineStr">
        <is>
          <t>32285001415818</t>
        </is>
      </c>
      <c r="BD270" t="inlineStr">
        <is>
          <t>893498074</t>
        </is>
      </c>
    </row>
    <row r="271">
      <c r="A271" t="inlineStr">
        <is>
          <t>No</t>
        </is>
      </c>
      <c r="B271" t="inlineStr">
        <is>
          <t>RC279.6.L47 A3 1990</t>
        </is>
      </c>
      <c r="C271" t="inlineStr">
        <is>
          <t>0                      RC 0279600L  47                 A  3           1990</t>
        </is>
      </c>
      <c r="D271" t="inlineStr">
        <is>
          <t>Wrestling with the angel : a memoir of my triumph over illness / Max Lerner.</t>
        </is>
      </c>
      <c r="F271" t="inlineStr">
        <is>
          <t>No</t>
        </is>
      </c>
      <c r="G271" t="inlineStr">
        <is>
          <t>1</t>
        </is>
      </c>
      <c r="H271" t="inlineStr">
        <is>
          <t>No</t>
        </is>
      </c>
      <c r="I271" t="inlineStr">
        <is>
          <t>No</t>
        </is>
      </c>
      <c r="J271" t="inlineStr">
        <is>
          <t>0</t>
        </is>
      </c>
      <c r="K271" t="inlineStr">
        <is>
          <t>Lerner, Max, 1902-1992.</t>
        </is>
      </c>
      <c r="L271" t="inlineStr">
        <is>
          <t>New York : Norton, 1990.</t>
        </is>
      </c>
      <c r="M271" t="inlineStr">
        <is>
          <t>1990</t>
        </is>
      </c>
      <c r="N271" t="inlineStr">
        <is>
          <t>1st ed.</t>
        </is>
      </c>
      <c r="O271" t="inlineStr">
        <is>
          <t>eng</t>
        </is>
      </c>
      <c r="P271" t="inlineStr">
        <is>
          <t>nyu</t>
        </is>
      </c>
      <c r="R271" t="inlineStr">
        <is>
          <t xml:space="preserve">RC </t>
        </is>
      </c>
      <c r="S271" t="n">
        <v>3</v>
      </c>
      <c r="T271" t="n">
        <v>3</v>
      </c>
      <c r="U271" t="inlineStr">
        <is>
          <t>2000-04-18</t>
        </is>
      </c>
      <c r="V271" t="inlineStr">
        <is>
          <t>2000-04-18</t>
        </is>
      </c>
      <c r="W271" t="inlineStr">
        <is>
          <t>1990-07-05</t>
        </is>
      </c>
      <c r="X271" t="inlineStr">
        <is>
          <t>1990-07-05</t>
        </is>
      </c>
      <c r="Y271" t="n">
        <v>330</v>
      </c>
      <c r="Z271" t="n">
        <v>313</v>
      </c>
      <c r="AA271" t="n">
        <v>342</v>
      </c>
      <c r="AB271" t="n">
        <v>1</v>
      </c>
      <c r="AC271" t="n">
        <v>1</v>
      </c>
      <c r="AD271" t="n">
        <v>7</v>
      </c>
      <c r="AE271" t="n">
        <v>7</v>
      </c>
      <c r="AF271" t="n">
        <v>3</v>
      </c>
      <c r="AG271" t="n">
        <v>3</v>
      </c>
      <c r="AH271" t="n">
        <v>1</v>
      </c>
      <c r="AI271" t="n">
        <v>1</v>
      </c>
      <c r="AJ271" t="n">
        <v>4</v>
      </c>
      <c r="AK271" t="n">
        <v>4</v>
      </c>
      <c r="AL271" t="n">
        <v>0</v>
      </c>
      <c r="AM271" t="n">
        <v>0</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HYPERLINK("https://creighton-primo.hosted.exlibrisgroup.com/primo-explore/search?tab=default_tab&amp;search_scope=EVERYTHING&amp;vid=01CRU&amp;lang=en_US&amp;offset=0&amp;query=any,contains,991001600579702656","Catalog Record")</f>
        <v/>
      </c>
      <c r="AT271">
        <f>HYPERLINK("http://www.worldcat.org/oclc/20670310","WorldCat Record")</f>
        <v/>
      </c>
      <c r="AU271" t="inlineStr">
        <is>
          <t>196651628:eng</t>
        </is>
      </c>
      <c r="AV271" t="inlineStr">
        <is>
          <t>20670310</t>
        </is>
      </c>
      <c r="AW271" t="inlineStr">
        <is>
          <t>991001600579702656</t>
        </is>
      </c>
      <c r="AX271" t="inlineStr">
        <is>
          <t>991001600579702656</t>
        </is>
      </c>
      <c r="AY271" t="inlineStr">
        <is>
          <t>2261754750002656</t>
        </is>
      </c>
      <c r="AZ271" t="inlineStr">
        <is>
          <t>BOOK</t>
        </is>
      </c>
      <c r="BB271" t="inlineStr">
        <is>
          <t>9780393028461</t>
        </is>
      </c>
      <c r="BC271" t="inlineStr">
        <is>
          <t>32285000207620</t>
        </is>
      </c>
      <c r="BD271" t="inlineStr">
        <is>
          <t>893346620</t>
        </is>
      </c>
    </row>
    <row r="272">
      <c r="A272" t="inlineStr">
        <is>
          <t>No</t>
        </is>
      </c>
      <c r="B272" t="inlineStr">
        <is>
          <t>RC280.B8 H36 1996</t>
        </is>
      </c>
      <c r="C272" t="inlineStr">
        <is>
          <t>0                      RC 0280000B  8                  H  36          1996</t>
        </is>
      </c>
      <c r="D272" t="inlineStr">
        <is>
          <t>The politics of breast cancer screening / Alison Hann.</t>
        </is>
      </c>
      <c r="F272" t="inlineStr">
        <is>
          <t>No</t>
        </is>
      </c>
      <c r="G272" t="inlineStr">
        <is>
          <t>1</t>
        </is>
      </c>
      <c r="H272" t="inlineStr">
        <is>
          <t>No</t>
        </is>
      </c>
      <c r="I272" t="inlineStr">
        <is>
          <t>No</t>
        </is>
      </c>
      <c r="J272" t="inlineStr">
        <is>
          <t>0</t>
        </is>
      </c>
      <c r="K272" t="inlineStr">
        <is>
          <t>Hann, Alison.</t>
        </is>
      </c>
      <c r="L272" t="inlineStr">
        <is>
          <t>Aldershot, Hants, England ; Brookfield, Vt. : Avebury, c1996.</t>
        </is>
      </c>
      <c r="M272" t="inlineStr">
        <is>
          <t>1996</t>
        </is>
      </c>
      <c r="O272" t="inlineStr">
        <is>
          <t>eng</t>
        </is>
      </c>
      <c r="P272" t="inlineStr">
        <is>
          <t>enk</t>
        </is>
      </c>
      <c r="R272" t="inlineStr">
        <is>
          <t xml:space="preserve">RC </t>
        </is>
      </c>
      <c r="S272" t="n">
        <v>2</v>
      </c>
      <c r="T272" t="n">
        <v>2</v>
      </c>
      <c r="U272" t="inlineStr">
        <is>
          <t>2001-03-14</t>
        </is>
      </c>
      <c r="V272" t="inlineStr">
        <is>
          <t>2001-03-14</t>
        </is>
      </c>
      <c r="W272" t="inlineStr">
        <is>
          <t>2000-01-12</t>
        </is>
      </c>
      <c r="X272" t="inlineStr">
        <is>
          <t>2000-01-12</t>
        </is>
      </c>
      <c r="Y272" t="n">
        <v>72</v>
      </c>
      <c r="Z272" t="n">
        <v>40</v>
      </c>
      <c r="AA272" t="n">
        <v>41</v>
      </c>
      <c r="AB272" t="n">
        <v>1</v>
      </c>
      <c r="AC272" t="n">
        <v>1</v>
      </c>
      <c r="AD272" t="n">
        <v>1</v>
      </c>
      <c r="AE272" t="n">
        <v>1</v>
      </c>
      <c r="AF272" t="n">
        <v>0</v>
      </c>
      <c r="AG272" t="n">
        <v>0</v>
      </c>
      <c r="AH272" t="n">
        <v>1</v>
      </c>
      <c r="AI272" t="n">
        <v>1</v>
      </c>
      <c r="AJ272" t="n">
        <v>0</v>
      </c>
      <c r="AK272" t="n">
        <v>0</v>
      </c>
      <c r="AL272" t="n">
        <v>0</v>
      </c>
      <c r="AM272" t="n">
        <v>0</v>
      </c>
      <c r="AN272" t="n">
        <v>0</v>
      </c>
      <c r="AO272" t="n">
        <v>0</v>
      </c>
      <c r="AP272" t="inlineStr">
        <is>
          <t>No</t>
        </is>
      </c>
      <c r="AQ272" t="inlineStr">
        <is>
          <t>Yes</t>
        </is>
      </c>
      <c r="AR272">
        <f>HYPERLINK("http://catalog.hathitrust.org/Record/003083562","HathiTrust Record")</f>
        <v/>
      </c>
      <c r="AS272">
        <f>HYPERLINK("https://creighton-primo.hosted.exlibrisgroup.com/primo-explore/search?tab=default_tab&amp;search_scope=EVERYTHING&amp;vid=01CRU&amp;lang=en_US&amp;offset=0&amp;query=any,contains,991002669789702656","Catalog Record")</f>
        <v/>
      </c>
      <c r="AT272">
        <f>HYPERLINK("http://www.worldcat.org/oclc/34918003","WorldCat Record")</f>
        <v/>
      </c>
      <c r="AU272" t="inlineStr">
        <is>
          <t>39934528:eng</t>
        </is>
      </c>
      <c r="AV272" t="inlineStr">
        <is>
          <t>34918003</t>
        </is>
      </c>
      <c r="AW272" t="inlineStr">
        <is>
          <t>991002669789702656</t>
        </is>
      </c>
      <c r="AX272" t="inlineStr">
        <is>
          <t>991002669789702656</t>
        </is>
      </c>
      <c r="AY272" t="inlineStr">
        <is>
          <t>2260260290002656</t>
        </is>
      </c>
      <c r="AZ272" t="inlineStr">
        <is>
          <t>BOOK</t>
        </is>
      </c>
      <c r="BB272" t="inlineStr">
        <is>
          <t>9781859723234</t>
        </is>
      </c>
      <c r="BC272" t="inlineStr">
        <is>
          <t>32285003640827</t>
        </is>
      </c>
      <c r="BD272" t="inlineStr">
        <is>
          <t>893721563</t>
        </is>
      </c>
    </row>
    <row r="273">
      <c r="A273" t="inlineStr">
        <is>
          <t>No</t>
        </is>
      </c>
      <c r="B273" t="inlineStr">
        <is>
          <t>RC280.B8 H65</t>
        </is>
      </c>
      <c r="C273" t="inlineStr">
        <is>
          <t>0                      RC 0280000B  8                  H  65</t>
        </is>
      </c>
      <c r="D273" t="inlineStr">
        <is>
          <t>Hormones and breast cancer / edited by Malcolm C. Pike, Pentti K. Siiteri, Clifford W. Welsh.</t>
        </is>
      </c>
      <c r="F273" t="inlineStr">
        <is>
          <t>No</t>
        </is>
      </c>
      <c r="G273" t="inlineStr">
        <is>
          <t>1</t>
        </is>
      </c>
      <c r="H273" t="inlineStr">
        <is>
          <t>No</t>
        </is>
      </c>
      <c r="I273" t="inlineStr">
        <is>
          <t>No</t>
        </is>
      </c>
      <c r="J273" t="inlineStr">
        <is>
          <t>0</t>
        </is>
      </c>
      <c r="L273" t="inlineStr">
        <is>
          <t>Cold Spring Harbor, N.Y. : Cold Spring Harbor Laboratory, 1981.</t>
        </is>
      </c>
      <c r="M273" t="inlineStr">
        <is>
          <t>1981</t>
        </is>
      </c>
      <c r="O273" t="inlineStr">
        <is>
          <t>eng</t>
        </is>
      </c>
      <c r="P273" t="inlineStr">
        <is>
          <t>nyu</t>
        </is>
      </c>
      <c r="Q273" t="inlineStr">
        <is>
          <t>Banbury report ; 8</t>
        </is>
      </c>
      <c r="R273" t="inlineStr">
        <is>
          <t xml:space="preserve">RC </t>
        </is>
      </c>
      <c r="S273" t="n">
        <v>11</v>
      </c>
      <c r="T273" t="n">
        <v>11</v>
      </c>
      <c r="U273" t="inlineStr">
        <is>
          <t>2001-03-14</t>
        </is>
      </c>
      <c r="V273" t="inlineStr">
        <is>
          <t>2001-03-14</t>
        </is>
      </c>
      <c r="W273" t="inlineStr">
        <is>
          <t>1990-02-28</t>
        </is>
      </c>
      <c r="X273" t="inlineStr">
        <is>
          <t>1990-02-28</t>
        </is>
      </c>
      <c r="Y273" t="n">
        <v>165</v>
      </c>
      <c r="Z273" t="n">
        <v>124</v>
      </c>
      <c r="AA273" t="n">
        <v>126</v>
      </c>
      <c r="AB273" t="n">
        <v>2</v>
      </c>
      <c r="AC273" t="n">
        <v>2</v>
      </c>
      <c r="AD273" t="n">
        <v>3</v>
      </c>
      <c r="AE273" t="n">
        <v>3</v>
      </c>
      <c r="AF273" t="n">
        <v>1</v>
      </c>
      <c r="AG273" t="n">
        <v>1</v>
      </c>
      <c r="AH273" t="n">
        <v>1</v>
      </c>
      <c r="AI273" t="n">
        <v>1</v>
      </c>
      <c r="AJ273" t="n">
        <v>1</v>
      </c>
      <c r="AK273" t="n">
        <v>1</v>
      </c>
      <c r="AL273" t="n">
        <v>1</v>
      </c>
      <c r="AM273" t="n">
        <v>1</v>
      </c>
      <c r="AN273" t="n">
        <v>0</v>
      </c>
      <c r="AO273" t="n">
        <v>0</v>
      </c>
      <c r="AP273" t="inlineStr">
        <is>
          <t>No</t>
        </is>
      </c>
      <c r="AQ273" t="inlineStr">
        <is>
          <t>Yes</t>
        </is>
      </c>
      <c r="AR273">
        <f>HYPERLINK("http://catalog.hathitrust.org/Record/000785088","HathiTrust Record")</f>
        <v/>
      </c>
      <c r="AS273">
        <f>HYPERLINK("https://creighton-primo.hosted.exlibrisgroup.com/primo-explore/search?tab=default_tab&amp;search_scope=EVERYTHING&amp;vid=01CRU&amp;lang=en_US&amp;offset=0&amp;query=any,contains,991005081029702656","Catalog Record")</f>
        <v/>
      </c>
      <c r="AT273">
        <f>HYPERLINK("http://www.worldcat.org/oclc/7172003","WorldCat Record")</f>
        <v/>
      </c>
      <c r="AU273" t="inlineStr">
        <is>
          <t>427134969:eng</t>
        </is>
      </c>
      <c r="AV273" t="inlineStr">
        <is>
          <t>7172003</t>
        </is>
      </c>
      <c r="AW273" t="inlineStr">
        <is>
          <t>991005081029702656</t>
        </is>
      </c>
      <c r="AX273" t="inlineStr">
        <is>
          <t>991005081029702656</t>
        </is>
      </c>
      <c r="AY273" t="inlineStr">
        <is>
          <t>2255698500002656</t>
        </is>
      </c>
      <c r="AZ273" t="inlineStr">
        <is>
          <t>BOOK</t>
        </is>
      </c>
      <c r="BB273" t="inlineStr">
        <is>
          <t>9780879692070</t>
        </is>
      </c>
      <c r="BC273" t="inlineStr">
        <is>
          <t>32285000072396</t>
        </is>
      </c>
      <c r="BD273" t="inlineStr">
        <is>
          <t>893424513</t>
        </is>
      </c>
    </row>
    <row r="274">
      <c r="A274" t="inlineStr">
        <is>
          <t>No</t>
        </is>
      </c>
      <c r="B274" t="inlineStr">
        <is>
          <t>RC280.B8 K33 2000</t>
        </is>
      </c>
      <c r="C274" t="inlineStr">
        <is>
          <t>0                      RC 0280000B  8                  K  33          2000</t>
        </is>
      </c>
      <c r="D274" t="inlineStr">
        <is>
          <t>Breast cancer : its link to abortion and the birth control pill / Chris Kahlenborn.</t>
        </is>
      </c>
      <c r="F274" t="inlineStr">
        <is>
          <t>No</t>
        </is>
      </c>
      <c r="G274" t="inlineStr">
        <is>
          <t>1</t>
        </is>
      </c>
      <c r="H274" t="inlineStr">
        <is>
          <t>No</t>
        </is>
      </c>
      <c r="I274" t="inlineStr">
        <is>
          <t>No</t>
        </is>
      </c>
      <c r="J274" t="inlineStr">
        <is>
          <t>0</t>
        </is>
      </c>
      <c r="K274" t="inlineStr">
        <is>
          <t>Kahlenborn, Chris.</t>
        </is>
      </c>
      <c r="L274" t="inlineStr">
        <is>
          <t>Dayton, Ohio : One More Soul, c2000.</t>
        </is>
      </c>
      <c r="M274" t="inlineStr">
        <is>
          <t>2000</t>
        </is>
      </c>
      <c r="O274" t="inlineStr">
        <is>
          <t>eng</t>
        </is>
      </c>
      <c r="P274" t="inlineStr">
        <is>
          <t>ohu</t>
        </is>
      </c>
      <c r="R274" t="inlineStr">
        <is>
          <t xml:space="preserve">RC </t>
        </is>
      </c>
      <c r="S274" t="n">
        <v>2</v>
      </c>
      <c r="T274" t="n">
        <v>2</v>
      </c>
      <c r="U274" t="inlineStr">
        <is>
          <t>2007-09-18</t>
        </is>
      </c>
      <c r="V274" t="inlineStr">
        <is>
          <t>2007-09-18</t>
        </is>
      </c>
      <c r="W274" t="inlineStr">
        <is>
          <t>2002-08-13</t>
        </is>
      </c>
      <c r="X274" t="inlineStr">
        <is>
          <t>2002-08-13</t>
        </is>
      </c>
      <c r="Y274" t="n">
        <v>48</v>
      </c>
      <c r="Z274" t="n">
        <v>44</v>
      </c>
      <c r="AA274" t="n">
        <v>46</v>
      </c>
      <c r="AB274" t="n">
        <v>2</v>
      </c>
      <c r="AC274" t="n">
        <v>2</v>
      </c>
      <c r="AD274" t="n">
        <v>3</v>
      </c>
      <c r="AE274" t="n">
        <v>3</v>
      </c>
      <c r="AF274" t="n">
        <v>0</v>
      </c>
      <c r="AG274" t="n">
        <v>0</v>
      </c>
      <c r="AH274" t="n">
        <v>1</v>
      </c>
      <c r="AI274" t="n">
        <v>1</v>
      </c>
      <c r="AJ274" t="n">
        <v>2</v>
      </c>
      <c r="AK274" t="n">
        <v>2</v>
      </c>
      <c r="AL274" t="n">
        <v>1</v>
      </c>
      <c r="AM274" t="n">
        <v>1</v>
      </c>
      <c r="AN274" t="n">
        <v>0</v>
      </c>
      <c r="AO274" t="n">
        <v>0</v>
      </c>
      <c r="AP274" t="inlineStr">
        <is>
          <t>No</t>
        </is>
      </c>
      <c r="AQ274" t="inlineStr">
        <is>
          <t>Yes</t>
        </is>
      </c>
      <c r="AR274">
        <f>HYPERLINK("http://catalog.hathitrust.org/Record/004286799","HathiTrust Record")</f>
        <v/>
      </c>
      <c r="AS274">
        <f>HYPERLINK("https://creighton-primo.hosted.exlibrisgroup.com/primo-explore/search?tab=default_tab&amp;search_scope=EVERYTHING&amp;vid=01CRU&amp;lang=en_US&amp;offset=0&amp;query=any,contains,991003856569702656","Catalog Record")</f>
        <v/>
      </c>
      <c r="AT274">
        <f>HYPERLINK("http://www.worldcat.org/oclc/45964938","WorldCat Record")</f>
        <v/>
      </c>
      <c r="AU274" t="inlineStr">
        <is>
          <t>1083527:eng</t>
        </is>
      </c>
      <c r="AV274" t="inlineStr">
        <is>
          <t>45964938</t>
        </is>
      </c>
      <c r="AW274" t="inlineStr">
        <is>
          <t>991003856569702656</t>
        </is>
      </c>
      <c r="AX274" t="inlineStr">
        <is>
          <t>991003856569702656</t>
        </is>
      </c>
      <c r="AY274" t="inlineStr">
        <is>
          <t>2258732220002656</t>
        </is>
      </c>
      <c r="AZ274" t="inlineStr">
        <is>
          <t>BOOK</t>
        </is>
      </c>
      <c r="BB274" t="inlineStr">
        <is>
          <t>9780966977738</t>
        </is>
      </c>
      <c r="BC274" t="inlineStr">
        <is>
          <t>32285004642848</t>
        </is>
      </c>
      <c r="BD274" t="inlineStr">
        <is>
          <t>893806313</t>
        </is>
      </c>
    </row>
    <row r="275">
      <c r="A275" t="inlineStr">
        <is>
          <t>No</t>
        </is>
      </c>
      <c r="B275" t="inlineStr">
        <is>
          <t>RC280.B8 L37 1999</t>
        </is>
      </c>
      <c r="C275" t="inlineStr">
        <is>
          <t>0                      RC 0280000B  8                  L  37          1999</t>
        </is>
      </c>
      <c r="D275" t="inlineStr">
        <is>
          <t>A darker ribbon : breast cancer, women, and their doctors in the twentieth century / Ellen Leopold.</t>
        </is>
      </c>
      <c r="F275" t="inlineStr">
        <is>
          <t>No</t>
        </is>
      </c>
      <c r="G275" t="inlineStr">
        <is>
          <t>1</t>
        </is>
      </c>
      <c r="H275" t="inlineStr">
        <is>
          <t>No</t>
        </is>
      </c>
      <c r="I275" t="inlineStr">
        <is>
          <t>No</t>
        </is>
      </c>
      <c r="J275" t="inlineStr">
        <is>
          <t>0</t>
        </is>
      </c>
      <c r="K275" t="inlineStr">
        <is>
          <t>Leopold, Ellen, 1944-</t>
        </is>
      </c>
      <c r="L275" t="inlineStr">
        <is>
          <t>Boston, Mass. : Beacon Press, c1999.</t>
        </is>
      </c>
      <c r="M275" t="inlineStr">
        <is>
          <t>1999</t>
        </is>
      </c>
      <c r="O275" t="inlineStr">
        <is>
          <t>eng</t>
        </is>
      </c>
      <c r="P275" t="inlineStr">
        <is>
          <t>mau</t>
        </is>
      </c>
      <c r="R275" t="inlineStr">
        <is>
          <t xml:space="preserve">RC </t>
        </is>
      </c>
      <c r="S275" t="n">
        <v>2</v>
      </c>
      <c r="T275" t="n">
        <v>2</v>
      </c>
      <c r="U275" t="inlineStr">
        <is>
          <t>2007-09-18</t>
        </is>
      </c>
      <c r="V275" t="inlineStr">
        <is>
          <t>2007-09-18</t>
        </is>
      </c>
      <c r="W275" t="inlineStr">
        <is>
          <t>2000-07-19</t>
        </is>
      </c>
      <c r="X275" t="inlineStr">
        <is>
          <t>2000-07-19</t>
        </is>
      </c>
      <c r="Y275" t="n">
        <v>624</v>
      </c>
      <c r="Z275" t="n">
        <v>569</v>
      </c>
      <c r="AA275" t="n">
        <v>1411</v>
      </c>
      <c r="AB275" t="n">
        <v>3</v>
      </c>
      <c r="AC275" t="n">
        <v>19</v>
      </c>
      <c r="AD275" t="n">
        <v>22</v>
      </c>
      <c r="AE275" t="n">
        <v>41</v>
      </c>
      <c r="AF275" t="n">
        <v>7</v>
      </c>
      <c r="AG275" t="n">
        <v>14</v>
      </c>
      <c r="AH275" t="n">
        <v>6</v>
      </c>
      <c r="AI275" t="n">
        <v>8</v>
      </c>
      <c r="AJ275" t="n">
        <v>13</v>
      </c>
      <c r="AK275" t="n">
        <v>16</v>
      </c>
      <c r="AL275" t="n">
        <v>2</v>
      </c>
      <c r="AM275" t="n">
        <v>11</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HYPERLINK("https://creighton-primo.hosted.exlibrisgroup.com/primo-explore/search?tab=default_tab&amp;search_scope=EVERYTHING&amp;vid=01CRU&amp;lang=en_US&amp;offset=0&amp;query=any,contains,991003207029702656","Catalog Record")</f>
        <v/>
      </c>
      <c r="AT275">
        <f>HYPERLINK("http://www.worldcat.org/oclc/41278406","WorldCat Record")</f>
        <v/>
      </c>
      <c r="AU275" t="inlineStr">
        <is>
          <t>1004827:eng</t>
        </is>
      </c>
      <c r="AV275" t="inlineStr">
        <is>
          <t>41278406</t>
        </is>
      </c>
      <c r="AW275" t="inlineStr">
        <is>
          <t>991003207029702656</t>
        </is>
      </c>
      <c r="AX275" t="inlineStr">
        <is>
          <t>991003207029702656</t>
        </is>
      </c>
      <c r="AY275" t="inlineStr">
        <is>
          <t>2267561510002656</t>
        </is>
      </c>
      <c r="AZ275" t="inlineStr">
        <is>
          <t>BOOK</t>
        </is>
      </c>
      <c r="BB275" t="inlineStr">
        <is>
          <t>9780807065129</t>
        </is>
      </c>
      <c r="BC275" t="inlineStr">
        <is>
          <t>32285003740791</t>
        </is>
      </c>
      <c r="BD275" t="inlineStr">
        <is>
          <t>893686297</t>
        </is>
      </c>
    </row>
    <row r="276">
      <c r="A276" t="inlineStr">
        <is>
          <t>No</t>
        </is>
      </c>
      <c r="B276" t="inlineStr">
        <is>
          <t>RC280.B8 P66 2010</t>
        </is>
      </c>
      <c r="C276" t="inlineStr">
        <is>
          <t>0                      RC 0280000B  8                  P  66          2010</t>
        </is>
      </c>
      <c r="D276" t="inlineStr">
        <is>
          <t>Previvors : facing the breast cancer gene and making life-changing decisions / Dina Roth Port ; [foreword by Ken Offit].</t>
        </is>
      </c>
      <c r="F276" t="inlineStr">
        <is>
          <t>No</t>
        </is>
      </c>
      <c r="G276" t="inlineStr">
        <is>
          <t>1</t>
        </is>
      </c>
      <c r="H276" t="inlineStr">
        <is>
          <t>No</t>
        </is>
      </c>
      <c r="I276" t="inlineStr">
        <is>
          <t>No</t>
        </is>
      </c>
      <c r="J276" t="inlineStr">
        <is>
          <t>0</t>
        </is>
      </c>
      <c r="K276" t="inlineStr">
        <is>
          <t>Port, Dina Roth.</t>
        </is>
      </c>
      <c r="L276" t="inlineStr">
        <is>
          <t>New York : Avery, c2010.</t>
        </is>
      </c>
      <c r="M276" t="inlineStr">
        <is>
          <t>2010</t>
        </is>
      </c>
      <c r="O276" t="inlineStr">
        <is>
          <t>eng</t>
        </is>
      </c>
      <c r="P276" t="inlineStr">
        <is>
          <t>nyu</t>
        </is>
      </c>
      <c r="R276" t="inlineStr">
        <is>
          <t xml:space="preserve">RC </t>
        </is>
      </c>
      <c r="S276" t="n">
        <v>1</v>
      </c>
      <c r="T276" t="n">
        <v>1</v>
      </c>
      <c r="U276" t="inlineStr">
        <is>
          <t>2010-10-25</t>
        </is>
      </c>
      <c r="V276" t="inlineStr">
        <is>
          <t>2010-10-25</t>
        </is>
      </c>
      <c r="W276" t="inlineStr">
        <is>
          <t>2010-10-25</t>
        </is>
      </c>
      <c r="X276" t="inlineStr">
        <is>
          <t>2010-10-25</t>
        </is>
      </c>
      <c r="Y276" t="n">
        <v>423</v>
      </c>
      <c r="Z276" t="n">
        <v>384</v>
      </c>
      <c r="AA276" t="n">
        <v>407</v>
      </c>
      <c r="AB276" t="n">
        <v>2</v>
      </c>
      <c r="AC276" t="n">
        <v>2</v>
      </c>
      <c r="AD276" t="n">
        <v>0</v>
      </c>
      <c r="AE276" t="n">
        <v>0</v>
      </c>
      <c r="AF276" t="n">
        <v>0</v>
      </c>
      <c r="AG276" t="n">
        <v>0</v>
      </c>
      <c r="AH276" t="n">
        <v>0</v>
      </c>
      <c r="AI276" t="n">
        <v>0</v>
      </c>
      <c r="AJ276" t="n">
        <v>0</v>
      </c>
      <c r="AK276" t="n">
        <v>0</v>
      </c>
      <c r="AL276" t="n">
        <v>0</v>
      </c>
      <c r="AM276" t="n">
        <v>0</v>
      </c>
      <c r="AN276" t="n">
        <v>0</v>
      </c>
      <c r="AO276" t="n">
        <v>0</v>
      </c>
      <c r="AP276" t="inlineStr">
        <is>
          <t>No</t>
        </is>
      </c>
      <c r="AQ276" t="inlineStr">
        <is>
          <t>No</t>
        </is>
      </c>
      <c r="AS276">
        <f>HYPERLINK("https://creighton-primo.hosted.exlibrisgroup.com/primo-explore/search?tab=default_tab&amp;search_scope=EVERYTHING&amp;vid=01CRU&amp;lang=en_US&amp;offset=0&amp;query=any,contains,991000169339702656","Catalog Record")</f>
        <v/>
      </c>
      <c r="AT276">
        <f>HYPERLINK("http://www.worldcat.org/oclc/526057547","WorldCat Record")</f>
        <v/>
      </c>
      <c r="AU276" t="inlineStr">
        <is>
          <t>398207398:eng</t>
        </is>
      </c>
      <c r="AV276" t="inlineStr">
        <is>
          <t>526057547</t>
        </is>
      </c>
      <c r="AW276" t="inlineStr">
        <is>
          <t>991000169339702656</t>
        </is>
      </c>
      <c r="AX276" t="inlineStr">
        <is>
          <t>991000169339702656</t>
        </is>
      </c>
      <c r="AY276" t="inlineStr">
        <is>
          <t>2256619540002656</t>
        </is>
      </c>
      <c r="AZ276" t="inlineStr">
        <is>
          <t>BOOK</t>
        </is>
      </c>
      <c r="BB276" t="inlineStr">
        <is>
          <t>9781583334058</t>
        </is>
      </c>
      <c r="BC276" t="inlineStr">
        <is>
          <t>32285005602601</t>
        </is>
      </c>
      <c r="BD276" t="inlineStr">
        <is>
          <t>893620266</t>
        </is>
      </c>
    </row>
    <row r="277">
      <c r="A277" t="inlineStr">
        <is>
          <t>No</t>
        </is>
      </c>
      <c r="B277" t="inlineStr">
        <is>
          <t>RC280.B8 S72 1997</t>
        </is>
      </c>
      <c r="C277" t="inlineStr">
        <is>
          <t>0                      RC 0280000B  8                  S  72          1997</t>
        </is>
      </c>
      <c r="D277" t="inlineStr">
        <is>
          <t>To dance with the devil : the new war on breast cancer / Karen Stabiner.</t>
        </is>
      </c>
      <c r="F277" t="inlineStr">
        <is>
          <t>No</t>
        </is>
      </c>
      <c r="G277" t="inlineStr">
        <is>
          <t>1</t>
        </is>
      </c>
      <c r="H277" t="inlineStr">
        <is>
          <t>No</t>
        </is>
      </c>
      <c r="I277" t="inlineStr">
        <is>
          <t>No</t>
        </is>
      </c>
      <c r="J277" t="inlineStr">
        <is>
          <t>0</t>
        </is>
      </c>
      <c r="K277" t="inlineStr">
        <is>
          <t>Stabiner, Karen.</t>
        </is>
      </c>
      <c r="L277" t="inlineStr">
        <is>
          <t>New York : Delacorte Press, 1997.</t>
        </is>
      </c>
      <c r="M277" t="inlineStr">
        <is>
          <t>1997</t>
        </is>
      </c>
      <c r="O277" t="inlineStr">
        <is>
          <t>eng</t>
        </is>
      </c>
      <c r="P277" t="inlineStr">
        <is>
          <t>nyu</t>
        </is>
      </c>
      <c r="R277" t="inlineStr">
        <is>
          <t xml:space="preserve">RC </t>
        </is>
      </c>
      <c r="S277" t="n">
        <v>16</v>
      </c>
      <c r="T277" t="n">
        <v>16</v>
      </c>
      <c r="U277" t="inlineStr">
        <is>
          <t>2001-11-26</t>
        </is>
      </c>
      <c r="V277" t="inlineStr">
        <is>
          <t>2001-11-26</t>
        </is>
      </c>
      <c r="W277" t="inlineStr">
        <is>
          <t>1997-06-30</t>
        </is>
      </c>
      <c r="X277" t="inlineStr">
        <is>
          <t>1997-06-30</t>
        </is>
      </c>
      <c r="Y277" t="n">
        <v>837</v>
      </c>
      <c r="Z277" t="n">
        <v>802</v>
      </c>
      <c r="AA277" t="n">
        <v>871</v>
      </c>
      <c r="AB277" t="n">
        <v>4</v>
      </c>
      <c r="AC277" t="n">
        <v>4</v>
      </c>
      <c r="AD277" t="n">
        <v>19</v>
      </c>
      <c r="AE277" t="n">
        <v>20</v>
      </c>
      <c r="AF277" t="n">
        <v>4</v>
      </c>
      <c r="AG277" t="n">
        <v>5</v>
      </c>
      <c r="AH277" t="n">
        <v>3</v>
      </c>
      <c r="AI277" t="n">
        <v>3</v>
      </c>
      <c r="AJ277" t="n">
        <v>12</v>
      </c>
      <c r="AK277" t="n">
        <v>13</v>
      </c>
      <c r="AL277" t="n">
        <v>2</v>
      </c>
      <c r="AM277" t="n">
        <v>2</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HYPERLINK("https://creighton-primo.hosted.exlibrisgroup.com/primo-explore/search?tab=default_tab&amp;search_scope=EVERYTHING&amp;vid=01CRU&amp;lang=en_US&amp;offset=0&amp;query=any,contains,991002701059702656","Catalog Record")</f>
        <v/>
      </c>
      <c r="AT277">
        <f>HYPERLINK("http://www.worldcat.org/oclc/35262451","WorldCat Record")</f>
        <v/>
      </c>
      <c r="AU277" t="inlineStr">
        <is>
          <t>535245:eng</t>
        </is>
      </c>
      <c r="AV277" t="inlineStr">
        <is>
          <t>35262451</t>
        </is>
      </c>
      <c r="AW277" t="inlineStr">
        <is>
          <t>991002701059702656</t>
        </is>
      </c>
      <c r="AX277" t="inlineStr">
        <is>
          <t>991002701059702656</t>
        </is>
      </c>
      <c r="AY277" t="inlineStr">
        <is>
          <t>2264225060002656</t>
        </is>
      </c>
      <c r="AZ277" t="inlineStr">
        <is>
          <t>BOOK</t>
        </is>
      </c>
      <c r="BB277" t="inlineStr">
        <is>
          <t>9780385312844</t>
        </is>
      </c>
      <c r="BC277" t="inlineStr">
        <is>
          <t>32285002754066</t>
        </is>
      </c>
      <c r="BD277" t="inlineStr">
        <is>
          <t>893341741</t>
        </is>
      </c>
    </row>
    <row r="278">
      <c r="A278" t="inlineStr">
        <is>
          <t>No</t>
        </is>
      </c>
      <c r="B278" t="inlineStr">
        <is>
          <t>RC280.L9 H347 2001</t>
        </is>
      </c>
      <c r="C278" t="inlineStr">
        <is>
          <t>0                      RC 0280000L  9                  H  347         2001</t>
        </is>
      </c>
      <c r="D278" t="inlineStr">
        <is>
          <t>Six months to live : learning from a young man with cancer / Daniel Hallock.</t>
        </is>
      </c>
      <c r="F278" t="inlineStr">
        <is>
          <t>No</t>
        </is>
      </c>
      <c r="G278" t="inlineStr">
        <is>
          <t>1</t>
        </is>
      </c>
      <c r="H278" t="inlineStr">
        <is>
          <t>No</t>
        </is>
      </c>
      <c r="I278" t="inlineStr">
        <is>
          <t>No</t>
        </is>
      </c>
      <c r="J278" t="inlineStr">
        <is>
          <t>0</t>
        </is>
      </c>
      <c r="K278" t="inlineStr">
        <is>
          <t>Hallock, D. (Daniel)</t>
        </is>
      </c>
      <c r="L278" t="inlineStr">
        <is>
          <t>Farmington, PA : Plough Pub. House, c2001.</t>
        </is>
      </c>
      <c r="M278" t="inlineStr">
        <is>
          <t>2001</t>
        </is>
      </c>
      <c r="O278" t="inlineStr">
        <is>
          <t>eng</t>
        </is>
      </c>
      <c r="P278" t="inlineStr">
        <is>
          <t>pau</t>
        </is>
      </c>
      <c r="R278" t="inlineStr">
        <is>
          <t xml:space="preserve">RC </t>
        </is>
      </c>
      <c r="S278" t="n">
        <v>2</v>
      </c>
      <c r="T278" t="n">
        <v>2</v>
      </c>
      <c r="U278" t="inlineStr">
        <is>
          <t>2010-03-03</t>
        </is>
      </c>
      <c r="V278" t="inlineStr">
        <is>
          <t>2010-03-03</t>
        </is>
      </c>
      <c r="W278" t="inlineStr">
        <is>
          <t>2006-09-07</t>
        </is>
      </c>
      <c r="X278" t="inlineStr">
        <is>
          <t>2006-09-07</t>
        </is>
      </c>
      <c r="Y278" t="n">
        <v>121</v>
      </c>
      <c r="Z278" t="n">
        <v>108</v>
      </c>
      <c r="AA278" t="n">
        <v>136</v>
      </c>
      <c r="AB278" t="n">
        <v>2</v>
      </c>
      <c r="AC278" t="n">
        <v>2</v>
      </c>
      <c r="AD278" t="n">
        <v>3</v>
      </c>
      <c r="AE278" t="n">
        <v>3</v>
      </c>
      <c r="AF278" t="n">
        <v>2</v>
      </c>
      <c r="AG278" t="n">
        <v>2</v>
      </c>
      <c r="AH278" t="n">
        <v>1</v>
      </c>
      <c r="AI278" t="n">
        <v>1</v>
      </c>
      <c r="AJ278" t="n">
        <v>0</v>
      </c>
      <c r="AK278" t="n">
        <v>0</v>
      </c>
      <c r="AL278" t="n">
        <v>0</v>
      </c>
      <c r="AM278" t="n">
        <v>0</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HYPERLINK("https://creighton-primo.hosted.exlibrisgroup.com/primo-explore/search?tab=default_tab&amp;search_scope=EVERYTHING&amp;vid=01CRU&amp;lang=en_US&amp;offset=0&amp;query=any,contains,991004914299702656","Catalog Record")</f>
        <v/>
      </c>
      <c r="AT278">
        <f>HYPERLINK("http://www.worldcat.org/oclc/45418882","WorldCat Record")</f>
        <v/>
      </c>
      <c r="AU278" t="inlineStr">
        <is>
          <t>2548405597:eng</t>
        </is>
      </c>
      <c r="AV278" t="inlineStr">
        <is>
          <t>45418882</t>
        </is>
      </c>
      <c r="AW278" t="inlineStr">
        <is>
          <t>991004914299702656</t>
        </is>
      </c>
      <c r="AX278" t="inlineStr">
        <is>
          <t>991004914299702656</t>
        </is>
      </c>
      <c r="AY278" t="inlineStr">
        <is>
          <t>2268597750002656</t>
        </is>
      </c>
      <c r="AZ278" t="inlineStr">
        <is>
          <t>BOOK</t>
        </is>
      </c>
      <c r="BB278" t="inlineStr">
        <is>
          <t>9780874869033</t>
        </is>
      </c>
      <c r="BC278" t="inlineStr">
        <is>
          <t>32285005222038</t>
        </is>
      </c>
      <c r="BD278" t="inlineStr">
        <is>
          <t>893628414</t>
        </is>
      </c>
    </row>
    <row r="279">
      <c r="A279" t="inlineStr">
        <is>
          <t>No</t>
        </is>
      </c>
      <c r="B279" t="inlineStr">
        <is>
          <t>RC281.C4 B66 1989</t>
        </is>
      </c>
      <c r="C279" t="inlineStr">
        <is>
          <t>0                      RC 0281000C  4                  B  66          1989</t>
        </is>
      </c>
      <c r="D279" t="inlineStr">
        <is>
          <t>I want to grow hair, I want to grow up, I want to go to Boise : children surviving cancer / by Erma Bombeck.</t>
        </is>
      </c>
      <c r="F279" t="inlineStr">
        <is>
          <t>No</t>
        </is>
      </c>
      <c r="G279" t="inlineStr">
        <is>
          <t>1</t>
        </is>
      </c>
      <c r="H279" t="inlineStr">
        <is>
          <t>No</t>
        </is>
      </c>
      <c r="I279" t="inlineStr">
        <is>
          <t>No</t>
        </is>
      </c>
      <c r="J279" t="inlineStr">
        <is>
          <t>0</t>
        </is>
      </c>
      <c r="K279" t="inlineStr">
        <is>
          <t>Bombeck, Erma.</t>
        </is>
      </c>
      <c r="L279" t="inlineStr">
        <is>
          <t>New York, N.Y. : Harper &amp; Row, 1989.</t>
        </is>
      </c>
      <c r="M279" t="inlineStr">
        <is>
          <t>1989</t>
        </is>
      </c>
      <c r="N279" t="inlineStr">
        <is>
          <t>1st ed.</t>
        </is>
      </c>
      <c r="O279" t="inlineStr">
        <is>
          <t>eng</t>
        </is>
      </c>
      <c r="P279" t="inlineStr">
        <is>
          <t>nyu</t>
        </is>
      </c>
      <c r="R279" t="inlineStr">
        <is>
          <t xml:space="preserve">RC </t>
        </is>
      </c>
      <c r="S279" t="n">
        <v>5</v>
      </c>
      <c r="T279" t="n">
        <v>5</v>
      </c>
      <c r="U279" t="inlineStr">
        <is>
          <t>2007-10-17</t>
        </is>
      </c>
      <c r="V279" t="inlineStr">
        <is>
          <t>2007-10-17</t>
        </is>
      </c>
      <c r="W279" t="inlineStr">
        <is>
          <t>1989-11-06</t>
        </is>
      </c>
      <c r="X279" t="inlineStr">
        <is>
          <t>1989-11-06</t>
        </is>
      </c>
      <c r="Y279" t="n">
        <v>1730</v>
      </c>
      <c r="Z279" t="n">
        <v>1673</v>
      </c>
      <c r="AA279" t="n">
        <v>1738</v>
      </c>
      <c r="AB279" t="n">
        <v>20</v>
      </c>
      <c r="AC279" t="n">
        <v>20</v>
      </c>
      <c r="AD279" t="n">
        <v>11</v>
      </c>
      <c r="AE279" t="n">
        <v>13</v>
      </c>
      <c r="AF279" t="n">
        <v>4</v>
      </c>
      <c r="AG279" t="n">
        <v>5</v>
      </c>
      <c r="AH279" t="n">
        <v>0</v>
      </c>
      <c r="AI279" t="n">
        <v>1</v>
      </c>
      <c r="AJ279" t="n">
        <v>4</v>
      </c>
      <c r="AK279" t="n">
        <v>5</v>
      </c>
      <c r="AL279" t="n">
        <v>3</v>
      </c>
      <c r="AM279" t="n">
        <v>3</v>
      </c>
      <c r="AN279" t="n">
        <v>1</v>
      </c>
      <c r="AO279" t="n">
        <v>1</v>
      </c>
      <c r="AP279" t="inlineStr">
        <is>
          <t>No</t>
        </is>
      </c>
      <c r="AQ279" t="inlineStr">
        <is>
          <t>No</t>
        </is>
      </c>
      <c r="AS279">
        <f>HYPERLINK("https://creighton-primo.hosted.exlibrisgroup.com/primo-explore/search?tab=default_tab&amp;search_scope=EVERYTHING&amp;vid=01CRU&amp;lang=en_US&amp;offset=0&amp;query=any,contains,991001502119702656","Catalog Record")</f>
        <v/>
      </c>
      <c r="AT279">
        <f>HYPERLINK("http://www.worldcat.org/oclc/19811666","WorldCat Record")</f>
        <v/>
      </c>
      <c r="AU279" t="inlineStr">
        <is>
          <t>21293812:eng</t>
        </is>
      </c>
      <c r="AV279" t="inlineStr">
        <is>
          <t>19811666</t>
        </is>
      </c>
      <c r="AW279" t="inlineStr">
        <is>
          <t>991001502119702656</t>
        </is>
      </c>
      <c r="AX279" t="inlineStr">
        <is>
          <t>991001502119702656</t>
        </is>
      </c>
      <c r="AY279" t="inlineStr">
        <is>
          <t>2262800810002656</t>
        </is>
      </c>
      <c r="AZ279" t="inlineStr">
        <is>
          <t>BOOK</t>
        </is>
      </c>
      <c r="BB279" t="inlineStr">
        <is>
          <t>9780060161705</t>
        </is>
      </c>
      <c r="BC279" t="inlineStr">
        <is>
          <t>32285000011709</t>
        </is>
      </c>
      <c r="BD279" t="inlineStr">
        <is>
          <t>893596515</t>
        </is>
      </c>
    </row>
    <row r="280">
      <c r="A280" t="inlineStr">
        <is>
          <t>No</t>
        </is>
      </c>
      <c r="B280" t="inlineStr">
        <is>
          <t>RC281.C4 C45</t>
        </is>
      </c>
      <c r="C280" t="inlineStr">
        <is>
          <t>0                      RC 0281000C  4                  C  45</t>
        </is>
      </c>
      <c r="D280" t="inlineStr">
        <is>
          <t>The Child with cancer : clinical approaches to psychosocial care--research in psychosocial aspects / edited by Jerome L. Schulman and Mary Jo Kupst.</t>
        </is>
      </c>
      <c r="F280" t="inlineStr">
        <is>
          <t>No</t>
        </is>
      </c>
      <c r="G280" t="inlineStr">
        <is>
          <t>1</t>
        </is>
      </c>
      <c r="H280" t="inlineStr">
        <is>
          <t>No</t>
        </is>
      </c>
      <c r="I280" t="inlineStr">
        <is>
          <t>No</t>
        </is>
      </c>
      <c r="J280" t="inlineStr">
        <is>
          <t>0</t>
        </is>
      </c>
      <c r="L280" t="inlineStr">
        <is>
          <t>Springfield, Ill. : Thomas, c1980.</t>
        </is>
      </c>
      <c r="M280" t="inlineStr">
        <is>
          <t>1980</t>
        </is>
      </c>
      <c r="O280" t="inlineStr">
        <is>
          <t>eng</t>
        </is>
      </c>
      <c r="P280" t="inlineStr">
        <is>
          <t>ilu</t>
        </is>
      </c>
      <c r="R280" t="inlineStr">
        <is>
          <t xml:space="preserve">RC </t>
        </is>
      </c>
      <c r="S280" t="n">
        <v>7</v>
      </c>
      <c r="T280" t="n">
        <v>7</v>
      </c>
      <c r="U280" t="inlineStr">
        <is>
          <t>1998-10-15</t>
        </is>
      </c>
      <c r="V280" t="inlineStr">
        <is>
          <t>1998-10-15</t>
        </is>
      </c>
      <c r="W280" t="inlineStr">
        <is>
          <t>1992-04-16</t>
        </is>
      </c>
      <c r="X280" t="inlineStr">
        <is>
          <t>1992-04-16</t>
        </is>
      </c>
      <c r="Y280" t="n">
        <v>179</v>
      </c>
      <c r="Z280" t="n">
        <v>147</v>
      </c>
      <c r="AA280" t="n">
        <v>148</v>
      </c>
      <c r="AB280" t="n">
        <v>1</v>
      </c>
      <c r="AC280" t="n">
        <v>1</v>
      </c>
      <c r="AD280" t="n">
        <v>4</v>
      </c>
      <c r="AE280" t="n">
        <v>4</v>
      </c>
      <c r="AF280" t="n">
        <v>2</v>
      </c>
      <c r="AG280" t="n">
        <v>2</v>
      </c>
      <c r="AH280" t="n">
        <v>2</v>
      </c>
      <c r="AI280" t="n">
        <v>2</v>
      </c>
      <c r="AJ280" t="n">
        <v>2</v>
      </c>
      <c r="AK280" t="n">
        <v>2</v>
      </c>
      <c r="AL280" t="n">
        <v>0</v>
      </c>
      <c r="AM280" t="n">
        <v>0</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HYPERLINK("https://creighton-primo.hosted.exlibrisgroup.com/primo-explore/search?tab=default_tab&amp;search_scope=EVERYTHING&amp;vid=01CRU&amp;lang=en_US&amp;offset=0&amp;query=any,contains,991004778519702656","Catalog Record")</f>
        <v/>
      </c>
      <c r="AT280">
        <f>HYPERLINK("http://www.worldcat.org/oclc/5101888","WorldCat Record")</f>
        <v/>
      </c>
      <c r="AU280" t="inlineStr">
        <is>
          <t>425270531:eng</t>
        </is>
      </c>
      <c r="AV280" t="inlineStr">
        <is>
          <t>5101888</t>
        </is>
      </c>
      <c r="AW280" t="inlineStr">
        <is>
          <t>991004778519702656</t>
        </is>
      </c>
      <c r="AX280" t="inlineStr">
        <is>
          <t>991004778519702656</t>
        </is>
      </c>
      <c r="AY280" t="inlineStr">
        <is>
          <t>2259029080002656</t>
        </is>
      </c>
      <c r="AZ280" t="inlineStr">
        <is>
          <t>BOOK</t>
        </is>
      </c>
      <c r="BB280" t="inlineStr">
        <is>
          <t>9780398039448</t>
        </is>
      </c>
      <c r="BC280" t="inlineStr">
        <is>
          <t>32285001070043</t>
        </is>
      </c>
      <c r="BD280" t="inlineStr">
        <is>
          <t>893594098</t>
        </is>
      </c>
    </row>
    <row r="281">
      <c r="A281" t="inlineStr">
        <is>
          <t>No</t>
        </is>
      </c>
      <c r="B281" t="inlineStr">
        <is>
          <t>RC281.C4 K64</t>
        </is>
      </c>
      <c r="C281" t="inlineStr">
        <is>
          <t>0                      RC 0281000C  4                  K  64</t>
        </is>
      </c>
      <c r="D281" t="inlineStr">
        <is>
          <t>The Damocles syndrome : psychosocial consequences of surviving childhood cancer / Gerald P. Koocher and John E. O'Malley.</t>
        </is>
      </c>
      <c r="F281" t="inlineStr">
        <is>
          <t>No</t>
        </is>
      </c>
      <c r="G281" t="inlineStr">
        <is>
          <t>1</t>
        </is>
      </c>
      <c r="H281" t="inlineStr">
        <is>
          <t>No</t>
        </is>
      </c>
      <c r="I281" t="inlineStr">
        <is>
          <t>No</t>
        </is>
      </c>
      <c r="J281" t="inlineStr">
        <is>
          <t>0</t>
        </is>
      </c>
      <c r="K281" t="inlineStr">
        <is>
          <t>Koocher, Gerald P.</t>
        </is>
      </c>
      <c r="L281" t="inlineStr">
        <is>
          <t>New York : McGraw-Hill, c1981.</t>
        </is>
      </c>
      <c r="M281" t="inlineStr">
        <is>
          <t>1981</t>
        </is>
      </c>
      <c r="O281" t="inlineStr">
        <is>
          <t>eng</t>
        </is>
      </c>
      <c r="P281" t="inlineStr">
        <is>
          <t>nyu</t>
        </is>
      </c>
      <c r="R281" t="inlineStr">
        <is>
          <t xml:space="preserve">RC </t>
        </is>
      </c>
      <c r="S281" t="n">
        <v>3</v>
      </c>
      <c r="T281" t="n">
        <v>3</v>
      </c>
      <c r="U281" t="inlineStr">
        <is>
          <t>1994-11-06</t>
        </is>
      </c>
      <c r="V281" t="inlineStr">
        <is>
          <t>1994-11-06</t>
        </is>
      </c>
      <c r="W281" t="inlineStr">
        <is>
          <t>1993-03-18</t>
        </is>
      </c>
      <c r="X281" t="inlineStr">
        <is>
          <t>1993-03-18</t>
        </is>
      </c>
      <c r="Y281" t="n">
        <v>357</v>
      </c>
      <c r="Z281" t="n">
        <v>300</v>
      </c>
      <c r="AA281" t="n">
        <v>307</v>
      </c>
      <c r="AB281" t="n">
        <v>1</v>
      </c>
      <c r="AC281" t="n">
        <v>1</v>
      </c>
      <c r="AD281" t="n">
        <v>8</v>
      </c>
      <c r="AE281" t="n">
        <v>8</v>
      </c>
      <c r="AF281" t="n">
        <v>4</v>
      </c>
      <c r="AG281" t="n">
        <v>4</v>
      </c>
      <c r="AH281" t="n">
        <v>1</v>
      </c>
      <c r="AI281" t="n">
        <v>1</v>
      </c>
      <c r="AJ281" t="n">
        <v>5</v>
      </c>
      <c r="AK281" t="n">
        <v>5</v>
      </c>
      <c r="AL281" t="n">
        <v>0</v>
      </c>
      <c r="AM281" t="n">
        <v>0</v>
      </c>
      <c r="AN281" t="n">
        <v>0</v>
      </c>
      <c r="AO281" t="n">
        <v>0</v>
      </c>
      <c r="AP281" t="inlineStr">
        <is>
          <t>No</t>
        </is>
      </c>
      <c r="AQ281" t="inlineStr">
        <is>
          <t>Yes</t>
        </is>
      </c>
      <c r="AR281">
        <f>HYPERLINK("http://catalog.hathitrust.org/Record/000762837","HathiTrust Record")</f>
        <v/>
      </c>
      <c r="AS281">
        <f>HYPERLINK("https://creighton-primo.hosted.exlibrisgroup.com/primo-explore/search?tab=default_tab&amp;search_scope=EVERYTHING&amp;vid=01CRU&amp;lang=en_US&amp;offset=0&amp;query=any,contains,991005036269702656","Catalog Record")</f>
        <v/>
      </c>
      <c r="AT281">
        <f>HYPERLINK("http://www.worldcat.org/oclc/6761708","WorldCat Record")</f>
        <v/>
      </c>
      <c r="AU281" t="inlineStr">
        <is>
          <t>20708452:eng</t>
        </is>
      </c>
      <c r="AV281" t="inlineStr">
        <is>
          <t>6761708</t>
        </is>
      </c>
      <c r="AW281" t="inlineStr">
        <is>
          <t>991005036269702656</t>
        </is>
      </c>
      <c r="AX281" t="inlineStr">
        <is>
          <t>991005036269702656</t>
        </is>
      </c>
      <c r="AY281" t="inlineStr">
        <is>
          <t>2261249340002656</t>
        </is>
      </c>
      <c r="AZ281" t="inlineStr">
        <is>
          <t>BOOK</t>
        </is>
      </c>
      <c r="BB281" t="inlineStr">
        <is>
          <t>9780070353404</t>
        </is>
      </c>
      <c r="BC281" t="inlineStr">
        <is>
          <t>32285001589364</t>
        </is>
      </c>
      <c r="BD281" t="inlineStr">
        <is>
          <t>893889578</t>
        </is>
      </c>
    </row>
    <row r="282">
      <c r="A282" t="inlineStr">
        <is>
          <t>No</t>
        </is>
      </c>
      <c r="B282" t="inlineStr">
        <is>
          <t>RC281.C4 P445 1994</t>
        </is>
      </c>
      <c r="C282" t="inlineStr">
        <is>
          <t>0                      RC 0281000C  4                  P  445         1994</t>
        </is>
      </c>
      <c r="D282" t="inlineStr">
        <is>
          <t>Pediatric psychooncology : psychological perspectives on children with cancer / edited by David J. Bearison, Raymond K. Mulhern.</t>
        </is>
      </c>
      <c r="F282" t="inlineStr">
        <is>
          <t>No</t>
        </is>
      </c>
      <c r="G282" t="inlineStr">
        <is>
          <t>1</t>
        </is>
      </c>
      <c r="H282" t="inlineStr">
        <is>
          <t>No</t>
        </is>
      </c>
      <c r="I282" t="inlineStr">
        <is>
          <t>No</t>
        </is>
      </c>
      <c r="J282" t="inlineStr">
        <is>
          <t>0</t>
        </is>
      </c>
      <c r="L282" t="inlineStr">
        <is>
          <t>New York : Oxford University Press, 1994.</t>
        </is>
      </c>
      <c r="M282" t="inlineStr">
        <is>
          <t>1994</t>
        </is>
      </c>
      <c r="O282" t="inlineStr">
        <is>
          <t>eng</t>
        </is>
      </c>
      <c r="P282" t="inlineStr">
        <is>
          <t>nyu</t>
        </is>
      </c>
      <c r="R282" t="inlineStr">
        <is>
          <t xml:space="preserve">RC </t>
        </is>
      </c>
      <c r="S282" t="n">
        <v>4</v>
      </c>
      <c r="T282" t="n">
        <v>4</v>
      </c>
      <c r="U282" t="inlineStr">
        <is>
          <t>1998-10-15</t>
        </is>
      </c>
      <c r="V282" t="inlineStr">
        <is>
          <t>1998-10-15</t>
        </is>
      </c>
      <c r="W282" t="inlineStr">
        <is>
          <t>1996-03-01</t>
        </is>
      </c>
      <c r="X282" t="inlineStr">
        <is>
          <t>1996-03-01</t>
        </is>
      </c>
      <c r="Y282" t="n">
        <v>217</v>
      </c>
      <c r="Z282" t="n">
        <v>154</v>
      </c>
      <c r="AA282" t="n">
        <v>213</v>
      </c>
      <c r="AB282" t="n">
        <v>1</v>
      </c>
      <c r="AC282" t="n">
        <v>1</v>
      </c>
      <c r="AD282" t="n">
        <v>9</v>
      </c>
      <c r="AE282" t="n">
        <v>11</v>
      </c>
      <c r="AF282" t="n">
        <v>4</v>
      </c>
      <c r="AG282" t="n">
        <v>4</v>
      </c>
      <c r="AH282" t="n">
        <v>1</v>
      </c>
      <c r="AI282" t="n">
        <v>3</v>
      </c>
      <c r="AJ282" t="n">
        <v>8</v>
      </c>
      <c r="AK282" t="n">
        <v>8</v>
      </c>
      <c r="AL282" t="n">
        <v>0</v>
      </c>
      <c r="AM282" t="n">
        <v>0</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HYPERLINK("https://creighton-primo.hosted.exlibrisgroup.com/primo-explore/search?tab=default_tab&amp;search_scope=EVERYTHING&amp;vid=01CRU&amp;lang=en_US&amp;offset=0&amp;query=any,contains,991002182739702656","Catalog Record")</f>
        <v/>
      </c>
      <c r="AT282">
        <f>HYPERLINK("http://www.worldcat.org/oclc/28112134","WorldCat Record")</f>
        <v/>
      </c>
      <c r="AU282" t="inlineStr">
        <is>
          <t>802334324:eng</t>
        </is>
      </c>
      <c r="AV282" t="inlineStr">
        <is>
          <t>28112134</t>
        </is>
      </c>
      <c r="AW282" t="inlineStr">
        <is>
          <t>991002182739702656</t>
        </is>
      </c>
      <c r="AX282" t="inlineStr">
        <is>
          <t>991002182739702656</t>
        </is>
      </c>
      <c r="AY282" t="inlineStr">
        <is>
          <t>2259001820002656</t>
        </is>
      </c>
      <c r="AZ282" t="inlineStr">
        <is>
          <t>BOOK</t>
        </is>
      </c>
      <c r="BB282" t="inlineStr">
        <is>
          <t>9780195079319</t>
        </is>
      </c>
      <c r="BC282" t="inlineStr">
        <is>
          <t>32285002138963</t>
        </is>
      </c>
      <c r="BD282" t="inlineStr">
        <is>
          <t>893510402</t>
        </is>
      </c>
    </row>
    <row r="283">
      <c r="A283" t="inlineStr">
        <is>
          <t>No</t>
        </is>
      </c>
      <c r="B283" t="inlineStr">
        <is>
          <t>RC281.W65 W64 1987</t>
        </is>
      </c>
      <c r="C283" t="inlineStr">
        <is>
          <t>0                      RC 0281000W  65                 W  64          1987</t>
        </is>
      </c>
      <c r="D283" t="inlineStr">
        <is>
          <t>Women and cancer / Steven D. Stellman, editor.</t>
        </is>
      </c>
      <c r="F283" t="inlineStr">
        <is>
          <t>No</t>
        </is>
      </c>
      <c r="G283" t="inlineStr">
        <is>
          <t>1</t>
        </is>
      </c>
      <c r="H283" t="inlineStr">
        <is>
          <t>No</t>
        </is>
      </c>
      <c r="I283" t="inlineStr">
        <is>
          <t>No</t>
        </is>
      </c>
      <c r="J283" t="inlineStr">
        <is>
          <t>0</t>
        </is>
      </c>
      <c r="L283" t="inlineStr">
        <is>
          <t>New York : Haworth Press, c1987.</t>
        </is>
      </c>
      <c r="M283" t="inlineStr">
        <is>
          <t>1987</t>
        </is>
      </c>
      <c r="O283" t="inlineStr">
        <is>
          <t>eng</t>
        </is>
      </c>
      <c r="P283" t="inlineStr">
        <is>
          <t>nyu</t>
        </is>
      </c>
      <c r="R283" t="inlineStr">
        <is>
          <t xml:space="preserve">RC </t>
        </is>
      </c>
      <c r="S283" t="n">
        <v>4</v>
      </c>
      <c r="T283" t="n">
        <v>4</v>
      </c>
      <c r="U283" t="inlineStr">
        <is>
          <t>1994-10-25</t>
        </is>
      </c>
      <c r="V283" t="inlineStr">
        <is>
          <t>1994-10-25</t>
        </is>
      </c>
      <c r="W283" t="inlineStr">
        <is>
          <t>1990-04-20</t>
        </is>
      </c>
      <c r="X283" t="inlineStr">
        <is>
          <t>1990-04-20</t>
        </is>
      </c>
      <c r="Y283" t="n">
        <v>89</v>
      </c>
      <c r="Z283" t="n">
        <v>76</v>
      </c>
      <c r="AA283" t="n">
        <v>140</v>
      </c>
      <c r="AB283" t="n">
        <v>1</v>
      </c>
      <c r="AC283" t="n">
        <v>2</v>
      </c>
      <c r="AD283" t="n">
        <v>1</v>
      </c>
      <c r="AE283" t="n">
        <v>6</v>
      </c>
      <c r="AF283" t="n">
        <v>0</v>
      </c>
      <c r="AG283" t="n">
        <v>0</v>
      </c>
      <c r="AH283" t="n">
        <v>0</v>
      </c>
      <c r="AI283" t="n">
        <v>3</v>
      </c>
      <c r="AJ283" t="n">
        <v>1</v>
      </c>
      <c r="AK283" t="n">
        <v>4</v>
      </c>
      <c r="AL283" t="n">
        <v>0</v>
      </c>
      <c r="AM283" t="n">
        <v>1</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HYPERLINK("https://creighton-primo.hosted.exlibrisgroup.com/primo-explore/search?tab=default_tab&amp;search_scope=EVERYTHING&amp;vid=01CRU&amp;lang=en_US&amp;offset=0&amp;query=any,contains,991000944719702656","Catalog Record")</f>
        <v/>
      </c>
      <c r="AT283">
        <f>HYPERLINK("http://www.worldcat.org/oclc/14519690","WorldCat Record")</f>
        <v/>
      </c>
      <c r="AU283" t="inlineStr">
        <is>
          <t>54878912:eng</t>
        </is>
      </c>
      <c r="AV283" t="inlineStr">
        <is>
          <t>14519690</t>
        </is>
      </c>
      <c r="AW283" t="inlineStr">
        <is>
          <t>991000944719702656</t>
        </is>
      </c>
      <c r="AX283" t="inlineStr">
        <is>
          <t>991000944719702656</t>
        </is>
      </c>
      <c r="AY283" t="inlineStr">
        <is>
          <t>2254790560002656</t>
        </is>
      </c>
      <c r="AZ283" t="inlineStr">
        <is>
          <t>BOOK</t>
        </is>
      </c>
      <c r="BB283" t="inlineStr">
        <is>
          <t>9780866566131</t>
        </is>
      </c>
      <c r="BC283" t="inlineStr">
        <is>
          <t>32285000104439</t>
        </is>
      </c>
      <c r="BD283" t="inlineStr">
        <is>
          <t>893225467</t>
        </is>
      </c>
    </row>
    <row r="284">
      <c r="A284" t="inlineStr">
        <is>
          <t>No</t>
        </is>
      </c>
      <c r="B284" t="inlineStr">
        <is>
          <t>RC289 .P5</t>
        </is>
      </c>
      <c r="C284" t="inlineStr">
        <is>
          <t>0                      RC 0289000P  5</t>
        </is>
      </c>
      <c r="D284" t="inlineStr">
        <is>
          <t>Your arthritis: what you can do about it, with an introduction by R. Garfield Snyder, M.D.; illustrations by James MacDonald.</t>
        </is>
      </c>
      <c r="F284" t="inlineStr">
        <is>
          <t>No</t>
        </is>
      </c>
      <c r="G284" t="inlineStr">
        <is>
          <t>1</t>
        </is>
      </c>
      <c r="H284" t="inlineStr">
        <is>
          <t>No</t>
        </is>
      </c>
      <c r="I284" t="inlineStr">
        <is>
          <t>No</t>
        </is>
      </c>
      <c r="J284" t="inlineStr">
        <is>
          <t>0</t>
        </is>
      </c>
      <c r="K284" t="inlineStr">
        <is>
          <t>Phelps, Alfred E. (Alfred Edward), 1887-</t>
        </is>
      </c>
      <c r="L284" t="inlineStr">
        <is>
          <t>New York, W. Morrow and company, 1943, 1945 printing.</t>
        </is>
      </c>
      <c r="M284" t="inlineStr">
        <is>
          <t>1945</t>
        </is>
      </c>
      <c r="O284" t="inlineStr">
        <is>
          <t>eng</t>
        </is>
      </c>
      <c r="P284" t="inlineStr">
        <is>
          <t>nyu</t>
        </is>
      </c>
      <c r="R284" t="inlineStr">
        <is>
          <t xml:space="preserve">RC </t>
        </is>
      </c>
      <c r="S284" t="n">
        <v>1</v>
      </c>
      <c r="T284" t="n">
        <v>1</v>
      </c>
      <c r="U284" t="inlineStr">
        <is>
          <t>2008-02-23</t>
        </is>
      </c>
      <c r="V284" t="inlineStr">
        <is>
          <t>2008-02-23</t>
        </is>
      </c>
      <c r="W284" t="inlineStr">
        <is>
          <t>1993-03-18</t>
        </is>
      </c>
      <c r="X284" t="inlineStr">
        <is>
          <t>1993-03-18</t>
        </is>
      </c>
      <c r="Y284" t="n">
        <v>56</v>
      </c>
      <c r="Z284" t="n">
        <v>53</v>
      </c>
      <c r="AA284" t="n">
        <v>87</v>
      </c>
      <c r="AB284" t="n">
        <v>1</v>
      </c>
      <c r="AC284" t="n">
        <v>1</v>
      </c>
      <c r="AD284" t="n">
        <v>0</v>
      </c>
      <c r="AE284" t="n">
        <v>0</v>
      </c>
      <c r="AF284" t="n">
        <v>0</v>
      </c>
      <c r="AG284" t="n">
        <v>0</v>
      </c>
      <c r="AH284" t="n">
        <v>0</v>
      </c>
      <c r="AI284" t="n">
        <v>0</v>
      </c>
      <c r="AJ284" t="n">
        <v>0</v>
      </c>
      <c r="AK284" t="n">
        <v>0</v>
      </c>
      <c r="AL284" t="n">
        <v>0</v>
      </c>
      <c r="AM284" t="n">
        <v>0</v>
      </c>
      <c r="AN284" t="n">
        <v>0</v>
      </c>
      <c r="AO284" t="n">
        <v>0</v>
      </c>
      <c r="AP284" t="inlineStr">
        <is>
          <t>No</t>
        </is>
      </c>
      <c r="AQ284" t="inlineStr">
        <is>
          <t>Yes</t>
        </is>
      </c>
      <c r="AR284">
        <f>HYPERLINK("http://catalog.hathitrust.org/Record/001584317","HathiTrust Record")</f>
        <v/>
      </c>
      <c r="AS284">
        <f>HYPERLINK("https://creighton-primo.hosted.exlibrisgroup.com/primo-explore/search?tab=default_tab&amp;search_scope=EVERYTHING&amp;vid=01CRU&amp;lang=en_US&amp;offset=0&amp;query=any,contains,991003686169702656","Catalog Record")</f>
        <v/>
      </c>
      <c r="AT284">
        <f>HYPERLINK("http://www.worldcat.org/oclc/1314702","WorldCat Record")</f>
        <v/>
      </c>
      <c r="AU284" t="inlineStr">
        <is>
          <t>2320529:eng</t>
        </is>
      </c>
      <c r="AV284" t="inlineStr">
        <is>
          <t>1314702</t>
        </is>
      </c>
      <c r="AW284" t="inlineStr">
        <is>
          <t>991003686169702656</t>
        </is>
      </c>
      <c r="AX284" t="inlineStr">
        <is>
          <t>991003686169702656</t>
        </is>
      </c>
      <c r="AY284" t="inlineStr">
        <is>
          <t>2270443420002656</t>
        </is>
      </c>
      <c r="AZ284" t="inlineStr">
        <is>
          <t>BOOK</t>
        </is>
      </c>
      <c r="BC284" t="inlineStr">
        <is>
          <t>32285001589380</t>
        </is>
      </c>
      <c r="BD284" t="inlineStr">
        <is>
          <t>893806093</t>
        </is>
      </c>
    </row>
    <row r="285">
      <c r="A285" t="inlineStr">
        <is>
          <t>No</t>
        </is>
      </c>
      <c r="B285" t="inlineStr">
        <is>
          <t>RC310 .C35 1988</t>
        </is>
      </c>
      <c r="C285" t="inlineStr">
        <is>
          <t>0                      RC 0310000C  35          1988</t>
        </is>
      </c>
      <c r="D285" t="inlineStr">
        <is>
          <t>The last crusade : the war on consumption, 1862-1954 / by Mark Caldwell.</t>
        </is>
      </c>
      <c r="F285" t="inlineStr">
        <is>
          <t>No</t>
        </is>
      </c>
      <c r="G285" t="inlineStr">
        <is>
          <t>1</t>
        </is>
      </c>
      <c r="H285" t="inlineStr">
        <is>
          <t>No</t>
        </is>
      </c>
      <c r="I285" t="inlineStr">
        <is>
          <t>No</t>
        </is>
      </c>
      <c r="J285" t="inlineStr">
        <is>
          <t>0</t>
        </is>
      </c>
      <c r="K285" t="inlineStr">
        <is>
          <t>Caldwell, Mark.</t>
        </is>
      </c>
      <c r="L285" t="inlineStr">
        <is>
          <t>New York : Atheneum, 1988.</t>
        </is>
      </c>
      <c r="M285" t="inlineStr">
        <is>
          <t>1988</t>
        </is>
      </c>
      <c r="O285" t="inlineStr">
        <is>
          <t>eng</t>
        </is>
      </c>
      <c r="P285" t="inlineStr">
        <is>
          <t>nyu</t>
        </is>
      </c>
      <c r="R285" t="inlineStr">
        <is>
          <t xml:space="preserve">RC </t>
        </is>
      </c>
      <c r="S285" t="n">
        <v>8</v>
      </c>
      <c r="T285" t="n">
        <v>8</v>
      </c>
      <c r="U285" t="inlineStr">
        <is>
          <t>1996-04-12</t>
        </is>
      </c>
      <c r="V285" t="inlineStr">
        <is>
          <t>1996-04-12</t>
        </is>
      </c>
      <c r="W285" t="inlineStr">
        <is>
          <t>1993-03-18</t>
        </is>
      </c>
      <c r="X285" t="inlineStr">
        <is>
          <t>1993-03-18</t>
        </is>
      </c>
      <c r="Y285" t="n">
        <v>529</v>
      </c>
      <c r="Z285" t="n">
        <v>492</v>
      </c>
      <c r="AA285" t="n">
        <v>497</v>
      </c>
      <c r="AB285" t="n">
        <v>2</v>
      </c>
      <c r="AC285" t="n">
        <v>2</v>
      </c>
      <c r="AD285" t="n">
        <v>16</v>
      </c>
      <c r="AE285" t="n">
        <v>16</v>
      </c>
      <c r="AF285" t="n">
        <v>4</v>
      </c>
      <c r="AG285" t="n">
        <v>4</v>
      </c>
      <c r="AH285" t="n">
        <v>5</v>
      </c>
      <c r="AI285" t="n">
        <v>5</v>
      </c>
      <c r="AJ285" t="n">
        <v>10</v>
      </c>
      <c r="AK285" t="n">
        <v>10</v>
      </c>
      <c r="AL285" t="n">
        <v>1</v>
      </c>
      <c r="AM285" t="n">
        <v>1</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HYPERLINK("https://creighton-primo.hosted.exlibrisgroup.com/primo-explore/search?tab=default_tab&amp;search_scope=EVERYTHING&amp;vid=01CRU&amp;lang=en_US&amp;offset=0&amp;query=any,contains,991001136299702656","Catalog Record")</f>
        <v/>
      </c>
      <c r="AT285">
        <f>HYPERLINK("http://www.worldcat.org/oclc/16713633","WorldCat Record")</f>
        <v/>
      </c>
      <c r="AU285" t="inlineStr">
        <is>
          <t>13387204:eng</t>
        </is>
      </c>
      <c r="AV285" t="inlineStr">
        <is>
          <t>16713633</t>
        </is>
      </c>
      <c r="AW285" t="inlineStr">
        <is>
          <t>991001136299702656</t>
        </is>
      </c>
      <c r="AX285" t="inlineStr">
        <is>
          <t>991001136299702656</t>
        </is>
      </c>
      <c r="AY285" t="inlineStr">
        <is>
          <t>2263837990002656</t>
        </is>
      </c>
      <c r="AZ285" t="inlineStr">
        <is>
          <t>BOOK</t>
        </is>
      </c>
      <c r="BB285" t="inlineStr">
        <is>
          <t>9780689118104</t>
        </is>
      </c>
      <c r="BC285" t="inlineStr">
        <is>
          <t>32285001589406</t>
        </is>
      </c>
      <c r="BD285" t="inlineStr">
        <is>
          <t>893426351</t>
        </is>
      </c>
    </row>
    <row r="286">
      <c r="A286" t="inlineStr">
        <is>
          <t>No</t>
        </is>
      </c>
      <c r="B286" t="inlineStr">
        <is>
          <t>RC310 .D82</t>
        </is>
      </c>
      <c r="C286" t="inlineStr">
        <is>
          <t>0                      RC 0310000D  82</t>
        </is>
      </c>
      <c r="D286" t="inlineStr">
        <is>
          <t>The white plague : tuberculosis, man and society / by Rene and Jean Dubos.</t>
        </is>
      </c>
      <c r="F286" t="inlineStr">
        <is>
          <t>No</t>
        </is>
      </c>
      <c r="G286" t="inlineStr">
        <is>
          <t>1</t>
        </is>
      </c>
      <c r="H286" t="inlineStr">
        <is>
          <t>No</t>
        </is>
      </c>
      <c r="I286" t="inlineStr">
        <is>
          <t>No</t>
        </is>
      </c>
      <c r="J286" t="inlineStr">
        <is>
          <t>0</t>
        </is>
      </c>
      <c r="K286" t="inlineStr">
        <is>
          <t>Dubos, René J. (René Jules), 1901-1982.</t>
        </is>
      </c>
      <c r="L286" t="inlineStr">
        <is>
          <t>Boston : Little, Brown, [1952]</t>
        </is>
      </c>
      <c r="M286" t="inlineStr">
        <is>
          <t>1952</t>
        </is>
      </c>
      <c r="N286" t="inlineStr">
        <is>
          <t>[1st ed.]</t>
        </is>
      </c>
      <c r="O286" t="inlineStr">
        <is>
          <t>eng</t>
        </is>
      </c>
      <c r="P286" t="inlineStr">
        <is>
          <t>mau</t>
        </is>
      </c>
      <c r="R286" t="inlineStr">
        <is>
          <t xml:space="preserve">RC </t>
        </is>
      </c>
      <c r="S286" t="n">
        <v>9</v>
      </c>
      <c r="T286" t="n">
        <v>9</v>
      </c>
      <c r="U286" t="inlineStr">
        <is>
          <t>2003-07-28</t>
        </is>
      </c>
      <c r="V286" t="inlineStr">
        <is>
          <t>2003-07-28</t>
        </is>
      </c>
      <c r="W286" t="inlineStr">
        <is>
          <t>1990-02-22</t>
        </is>
      </c>
      <c r="X286" t="inlineStr">
        <is>
          <t>1990-02-22</t>
        </is>
      </c>
      <c r="Y286" t="n">
        <v>476</v>
      </c>
      <c r="Z286" t="n">
        <v>440</v>
      </c>
      <c r="AA286" t="n">
        <v>671</v>
      </c>
      <c r="AB286" t="n">
        <v>6</v>
      </c>
      <c r="AC286" t="n">
        <v>7</v>
      </c>
      <c r="AD286" t="n">
        <v>11</v>
      </c>
      <c r="AE286" t="n">
        <v>23</v>
      </c>
      <c r="AF286" t="n">
        <v>2</v>
      </c>
      <c r="AG286" t="n">
        <v>5</v>
      </c>
      <c r="AH286" t="n">
        <v>4</v>
      </c>
      <c r="AI286" t="n">
        <v>8</v>
      </c>
      <c r="AJ286" t="n">
        <v>4</v>
      </c>
      <c r="AK286" t="n">
        <v>10</v>
      </c>
      <c r="AL286" t="n">
        <v>3</v>
      </c>
      <c r="AM286" t="n">
        <v>4</v>
      </c>
      <c r="AN286" t="n">
        <v>0</v>
      </c>
      <c r="AO286" t="n">
        <v>0</v>
      </c>
      <c r="AP286" t="inlineStr">
        <is>
          <t>No</t>
        </is>
      </c>
      <c r="AQ286" t="inlineStr">
        <is>
          <t>Yes</t>
        </is>
      </c>
      <c r="AR286">
        <f>HYPERLINK("http://catalog.hathitrust.org/Record/001562816","HathiTrust Record")</f>
        <v/>
      </c>
      <c r="AS286">
        <f>HYPERLINK("https://creighton-primo.hosted.exlibrisgroup.com/primo-explore/search?tab=default_tab&amp;search_scope=EVERYTHING&amp;vid=01CRU&amp;lang=en_US&amp;offset=0&amp;query=any,contains,991003589639702656","Catalog Record")</f>
        <v/>
      </c>
      <c r="AT286">
        <f>HYPERLINK("http://www.worldcat.org/oclc/1171830","WorldCat Record")</f>
        <v/>
      </c>
      <c r="AU286" t="inlineStr">
        <is>
          <t>48532444:eng</t>
        </is>
      </c>
      <c r="AV286" t="inlineStr">
        <is>
          <t>1171830</t>
        </is>
      </c>
      <c r="AW286" t="inlineStr">
        <is>
          <t>991003589639702656</t>
        </is>
      </c>
      <c r="AX286" t="inlineStr">
        <is>
          <t>991003589639702656</t>
        </is>
      </c>
      <c r="AY286" t="inlineStr">
        <is>
          <t>2267535880002656</t>
        </is>
      </c>
      <c r="AZ286" t="inlineStr">
        <is>
          <t>BOOK</t>
        </is>
      </c>
      <c r="BC286" t="inlineStr">
        <is>
          <t>32285000060581</t>
        </is>
      </c>
      <c r="BD286" t="inlineStr">
        <is>
          <t>893711525</t>
        </is>
      </c>
    </row>
    <row r="287">
      <c r="A287" t="inlineStr">
        <is>
          <t>No</t>
        </is>
      </c>
      <c r="B287" t="inlineStr">
        <is>
          <t>RC312 .R454 2002</t>
        </is>
      </c>
      <c r="C287" t="inlineStr">
        <is>
          <t>0                      RC 0312000R  454         2002</t>
        </is>
      </c>
      <c r="D287" t="inlineStr">
        <is>
          <t>Timebomb : the global epidemic of multi-drug-resistant tuberculosis / Lee B. Reichman with Janice Hopkins Tanne.</t>
        </is>
      </c>
      <c r="F287" t="inlineStr">
        <is>
          <t>No</t>
        </is>
      </c>
      <c r="G287" t="inlineStr">
        <is>
          <t>1</t>
        </is>
      </c>
      <c r="H287" t="inlineStr">
        <is>
          <t>No</t>
        </is>
      </c>
      <c r="I287" t="inlineStr">
        <is>
          <t>No</t>
        </is>
      </c>
      <c r="J287" t="inlineStr">
        <is>
          <t>0</t>
        </is>
      </c>
      <c r="K287" t="inlineStr">
        <is>
          <t>Reichman, Lee B., 1938-</t>
        </is>
      </c>
      <c r="L287" t="inlineStr">
        <is>
          <t>New York : McGraw-Hill, c2002.</t>
        </is>
      </c>
      <c r="M287" t="inlineStr">
        <is>
          <t>2002</t>
        </is>
      </c>
      <c r="O287" t="inlineStr">
        <is>
          <t>eng</t>
        </is>
      </c>
      <c r="P287" t="inlineStr">
        <is>
          <t>nyu</t>
        </is>
      </c>
      <c r="R287" t="inlineStr">
        <is>
          <t xml:space="preserve">RC </t>
        </is>
      </c>
      <c r="S287" t="n">
        <v>4</v>
      </c>
      <c r="T287" t="n">
        <v>4</v>
      </c>
      <c r="U287" t="inlineStr">
        <is>
          <t>2003-07-28</t>
        </is>
      </c>
      <c r="V287" t="inlineStr">
        <is>
          <t>2003-07-28</t>
        </is>
      </c>
      <c r="W287" t="inlineStr">
        <is>
          <t>2003-06-09</t>
        </is>
      </c>
      <c r="X287" t="inlineStr">
        <is>
          <t>2003-06-09</t>
        </is>
      </c>
      <c r="Y287" t="n">
        <v>781</v>
      </c>
      <c r="Z287" t="n">
        <v>695</v>
      </c>
      <c r="AA287" t="n">
        <v>1447</v>
      </c>
      <c r="AB287" t="n">
        <v>7</v>
      </c>
      <c r="AC287" t="n">
        <v>30</v>
      </c>
      <c r="AD287" t="n">
        <v>21</v>
      </c>
      <c r="AE287" t="n">
        <v>42</v>
      </c>
      <c r="AF287" t="n">
        <v>7</v>
      </c>
      <c r="AG287" t="n">
        <v>14</v>
      </c>
      <c r="AH287" t="n">
        <v>4</v>
      </c>
      <c r="AI287" t="n">
        <v>6</v>
      </c>
      <c r="AJ287" t="n">
        <v>10</v>
      </c>
      <c r="AK287" t="n">
        <v>15</v>
      </c>
      <c r="AL287" t="n">
        <v>5</v>
      </c>
      <c r="AM287" t="n">
        <v>15</v>
      </c>
      <c r="AN287" t="n">
        <v>0</v>
      </c>
      <c r="AO287" t="n">
        <v>0</v>
      </c>
      <c r="AP287" t="inlineStr">
        <is>
          <t>No</t>
        </is>
      </c>
      <c r="AQ287" t="inlineStr">
        <is>
          <t>Yes</t>
        </is>
      </c>
      <c r="AR287">
        <f>HYPERLINK("http://catalog.hathitrust.org/Record/004211493","HathiTrust Record")</f>
        <v/>
      </c>
      <c r="AS287">
        <f>HYPERLINK("https://creighton-primo.hosted.exlibrisgroup.com/primo-explore/search?tab=default_tab&amp;search_scope=EVERYTHING&amp;vid=01CRU&amp;lang=en_US&amp;offset=0&amp;query=any,contains,991004050699702656","Catalog Record")</f>
        <v/>
      </c>
      <c r="AT287">
        <f>HYPERLINK("http://www.worldcat.org/oclc/44852109","WorldCat Record")</f>
        <v/>
      </c>
      <c r="AU287" t="inlineStr">
        <is>
          <t>793903081:eng</t>
        </is>
      </c>
      <c r="AV287" t="inlineStr">
        <is>
          <t>44852109</t>
        </is>
      </c>
      <c r="AW287" t="inlineStr">
        <is>
          <t>991004050699702656</t>
        </is>
      </c>
      <c r="AX287" t="inlineStr">
        <is>
          <t>991004050699702656</t>
        </is>
      </c>
      <c r="AY287" t="inlineStr">
        <is>
          <t>2259975150002656</t>
        </is>
      </c>
      <c r="AZ287" t="inlineStr">
        <is>
          <t>BOOK</t>
        </is>
      </c>
      <c r="BB287" t="inlineStr">
        <is>
          <t>9780071359245</t>
        </is>
      </c>
      <c r="BC287" t="inlineStr">
        <is>
          <t>32285004751060</t>
        </is>
      </c>
      <c r="BD287" t="inlineStr">
        <is>
          <t>893687296</t>
        </is>
      </c>
    </row>
    <row r="288">
      <c r="A288" t="inlineStr">
        <is>
          <t>No</t>
        </is>
      </c>
      <c r="B288" t="inlineStr">
        <is>
          <t>RC317.J26 J64 1995</t>
        </is>
      </c>
      <c r="C288" t="inlineStr">
        <is>
          <t>0                      RC 0317000J  26                 J  64          1995</t>
        </is>
      </c>
      <c r="D288" t="inlineStr">
        <is>
          <t>The modern epidemic : a history of tuberculosis in Japan / William Johnston.</t>
        </is>
      </c>
      <c r="F288" t="inlineStr">
        <is>
          <t>No</t>
        </is>
      </c>
      <c r="G288" t="inlineStr">
        <is>
          <t>1</t>
        </is>
      </c>
      <c r="H288" t="inlineStr">
        <is>
          <t>No</t>
        </is>
      </c>
      <c r="I288" t="inlineStr">
        <is>
          <t>No</t>
        </is>
      </c>
      <c r="J288" t="inlineStr">
        <is>
          <t>0</t>
        </is>
      </c>
      <c r="K288" t="inlineStr">
        <is>
          <t>Johnston, William, 1955-</t>
        </is>
      </c>
      <c r="L288" t="inlineStr">
        <is>
          <t>Cambridge, Mass. : Council on East Asian Studies, Harvard University : Distributed by Harvard University Press, 1995.</t>
        </is>
      </c>
      <c r="M288" t="inlineStr">
        <is>
          <t>1995</t>
        </is>
      </c>
      <c r="O288" t="inlineStr">
        <is>
          <t>eng</t>
        </is>
      </c>
      <c r="P288" t="inlineStr">
        <is>
          <t>mau</t>
        </is>
      </c>
      <c r="Q288" t="inlineStr">
        <is>
          <t>Harvard East Asian monographs ; 162</t>
        </is>
      </c>
      <c r="R288" t="inlineStr">
        <is>
          <t xml:space="preserve">RC </t>
        </is>
      </c>
      <c r="S288" t="n">
        <v>1</v>
      </c>
      <c r="T288" t="n">
        <v>1</v>
      </c>
      <c r="U288" t="inlineStr">
        <is>
          <t>2001-08-30</t>
        </is>
      </c>
      <c r="V288" t="inlineStr">
        <is>
          <t>2001-08-30</t>
        </is>
      </c>
      <c r="W288" t="inlineStr">
        <is>
          <t>1999-10-12</t>
        </is>
      </c>
      <c r="X288" t="inlineStr">
        <is>
          <t>1999-10-12</t>
        </is>
      </c>
      <c r="Y288" t="n">
        <v>257</v>
      </c>
      <c r="Z288" t="n">
        <v>195</v>
      </c>
      <c r="AA288" t="n">
        <v>255</v>
      </c>
      <c r="AB288" t="n">
        <v>1</v>
      </c>
      <c r="AC288" t="n">
        <v>1</v>
      </c>
      <c r="AD288" t="n">
        <v>6</v>
      </c>
      <c r="AE288" t="n">
        <v>12</v>
      </c>
      <c r="AF288" t="n">
        <v>1</v>
      </c>
      <c r="AG288" t="n">
        <v>6</v>
      </c>
      <c r="AH288" t="n">
        <v>3</v>
      </c>
      <c r="AI288" t="n">
        <v>4</v>
      </c>
      <c r="AJ288" t="n">
        <v>2</v>
      </c>
      <c r="AK288" t="n">
        <v>3</v>
      </c>
      <c r="AL288" t="n">
        <v>0</v>
      </c>
      <c r="AM288" t="n">
        <v>0</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HYPERLINK("https://creighton-primo.hosted.exlibrisgroup.com/primo-explore/search?tab=default_tab&amp;search_scope=EVERYTHING&amp;vid=01CRU&amp;lang=en_US&amp;offset=0&amp;query=any,contains,991002452619702656","Catalog Record")</f>
        <v/>
      </c>
      <c r="AT288">
        <f>HYPERLINK("http://www.worldcat.org/oclc/31971635","WorldCat Record")</f>
        <v/>
      </c>
      <c r="AU288" t="inlineStr">
        <is>
          <t>837020856:eng</t>
        </is>
      </c>
      <c r="AV288" t="inlineStr">
        <is>
          <t>31971635</t>
        </is>
      </c>
      <c r="AW288" t="inlineStr">
        <is>
          <t>991002452619702656</t>
        </is>
      </c>
      <c r="AX288" t="inlineStr">
        <is>
          <t>991002452619702656</t>
        </is>
      </c>
      <c r="AY288" t="inlineStr">
        <is>
          <t>2267041220002656</t>
        </is>
      </c>
      <c r="AZ288" t="inlineStr">
        <is>
          <t>BOOK</t>
        </is>
      </c>
      <c r="BB288" t="inlineStr">
        <is>
          <t>9780674579125</t>
        </is>
      </c>
      <c r="BC288" t="inlineStr">
        <is>
          <t>32285003610051</t>
        </is>
      </c>
      <c r="BD288" t="inlineStr">
        <is>
          <t>893697800</t>
        </is>
      </c>
    </row>
    <row r="289">
      <c r="A289" t="inlineStr">
        <is>
          <t>No</t>
        </is>
      </c>
      <c r="B289" t="inlineStr">
        <is>
          <t>RC336 .O5</t>
        </is>
      </c>
      <c r="C289" t="inlineStr">
        <is>
          <t>0                      RC 0336000O  5</t>
        </is>
      </c>
      <c r="D289" t="inlineStr">
        <is>
          <t>The manual of psychiatric television: theory, practice, imagination [by] James J. Onder.</t>
        </is>
      </c>
      <c r="F289" t="inlineStr">
        <is>
          <t>No</t>
        </is>
      </c>
      <c r="G289" t="inlineStr">
        <is>
          <t>1</t>
        </is>
      </c>
      <c r="H289" t="inlineStr">
        <is>
          <t>No</t>
        </is>
      </c>
      <c r="I289" t="inlineStr">
        <is>
          <t>No</t>
        </is>
      </c>
      <c r="J289" t="inlineStr">
        <is>
          <t>0</t>
        </is>
      </c>
      <c r="K289" t="inlineStr">
        <is>
          <t>Onder, James J.</t>
        </is>
      </c>
      <c r="L289" t="inlineStr">
        <is>
          <t>[Ann Arbor, Mich., Maynard House Publishers, 1970]</t>
        </is>
      </c>
      <c r="M289" t="inlineStr">
        <is>
          <t>1970</t>
        </is>
      </c>
      <c r="O289" t="inlineStr">
        <is>
          <t>eng</t>
        </is>
      </c>
      <c r="P289" t="inlineStr">
        <is>
          <t>miu</t>
        </is>
      </c>
      <c r="R289" t="inlineStr">
        <is>
          <t xml:space="preserve">RC </t>
        </is>
      </c>
      <c r="S289" t="n">
        <v>5</v>
      </c>
      <c r="T289" t="n">
        <v>5</v>
      </c>
      <c r="U289" t="inlineStr">
        <is>
          <t>2003-06-25</t>
        </is>
      </c>
      <c r="V289" t="inlineStr">
        <is>
          <t>2003-06-25</t>
        </is>
      </c>
      <c r="W289" t="inlineStr">
        <is>
          <t>1997-08-08</t>
        </is>
      </c>
      <c r="X289" t="inlineStr">
        <is>
          <t>1997-08-08</t>
        </is>
      </c>
      <c r="Y289" t="n">
        <v>30</v>
      </c>
      <c r="Z289" t="n">
        <v>24</v>
      </c>
      <c r="AA289" t="n">
        <v>26</v>
      </c>
      <c r="AB289" t="n">
        <v>1</v>
      </c>
      <c r="AC289" t="n">
        <v>1</v>
      </c>
      <c r="AD289" t="n">
        <v>2</v>
      </c>
      <c r="AE289" t="n">
        <v>2</v>
      </c>
      <c r="AF289" t="n">
        <v>0</v>
      </c>
      <c r="AG289" t="n">
        <v>0</v>
      </c>
      <c r="AH289" t="n">
        <v>1</v>
      </c>
      <c r="AI289" t="n">
        <v>1</v>
      </c>
      <c r="AJ289" t="n">
        <v>2</v>
      </c>
      <c r="AK289" t="n">
        <v>2</v>
      </c>
      <c r="AL289" t="n">
        <v>0</v>
      </c>
      <c r="AM289" t="n">
        <v>0</v>
      </c>
      <c r="AN289" t="n">
        <v>0</v>
      </c>
      <c r="AO289" t="n">
        <v>0</v>
      </c>
      <c r="AP289" t="inlineStr">
        <is>
          <t>No</t>
        </is>
      </c>
      <c r="AQ289" t="inlineStr">
        <is>
          <t>Yes</t>
        </is>
      </c>
      <c r="AR289">
        <f>HYPERLINK("http://catalog.hathitrust.org/Record/002065757","HathiTrust Record")</f>
        <v/>
      </c>
      <c r="AS289">
        <f>HYPERLINK("https://creighton-primo.hosted.exlibrisgroup.com/primo-explore/search?tab=default_tab&amp;search_scope=EVERYTHING&amp;vid=01CRU&amp;lang=en_US&amp;offset=0&amp;query=any,contains,991000723089702656","Catalog Record")</f>
        <v/>
      </c>
      <c r="AT289">
        <f>HYPERLINK("http://www.worldcat.org/oclc/127057","WorldCat Record")</f>
        <v/>
      </c>
      <c r="AU289" t="inlineStr">
        <is>
          <t>1254344:eng</t>
        </is>
      </c>
      <c r="AV289" t="inlineStr">
        <is>
          <t>127057</t>
        </is>
      </c>
      <c r="AW289" t="inlineStr">
        <is>
          <t>991000723089702656</t>
        </is>
      </c>
      <c r="AX289" t="inlineStr">
        <is>
          <t>991000723089702656</t>
        </is>
      </c>
      <c r="AY289" t="inlineStr">
        <is>
          <t>2261021470002656</t>
        </is>
      </c>
      <c r="AZ289" t="inlineStr">
        <is>
          <t>BOOK</t>
        </is>
      </c>
      <c r="BC289" t="inlineStr">
        <is>
          <t>32285004677026</t>
        </is>
      </c>
      <c r="BD289" t="inlineStr">
        <is>
          <t>893339824</t>
        </is>
      </c>
    </row>
    <row r="290">
      <c r="A290" t="inlineStr">
        <is>
          <t>No</t>
        </is>
      </c>
      <c r="B290" t="inlineStr">
        <is>
          <t>RC339.52.F73 P4713 1985</t>
        </is>
      </c>
      <c r="C290" t="inlineStr">
        <is>
          <t>0                      RC 0339520F  73                 P  4713        1985</t>
        </is>
      </c>
      <c r="D290" t="inlineStr">
        <is>
          <t>Anna Freud : a life dedicated to children / Uwe Henrik Peters.</t>
        </is>
      </c>
      <c r="F290" t="inlineStr">
        <is>
          <t>No</t>
        </is>
      </c>
      <c r="G290" t="inlineStr">
        <is>
          <t>1</t>
        </is>
      </c>
      <c r="H290" t="inlineStr">
        <is>
          <t>No</t>
        </is>
      </c>
      <c r="I290" t="inlineStr">
        <is>
          <t>No</t>
        </is>
      </c>
      <c r="J290" t="inlineStr">
        <is>
          <t>0</t>
        </is>
      </c>
      <c r="K290" t="inlineStr">
        <is>
          <t>Peters, Uwe Henrik, 1930-</t>
        </is>
      </c>
      <c r="L290" t="inlineStr">
        <is>
          <t>New York : Schocken Books, 1985.</t>
        </is>
      </c>
      <c r="M290" t="inlineStr">
        <is>
          <t>1984</t>
        </is>
      </c>
      <c r="O290" t="inlineStr">
        <is>
          <t>eng</t>
        </is>
      </c>
      <c r="P290" t="inlineStr">
        <is>
          <t>nyu</t>
        </is>
      </c>
      <c r="R290" t="inlineStr">
        <is>
          <t xml:space="preserve">RC </t>
        </is>
      </c>
      <c r="S290" t="n">
        <v>2</v>
      </c>
      <c r="T290" t="n">
        <v>2</v>
      </c>
      <c r="U290" t="inlineStr">
        <is>
          <t>2009-03-11</t>
        </is>
      </c>
      <c r="V290" t="inlineStr">
        <is>
          <t>2009-03-11</t>
        </is>
      </c>
      <c r="W290" t="inlineStr">
        <is>
          <t>1993-03-18</t>
        </is>
      </c>
      <c r="X290" t="inlineStr">
        <is>
          <t>1993-03-18</t>
        </is>
      </c>
      <c r="Y290" t="n">
        <v>532</v>
      </c>
      <c r="Z290" t="n">
        <v>497</v>
      </c>
      <c r="AA290" t="n">
        <v>519</v>
      </c>
      <c r="AB290" t="n">
        <v>3</v>
      </c>
      <c r="AC290" t="n">
        <v>3</v>
      </c>
      <c r="AD290" t="n">
        <v>14</v>
      </c>
      <c r="AE290" t="n">
        <v>14</v>
      </c>
      <c r="AF290" t="n">
        <v>6</v>
      </c>
      <c r="AG290" t="n">
        <v>6</v>
      </c>
      <c r="AH290" t="n">
        <v>3</v>
      </c>
      <c r="AI290" t="n">
        <v>3</v>
      </c>
      <c r="AJ290" t="n">
        <v>5</v>
      </c>
      <c r="AK290" t="n">
        <v>5</v>
      </c>
      <c r="AL290" t="n">
        <v>2</v>
      </c>
      <c r="AM290" t="n">
        <v>2</v>
      </c>
      <c r="AN290" t="n">
        <v>0</v>
      </c>
      <c r="AO290" t="n">
        <v>0</v>
      </c>
      <c r="AP290" t="inlineStr">
        <is>
          <t>No</t>
        </is>
      </c>
      <c r="AQ290" t="inlineStr">
        <is>
          <t>Yes</t>
        </is>
      </c>
      <c r="AR290">
        <f>HYPERLINK("http://catalog.hathitrust.org/Record/000373026","HathiTrust Record")</f>
        <v/>
      </c>
      <c r="AS290">
        <f>HYPERLINK("https://creighton-primo.hosted.exlibrisgroup.com/primo-explore/search?tab=default_tab&amp;search_scope=EVERYTHING&amp;vid=01CRU&amp;lang=en_US&amp;offset=0&amp;query=any,contains,991000366349702656","Catalog Record")</f>
        <v/>
      </c>
      <c r="AT290">
        <f>HYPERLINK("http://www.worldcat.org/oclc/10403462","WorldCat Record")</f>
        <v/>
      </c>
      <c r="AU290" t="inlineStr">
        <is>
          <t>4494912961:eng</t>
        </is>
      </c>
      <c r="AV290" t="inlineStr">
        <is>
          <t>10403462</t>
        </is>
      </c>
      <c r="AW290" t="inlineStr">
        <is>
          <t>991000366349702656</t>
        </is>
      </c>
      <c r="AX290" t="inlineStr">
        <is>
          <t>991000366349702656</t>
        </is>
      </c>
      <c r="AY290" t="inlineStr">
        <is>
          <t>2267138790002656</t>
        </is>
      </c>
      <c r="AZ290" t="inlineStr">
        <is>
          <t>BOOK</t>
        </is>
      </c>
      <c r="BB290" t="inlineStr">
        <is>
          <t>9780805239102</t>
        </is>
      </c>
      <c r="BC290" t="inlineStr">
        <is>
          <t>32285001589471</t>
        </is>
      </c>
      <c r="BD290" t="inlineStr">
        <is>
          <t>893796579</t>
        </is>
      </c>
    </row>
    <row r="291">
      <c r="A291" t="inlineStr">
        <is>
          <t>No</t>
        </is>
      </c>
      <c r="B291" t="inlineStr">
        <is>
          <t>RC339.52.F73 Y68 1988</t>
        </is>
      </c>
      <c r="C291" t="inlineStr">
        <is>
          <t>0                      RC 0339520F  73                 Y  68          1988</t>
        </is>
      </c>
      <c r="D291" t="inlineStr">
        <is>
          <t>Anna Freud : a biography / by Elisabeth Young-Bruehl.</t>
        </is>
      </c>
      <c r="F291" t="inlineStr">
        <is>
          <t>No</t>
        </is>
      </c>
      <c r="G291" t="inlineStr">
        <is>
          <t>1</t>
        </is>
      </c>
      <c r="H291" t="inlineStr">
        <is>
          <t>No</t>
        </is>
      </c>
      <c r="I291" t="inlineStr">
        <is>
          <t>No</t>
        </is>
      </c>
      <c r="J291" t="inlineStr">
        <is>
          <t>0</t>
        </is>
      </c>
      <c r="K291" t="inlineStr">
        <is>
          <t>Young-Bruehl, Elisabeth.</t>
        </is>
      </c>
      <c r="L291" t="inlineStr">
        <is>
          <t>New York : Summit Books, c1988.</t>
        </is>
      </c>
      <c r="M291" t="inlineStr">
        <is>
          <t>1988</t>
        </is>
      </c>
      <c r="O291" t="inlineStr">
        <is>
          <t>eng</t>
        </is>
      </c>
      <c r="P291" t="inlineStr">
        <is>
          <t>nyu</t>
        </is>
      </c>
      <c r="R291" t="inlineStr">
        <is>
          <t xml:space="preserve">RC </t>
        </is>
      </c>
      <c r="S291" t="n">
        <v>2</v>
      </c>
      <c r="T291" t="n">
        <v>2</v>
      </c>
      <c r="U291" t="inlineStr">
        <is>
          <t>2009-03-11</t>
        </is>
      </c>
      <c r="V291" t="inlineStr">
        <is>
          <t>2009-03-11</t>
        </is>
      </c>
      <c r="W291" t="inlineStr">
        <is>
          <t>1993-03-18</t>
        </is>
      </c>
      <c r="X291" t="inlineStr">
        <is>
          <t>1993-03-18</t>
        </is>
      </c>
      <c r="Y291" t="n">
        <v>1172</v>
      </c>
      <c r="Z291" t="n">
        <v>1069</v>
      </c>
      <c r="AA291" t="n">
        <v>1993</v>
      </c>
      <c r="AB291" t="n">
        <v>7</v>
      </c>
      <c r="AC291" t="n">
        <v>19</v>
      </c>
      <c r="AD291" t="n">
        <v>25</v>
      </c>
      <c r="AE291" t="n">
        <v>62</v>
      </c>
      <c r="AF291" t="n">
        <v>8</v>
      </c>
      <c r="AG291" t="n">
        <v>22</v>
      </c>
      <c r="AH291" t="n">
        <v>7</v>
      </c>
      <c r="AI291" t="n">
        <v>11</v>
      </c>
      <c r="AJ291" t="n">
        <v>14</v>
      </c>
      <c r="AK291" t="n">
        <v>25</v>
      </c>
      <c r="AL291" t="n">
        <v>4</v>
      </c>
      <c r="AM291" t="n">
        <v>15</v>
      </c>
      <c r="AN291" t="n">
        <v>0</v>
      </c>
      <c r="AO291" t="n">
        <v>3</v>
      </c>
      <c r="AP291" t="inlineStr">
        <is>
          <t>No</t>
        </is>
      </c>
      <c r="AQ291" t="inlineStr">
        <is>
          <t>Yes</t>
        </is>
      </c>
      <c r="AR291">
        <f>HYPERLINK("http://catalog.hathitrust.org/Record/000942800","HathiTrust Record")</f>
        <v/>
      </c>
      <c r="AS291">
        <f>HYPERLINK("https://creighton-primo.hosted.exlibrisgroup.com/primo-explore/search?tab=default_tab&amp;search_scope=EVERYTHING&amp;vid=01CRU&amp;lang=en_US&amp;offset=0&amp;query=any,contains,991001309459702656","Catalog Record")</f>
        <v/>
      </c>
      <c r="AT291">
        <f>HYPERLINK("http://www.worldcat.org/oclc/18135598","WorldCat Record")</f>
        <v/>
      </c>
      <c r="AU291" t="inlineStr">
        <is>
          <t>792178520:eng</t>
        </is>
      </c>
      <c r="AV291" t="inlineStr">
        <is>
          <t>18135598</t>
        </is>
      </c>
      <c r="AW291" t="inlineStr">
        <is>
          <t>991001309459702656</t>
        </is>
      </c>
      <c r="AX291" t="inlineStr">
        <is>
          <t>991001309459702656</t>
        </is>
      </c>
      <c r="AY291" t="inlineStr">
        <is>
          <t>2260556780002656</t>
        </is>
      </c>
      <c r="AZ291" t="inlineStr">
        <is>
          <t>BOOK</t>
        </is>
      </c>
      <c r="BB291" t="inlineStr">
        <is>
          <t>9780671616960</t>
        </is>
      </c>
      <c r="BC291" t="inlineStr">
        <is>
          <t>32285001589489</t>
        </is>
      </c>
      <c r="BD291" t="inlineStr">
        <is>
          <t>893791364</t>
        </is>
      </c>
    </row>
    <row r="292">
      <c r="A292" t="inlineStr">
        <is>
          <t>No</t>
        </is>
      </c>
      <c r="B292" t="inlineStr">
        <is>
          <t>RC339.52.L34 E9 1981</t>
        </is>
      </c>
      <c r="C292" t="inlineStr">
        <is>
          <t>0                      RC 0339520L  34                 E  9           1981</t>
        </is>
      </c>
      <c r="D292" t="inlineStr">
        <is>
          <t>Dialogue with R.D. Laing / Richard I. Evans.</t>
        </is>
      </c>
      <c r="F292" t="inlineStr">
        <is>
          <t>No</t>
        </is>
      </c>
      <c r="G292" t="inlineStr">
        <is>
          <t>1</t>
        </is>
      </c>
      <c r="H292" t="inlineStr">
        <is>
          <t>No</t>
        </is>
      </c>
      <c r="I292" t="inlineStr">
        <is>
          <t>No</t>
        </is>
      </c>
      <c r="J292" t="inlineStr">
        <is>
          <t>0</t>
        </is>
      </c>
      <c r="K292" t="inlineStr">
        <is>
          <t>Evans, Richard I. (Richard Isadore), 1922-2015.</t>
        </is>
      </c>
      <c r="L292" t="inlineStr">
        <is>
          <t>New York, N.Y. : Praeger, 1981.</t>
        </is>
      </c>
      <c r="M292" t="inlineStr">
        <is>
          <t>1981</t>
        </is>
      </c>
      <c r="O292" t="inlineStr">
        <is>
          <t>eng</t>
        </is>
      </c>
      <c r="P292" t="inlineStr">
        <is>
          <t>nyu</t>
        </is>
      </c>
      <c r="Q292" t="inlineStr">
        <is>
          <t>Dialogues in contemporary psychology series</t>
        </is>
      </c>
      <c r="R292" t="inlineStr">
        <is>
          <t xml:space="preserve">RC </t>
        </is>
      </c>
      <c r="S292" t="n">
        <v>2</v>
      </c>
      <c r="T292" t="n">
        <v>2</v>
      </c>
      <c r="U292" t="inlineStr">
        <is>
          <t>1997-09-04</t>
        </is>
      </c>
      <c r="V292" t="inlineStr">
        <is>
          <t>1997-09-04</t>
        </is>
      </c>
      <c r="W292" t="inlineStr">
        <is>
          <t>1993-03-18</t>
        </is>
      </c>
      <c r="X292" t="inlineStr">
        <is>
          <t>1993-03-18</t>
        </is>
      </c>
      <c r="Y292" t="n">
        <v>112</v>
      </c>
      <c r="Z292" t="n">
        <v>96</v>
      </c>
      <c r="AA292" t="n">
        <v>96</v>
      </c>
      <c r="AB292" t="n">
        <v>3</v>
      </c>
      <c r="AC292" t="n">
        <v>3</v>
      </c>
      <c r="AD292" t="n">
        <v>5</v>
      </c>
      <c r="AE292" t="n">
        <v>5</v>
      </c>
      <c r="AF292" t="n">
        <v>1</v>
      </c>
      <c r="AG292" t="n">
        <v>1</v>
      </c>
      <c r="AH292" t="n">
        <v>1</v>
      </c>
      <c r="AI292" t="n">
        <v>1</v>
      </c>
      <c r="AJ292" t="n">
        <v>2</v>
      </c>
      <c r="AK292" t="n">
        <v>2</v>
      </c>
      <c r="AL292" t="n">
        <v>2</v>
      </c>
      <c r="AM292" t="n">
        <v>2</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HYPERLINK("https://creighton-primo.hosted.exlibrisgroup.com/primo-explore/search?tab=default_tab&amp;search_scope=EVERYTHING&amp;vid=01CRU&amp;lang=en_US&amp;offset=0&amp;query=any,contains,991005171259702656","Catalog Record")</f>
        <v/>
      </c>
      <c r="AT292">
        <f>HYPERLINK("http://www.worldcat.org/oclc/7875238","WorldCat Record")</f>
        <v/>
      </c>
      <c r="AU292" t="inlineStr">
        <is>
          <t>10076355403:eng</t>
        </is>
      </c>
      <c r="AV292" t="inlineStr">
        <is>
          <t>7875238</t>
        </is>
      </c>
      <c r="AW292" t="inlineStr">
        <is>
          <t>991005171259702656</t>
        </is>
      </c>
      <c r="AX292" t="inlineStr">
        <is>
          <t>991005171259702656</t>
        </is>
      </c>
      <c r="AY292" t="inlineStr">
        <is>
          <t>2268188380002656</t>
        </is>
      </c>
      <c r="AZ292" t="inlineStr">
        <is>
          <t>BOOK</t>
        </is>
      </c>
      <c r="BB292" t="inlineStr">
        <is>
          <t>9780030599286</t>
        </is>
      </c>
      <c r="BC292" t="inlineStr">
        <is>
          <t>32285001589539</t>
        </is>
      </c>
      <c r="BD292" t="inlineStr">
        <is>
          <t>893870644</t>
        </is>
      </c>
    </row>
    <row r="293">
      <c r="A293" t="inlineStr">
        <is>
          <t>No</t>
        </is>
      </c>
      <c r="B293" t="inlineStr">
        <is>
          <t>RC339.52.P47 S53 1976b</t>
        </is>
      </c>
      <c r="C293" t="inlineStr">
        <is>
          <t>0                      RC 0339520P  47                 S  53          1976b</t>
        </is>
      </c>
      <c r="D293" t="inlineStr">
        <is>
          <t>Fritz : an intimate portrait of Fritz Perls and Gestalt therapy / Martin Shepard.</t>
        </is>
      </c>
      <c r="F293" t="inlineStr">
        <is>
          <t>No</t>
        </is>
      </c>
      <c r="G293" t="inlineStr">
        <is>
          <t>1</t>
        </is>
      </c>
      <c r="H293" t="inlineStr">
        <is>
          <t>No</t>
        </is>
      </c>
      <c r="I293" t="inlineStr">
        <is>
          <t>No</t>
        </is>
      </c>
      <c r="J293" t="inlineStr">
        <is>
          <t>0</t>
        </is>
      </c>
      <c r="K293" t="inlineStr">
        <is>
          <t>Shepard, Martin, 1934-</t>
        </is>
      </c>
      <c r="L293" t="inlineStr">
        <is>
          <t>New York : Bantam Books, 1976, c1975.</t>
        </is>
      </c>
      <c r="M293" t="inlineStr">
        <is>
          <t>1976</t>
        </is>
      </c>
      <c r="O293" t="inlineStr">
        <is>
          <t>eng</t>
        </is>
      </c>
      <c r="P293" t="inlineStr">
        <is>
          <t>nyu</t>
        </is>
      </c>
      <c r="Q293" t="inlineStr">
        <is>
          <t>Bantam on psychology ; 2202</t>
        </is>
      </c>
      <c r="R293" t="inlineStr">
        <is>
          <t xml:space="preserve">RC </t>
        </is>
      </c>
      <c r="S293" t="n">
        <v>1</v>
      </c>
      <c r="T293" t="n">
        <v>1</v>
      </c>
      <c r="U293" t="inlineStr">
        <is>
          <t>2008-10-02</t>
        </is>
      </c>
      <c r="V293" t="inlineStr">
        <is>
          <t>2008-10-02</t>
        </is>
      </c>
      <c r="W293" t="inlineStr">
        <is>
          <t>1997-08-11</t>
        </is>
      </c>
      <c r="X293" t="inlineStr">
        <is>
          <t>1997-08-11</t>
        </is>
      </c>
      <c r="Y293" t="n">
        <v>24</v>
      </c>
      <c r="Z293" t="n">
        <v>21</v>
      </c>
      <c r="AA293" t="n">
        <v>551</v>
      </c>
      <c r="AB293" t="n">
        <v>1</v>
      </c>
      <c r="AC293" t="n">
        <v>2</v>
      </c>
      <c r="AD293" t="n">
        <v>0</v>
      </c>
      <c r="AE293" t="n">
        <v>12</v>
      </c>
      <c r="AF293" t="n">
        <v>0</v>
      </c>
      <c r="AG293" t="n">
        <v>5</v>
      </c>
      <c r="AH293" t="n">
        <v>0</v>
      </c>
      <c r="AI293" t="n">
        <v>3</v>
      </c>
      <c r="AJ293" t="n">
        <v>0</v>
      </c>
      <c r="AK293" t="n">
        <v>7</v>
      </c>
      <c r="AL293" t="n">
        <v>0</v>
      </c>
      <c r="AM293" t="n">
        <v>1</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HYPERLINK("https://creighton-primo.hosted.exlibrisgroup.com/primo-explore/search?tab=default_tab&amp;search_scope=EVERYTHING&amp;vid=01CRU&amp;lang=en_US&amp;offset=0&amp;query=any,contains,991004115339702656","Catalog Record")</f>
        <v/>
      </c>
      <c r="AT293">
        <f>HYPERLINK("http://www.worldcat.org/oclc/2410683","WorldCat Record")</f>
        <v/>
      </c>
      <c r="AU293" t="inlineStr">
        <is>
          <t>563843:eng</t>
        </is>
      </c>
      <c r="AV293" t="inlineStr">
        <is>
          <t>2410683</t>
        </is>
      </c>
      <c r="AW293" t="inlineStr">
        <is>
          <t>991004115339702656</t>
        </is>
      </c>
      <c r="AX293" t="inlineStr">
        <is>
          <t>991004115339702656</t>
        </is>
      </c>
      <c r="AY293" t="inlineStr">
        <is>
          <t>2265791320002656</t>
        </is>
      </c>
      <c r="AZ293" t="inlineStr">
        <is>
          <t>BOOK</t>
        </is>
      </c>
      <c r="BC293" t="inlineStr">
        <is>
          <t>32285003084653</t>
        </is>
      </c>
      <c r="BD293" t="inlineStr">
        <is>
          <t>893512824</t>
        </is>
      </c>
    </row>
    <row r="294">
      <c r="A294" t="inlineStr">
        <is>
          <t>No</t>
        </is>
      </c>
      <c r="B294" t="inlineStr">
        <is>
          <t>RC340 .G3213 2009</t>
        </is>
      </c>
      <c r="C294" t="inlineStr">
        <is>
          <t>0                      RC 0340000G  3213        2009</t>
        </is>
      </c>
      <c r="D294" t="inlineStr">
        <is>
          <t>The hospital of incurable madness = L'hospedale de' pazzi incurabili (1586) / by Tomaso Garzoni ; translated and notes by Daniela Pastina and John W. Crayton ; introduction by Monica Calabritto.</t>
        </is>
      </c>
      <c r="F294" t="inlineStr">
        <is>
          <t>No</t>
        </is>
      </c>
      <c r="G294" t="inlineStr">
        <is>
          <t>1</t>
        </is>
      </c>
      <c r="H294" t="inlineStr">
        <is>
          <t>No</t>
        </is>
      </c>
      <c r="I294" t="inlineStr">
        <is>
          <t>No</t>
        </is>
      </c>
      <c r="J294" t="inlineStr">
        <is>
          <t>0</t>
        </is>
      </c>
      <c r="K294" t="inlineStr">
        <is>
          <t>Garzoni, Tomaso, 1549?-1589.</t>
        </is>
      </c>
      <c r="L294" t="inlineStr">
        <is>
          <t>Tempe : Arizona Center for Medieval and Renaissance Studies ; Turnhout, Belgium : In collaboration with Brepols, 2009.</t>
        </is>
      </c>
      <c r="M294" t="inlineStr">
        <is>
          <t>2009</t>
        </is>
      </c>
      <c r="O294" t="inlineStr">
        <is>
          <t>eng</t>
        </is>
      </c>
      <c r="P294" t="inlineStr">
        <is>
          <t>azu</t>
        </is>
      </c>
      <c r="Q294" t="inlineStr">
        <is>
          <t>Arizona studies in the Middle Ages and the Renaissance ; v. 26</t>
        </is>
      </c>
      <c r="R294" t="inlineStr">
        <is>
          <t xml:space="preserve">RC </t>
        </is>
      </c>
      <c r="S294" t="n">
        <v>1</v>
      </c>
      <c r="T294" t="n">
        <v>1</v>
      </c>
      <c r="U294" t="inlineStr">
        <is>
          <t>2010-06-03</t>
        </is>
      </c>
      <c r="V294" t="inlineStr">
        <is>
          <t>2010-06-03</t>
        </is>
      </c>
      <c r="W294" t="inlineStr">
        <is>
          <t>2010-06-03</t>
        </is>
      </c>
      <c r="X294" t="inlineStr">
        <is>
          <t>2010-06-03</t>
        </is>
      </c>
      <c r="Y294" t="n">
        <v>107</v>
      </c>
      <c r="Z294" t="n">
        <v>81</v>
      </c>
      <c r="AA294" t="n">
        <v>84</v>
      </c>
      <c r="AB294" t="n">
        <v>1</v>
      </c>
      <c r="AC294" t="n">
        <v>1</v>
      </c>
      <c r="AD294" t="n">
        <v>6</v>
      </c>
      <c r="AE294" t="n">
        <v>6</v>
      </c>
      <c r="AF294" t="n">
        <v>1</v>
      </c>
      <c r="AG294" t="n">
        <v>1</v>
      </c>
      <c r="AH294" t="n">
        <v>3</v>
      </c>
      <c r="AI294" t="n">
        <v>3</v>
      </c>
      <c r="AJ294" t="n">
        <v>4</v>
      </c>
      <c r="AK294" t="n">
        <v>4</v>
      </c>
      <c r="AL294" t="n">
        <v>0</v>
      </c>
      <c r="AM294" t="n">
        <v>0</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HYPERLINK("https://creighton-primo.hosted.exlibrisgroup.com/primo-explore/search?tab=default_tab&amp;search_scope=EVERYTHING&amp;vid=01CRU&amp;lang=en_US&amp;offset=0&amp;query=any,contains,991005388359702656","Catalog Record")</f>
        <v/>
      </c>
      <c r="AT294">
        <f>HYPERLINK("http://www.worldcat.org/oclc/631201134","WorldCat Record")</f>
        <v/>
      </c>
      <c r="AU294" t="inlineStr">
        <is>
          <t>17561001:eng</t>
        </is>
      </c>
      <c r="AV294" t="inlineStr">
        <is>
          <t>631201134</t>
        </is>
      </c>
      <c r="AW294" t="inlineStr">
        <is>
          <t>991005388359702656</t>
        </is>
      </c>
      <c r="AX294" t="inlineStr">
        <is>
          <t>991005388359702656</t>
        </is>
      </c>
      <c r="AY294" t="inlineStr">
        <is>
          <t>2266736060002656</t>
        </is>
      </c>
      <c r="AZ294" t="inlineStr">
        <is>
          <t>BOOK</t>
        </is>
      </c>
      <c r="BB294" t="inlineStr">
        <is>
          <t>9780866984003</t>
        </is>
      </c>
      <c r="BC294" t="inlineStr">
        <is>
          <t>32285005586846</t>
        </is>
      </c>
      <c r="BD294" t="inlineStr">
        <is>
          <t>893508179</t>
        </is>
      </c>
    </row>
    <row r="295">
      <c r="A295" t="inlineStr">
        <is>
          <t>No</t>
        </is>
      </c>
      <c r="B295" t="inlineStr">
        <is>
          <t>RC341 .B33 1993</t>
        </is>
      </c>
      <c r="C295" t="inlineStr">
        <is>
          <t>0                      RC 0341000B  33          1993</t>
        </is>
      </c>
      <c r="D295" t="inlineStr">
        <is>
          <t>Molecules and mental illness / Samuel H. Barondes.</t>
        </is>
      </c>
      <c r="F295" t="inlineStr">
        <is>
          <t>No</t>
        </is>
      </c>
      <c r="G295" t="inlineStr">
        <is>
          <t>1</t>
        </is>
      </c>
      <c r="H295" t="inlineStr">
        <is>
          <t>No</t>
        </is>
      </c>
      <c r="I295" t="inlineStr">
        <is>
          <t>No</t>
        </is>
      </c>
      <c r="J295" t="inlineStr">
        <is>
          <t>0</t>
        </is>
      </c>
      <c r="K295" t="inlineStr">
        <is>
          <t>Barondes, Samuel H., 1933-</t>
        </is>
      </c>
      <c r="L295" t="inlineStr">
        <is>
          <t>New York : Scientific American Library, c1993.</t>
        </is>
      </c>
      <c r="M295" t="inlineStr">
        <is>
          <t>1993</t>
        </is>
      </c>
      <c r="O295" t="inlineStr">
        <is>
          <t>eng</t>
        </is>
      </c>
      <c r="P295" t="inlineStr">
        <is>
          <t>nyu</t>
        </is>
      </c>
      <c r="Q295" t="inlineStr">
        <is>
          <t>Scientific American Library series ; no. 44</t>
        </is>
      </c>
      <c r="R295" t="inlineStr">
        <is>
          <t xml:space="preserve">RC </t>
        </is>
      </c>
      <c r="S295" t="n">
        <v>3</v>
      </c>
      <c r="T295" t="n">
        <v>3</v>
      </c>
      <c r="U295" t="inlineStr">
        <is>
          <t>1997-02-18</t>
        </is>
      </c>
      <c r="V295" t="inlineStr">
        <is>
          <t>1997-02-18</t>
        </is>
      </c>
      <c r="W295" t="inlineStr">
        <is>
          <t>1995-12-27</t>
        </is>
      </c>
      <c r="X295" t="inlineStr">
        <is>
          <t>1995-12-27</t>
        </is>
      </c>
      <c r="Y295" t="n">
        <v>817</v>
      </c>
      <c r="Z295" t="n">
        <v>704</v>
      </c>
      <c r="AA295" t="n">
        <v>848</v>
      </c>
      <c r="AB295" t="n">
        <v>4</v>
      </c>
      <c r="AC295" t="n">
        <v>4</v>
      </c>
      <c r="AD295" t="n">
        <v>22</v>
      </c>
      <c r="AE295" t="n">
        <v>25</v>
      </c>
      <c r="AF295" t="n">
        <v>9</v>
      </c>
      <c r="AG295" t="n">
        <v>10</v>
      </c>
      <c r="AH295" t="n">
        <v>1</v>
      </c>
      <c r="AI295" t="n">
        <v>2</v>
      </c>
      <c r="AJ295" t="n">
        <v>15</v>
      </c>
      <c r="AK295" t="n">
        <v>17</v>
      </c>
      <c r="AL295" t="n">
        <v>2</v>
      </c>
      <c r="AM295" t="n">
        <v>2</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HYPERLINK("https://creighton-primo.hosted.exlibrisgroup.com/primo-explore/search?tab=default_tab&amp;search_scope=EVERYTHING&amp;vid=01CRU&amp;lang=en_US&amp;offset=0&amp;query=any,contains,991002092349702656","Catalog Record")</f>
        <v/>
      </c>
      <c r="AT295">
        <f>HYPERLINK("http://www.worldcat.org/oclc/26852515","WorldCat Record")</f>
        <v/>
      </c>
      <c r="AU295" t="inlineStr">
        <is>
          <t>1036728:eng</t>
        </is>
      </c>
      <c r="AV295" t="inlineStr">
        <is>
          <t>26852515</t>
        </is>
      </c>
      <c r="AW295" t="inlineStr">
        <is>
          <t>991002092349702656</t>
        </is>
      </c>
      <c r="AX295" t="inlineStr">
        <is>
          <t>991002092349702656</t>
        </is>
      </c>
      <c r="AY295" t="inlineStr">
        <is>
          <t>2265029740002656</t>
        </is>
      </c>
      <c r="AZ295" t="inlineStr">
        <is>
          <t>BOOK</t>
        </is>
      </c>
      <c r="BB295" t="inlineStr">
        <is>
          <t>9780716750413</t>
        </is>
      </c>
      <c r="BC295" t="inlineStr">
        <is>
          <t>32285002113537</t>
        </is>
      </c>
      <c r="BD295" t="inlineStr">
        <is>
          <t>893408680</t>
        </is>
      </c>
    </row>
    <row r="296">
      <c r="A296" t="inlineStr">
        <is>
          <t>No</t>
        </is>
      </c>
      <c r="B296" t="inlineStr">
        <is>
          <t>RC341 .B424 1997</t>
        </is>
      </c>
      <c r="C296" t="inlineStr">
        <is>
          <t>0                      RC 0341000B  424         1997</t>
        </is>
      </c>
      <c r="D296" t="inlineStr">
        <is>
          <t>Behavioral neurology and neuropsychology / editors, Todd E. Feinberg, Martha J. Farah.</t>
        </is>
      </c>
      <c r="F296" t="inlineStr">
        <is>
          <t>No</t>
        </is>
      </c>
      <c r="G296" t="inlineStr">
        <is>
          <t>1</t>
        </is>
      </c>
      <c r="H296" t="inlineStr">
        <is>
          <t>No</t>
        </is>
      </c>
      <c r="I296" t="inlineStr">
        <is>
          <t>No</t>
        </is>
      </c>
      <c r="J296" t="inlineStr">
        <is>
          <t>0</t>
        </is>
      </c>
      <c r="L296" t="inlineStr">
        <is>
          <t>New York : McGraw-Hill, c1997.</t>
        </is>
      </c>
      <c r="M296" t="inlineStr">
        <is>
          <t>1997</t>
        </is>
      </c>
      <c r="O296" t="inlineStr">
        <is>
          <t>eng</t>
        </is>
      </c>
      <c r="P296" t="inlineStr">
        <is>
          <t>nyu</t>
        </is>
      </c>
      <c r="R296" t="inlineStr">
        <is>
          <t xml:space="preserve">RC </t>
        </is>
      </c>
      <c r="S296" t="n">
        <v>1</v>
      </c>
      <c r="T296" t="n">
        <v>1</v>
      </c>
      <c r="U296" t="inlineStr">
        <is>
          <t>1998-03-07</t>
        </is>
      </c>
      <c r="V296" t="inlineStr">
        <is>
          <t>1998-03-07</t>
        </is>
      </c>
      <c r="W296" t="inlineStr">
        <is>
          <t>1997-02-06</t>
        </is>
      </c>
      <c r="X296" t="inlineStr">
        <is>
          <t>1997-02-06</t>
        </is>
      </c>
      <c r="Y296" t="n">
        <v>256</v>
      </c>
      <c r="Z296" t="n">
        <v>182</v>
      </c>
      <c r="AA296" t="n">
        <v>245</v>
      </c>
      <c r="AB296" t="n">
        <v>1</v>
      </c>
      <c r="AC296" t="n">
        <v>1</v>
      </c>
      <c r="AD296" t="n">
        <v>9</v>
      </c>
      <c r="AE296" t="n">
        <v>13</v>
      </c>
      <c r="AF296" t="n">
        <v>1</v>
      </c>
      <c r="AG296" t="n">
        <v>2</v>
      </c>
      <c r="AH296" t="n">
        <v>4</v>
      </c>
      <c r="AI296" t="n">
        <v>4</v>
      </c>
      <c r="AJ296" t="n">
        <v>8</v>
      </c>
      <c r="AK296" t="n">
        <v>11</v>
      </c>
      <c r="AL296" t="n">
        <v>0</v>
      </c>
      <c r="AM296" t="n">
        <v>0</v>
      </c>
      <c r="AN296" t="n">
        <v>0</v>
      </c>
      <c r="AO296" t="n">
        <v>0</v>
      </c>
      <c r="AP296" t="inlineStr">
        <is>
          <t>No</t>
        </is>
      </c>
      <c r="AQ296" t="inlineStr">
        <is>
          <t>Yes</t>
        </is>
      </c>
      <c r="AR296">
        <f>HYPERLINK("http://catalog.hathitrust.org/Record/003092774","HathiTrust Record")</f>
        <v/>
      </c>
      <c r="AS296">
        <f>HYPERLINK("https://creighton-primo.hosted.exlibrisgroup.com/primo-explore/search?tab=default_tab&amp;search_scope=EVERYTHING&amp;vid=01CRU&amp;lang=en_US&amp;offset=0&amp;query=any,contains,991002571199702656","Catalog Record")</f>
        <v/>
      </c>
      <c r="AT296">
        <f>HYPERLINK("http://www.worldcat.org/oclc/33407943","WorldCat Record")</f>
        <v/>
      </c>
      <c r="AU296" t="inlineStr">
        <is>
          <t>351095892:eng</t>
        </is>
      </c>
      <c r="AV296" t="inlineStr">
        <is>
          <t>33407943</t>
        </is>
      </c>
      <c r="AW296" t="inlineStr">
        <is>
          <t>991002571199702656</t>
        </is>
      </c>
      <c r="AX296" t="inlineStr">
        <is>
          <t>991002571199702656</t>
        </is>
      </c>
      <c r="AY296" t="inlineStr">
        <is>
          <t>2256984860002656</t>
        </is>
      </c>
      <c r="AZ296" t="inlineStr">
        <is>
          <t>BOOK</t>
        </is>
      </c>
      <c r="BB296" t="inlineStr">
        <is>
          <t>9780070203617</t>
        </is>
      </c>
      <c r="BC296" t="inlineStr">
        <is>
          <t>32285002414612</t>
        </is>
      </c>
      <c r="BD296" t="inlineStr">
        <is>
          <t>893809565</t>
        </is>
      </c>
    </row>
    <row r="297">
      <c r="A297" t="inlineStr">
        <is>
          <t>No</t>
        </is>
      </c>
      <c r="B297" t="inlineStr">
        <is>
          <t>RC341 .C98 1996</t>
        </is>
      </c>
      <c r="C297" t="inlineStr">
        <is>
          <t>0                      RC 0341000C  98          1996</t>
        </is>
      </c>
      <c r="D297" t="inlineStr">
        <is>
          <t>The neurological side of neuropsychology / Richard E. Cytowic.</t>
        </is>
      </c>
      <c r="F297" t="inlineStr">
        <is>
          <t>No</t>
        </is>
      </c>
      <c r="G297" t="inlineStr">
        <is>
          <t>1</t>
        </is>
      </c>
      <c r="H297" t="inlineStr">
        <is>
          <t>No</t>
        </is>
      </c>
      <c r="I297" t="inlineStr">
        <is>
          <t>No</t>
        </is>
      </c>
      <c r="J297" t="inlineStr">
        <is>
          <t>0</t>
        </is>
      </c>
      <c r="K297" t="inlineStr">
        <is>
          <t>Cytowic, Richard E.</t>
        </is>
      </c>
      <c r="L297" t="inlineStr">
        <is>
          <t>Cambridge, Mass. : MIT Press, c1996.</t>
        </is>
      </c>
      <c r="M297" t="inlineStr">
        <is>
          <t>1996</t>
        </is>
      </c>
      <c r="O297" t="inlineStr">
        <is>
          <t>eng</t>
        </is>
      </c>
      <c r="P297" t="inlineStr">
        <is>
          <t>mau</t>
        </is>
      </c>
      <c r="R297" t="inlineStr">
        <is>
          <t xml:space="preserve">RC </t>
        </is>
      </c>
      <c r="S297" t="n">
        <v>3</v>
      </c>
      <c r="T297" t="n">
        <v>3</v>
      </c>
      <c r="U297" t="inlineStr">
        <is>
          <t>2004-11-12</t>
        </is>
      </c>
      <c r="V297" t="inlineStr">
        <is>
          <t>2004-11-12</t>
        </is>
      </c>
      <c r="W297" t="inlineStr">
        <is>
          <t>1997-01-21</t>
        </is>
      </c>
      <c r="X297" t="inlineStr">
        <is>
          <t>1997-01-21</t>
        </is>
      </c>
      <c r="Y297" t="n">
        <v>288</v>
      </c>
      <c r="Z297" t="n">
        <v>201</v>
      </c>
      <c r="AA297" t="n">
        <v>208</v>
      </c>
      <c r="AB297" t="n">
        <v>1</v>
      </c>
      <c r="AC297" t="n">
        <v>1</v>
      </c>
      <c r="AD297" t="n">
        <v>12</v>
      </c>
      <c r="AE297" t="n">
        <v>12</v>
      </c>
      <c r="AF297" t="n">
        <v>6</v>
      </c>
      <c r="AG297" t="n">
        <v>6</v>
      </c>
      <c r="AH297" t="n">
        <v>4</v>
      </c>
      <c r="AI297" t="n">
        <v>4</v>
      </c>
      <c r="AJ297" t="n">
        <v>7</v>
      </c>
      <c r="AK297" t="n">
        <v>7</v>
      </c>
      <c r="AL297" t="n">
        <v>0</v>
      </c>
      <c r="AM297" t="n">
        <v>0</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HYPERLINK("https://creighton-primo.hosted.exlibrisgroup.com/primo-explore/search?tab=default_tab&amp;search_scope=EVERYTHING&amp;vid=01CRU&amp;lang=en_US&amp;offset=0&amp;query=any,contains,991002449959702656","Catalog Record")</f>
        <v/>
      </c>
      <c r="AT297">
        <f>HYPERLINK("http://www.worldcat.org/oclc/31940329","WorldCat Record")</f>
        <v/>
      </c>
      <c r="AU297" t="inlineStr">
        <is>
          <t>34492374:eng</t>
        </is>
      </c>
      <c r="AV297" t="inlineStr">
        <is>
          <t>31940329</t>
        </is>
      </c>
      <c r="AW297" t="inlineStr">
        <is>
          <t>991002449959702656</t>
        </is>
      </c>
      <c r="AX297" t="inlineStr">
        <is>
          <t>991002449959702656</t>
        </is>
      </c>
      <c r="AY297" t="inlineStr">
        <is>
          <t>2258479630002656</t>
        </is>
      </c>
      <c r="AZ297" t="inlineStr">
        <is>
          <t>BOOK</t>
        </is>
      </c>
      <c r="BB297" t="inlineStr">
        <is>
          <t>9780262032315</t>
        </is>
      </c>
      <c r="BC297" t="inlineStr">
        <is>
          <t>32285002409521</t>
        </is>
      </c>
      <c r="BD297" t="inlineStr">
        <is>
          <t>893251251</t>
        </is>
      </c>
    </row>
    <row r="298">
      <c r="A298" t="inlineStr">
        <is>
          <t>No</t>
        </is>
      </c>
      <c r="B298" t="inlineStr">
        <is>
          <t>RC341 .H25</t>
        </is>
      </c>
      <c r="C298" t="inlineStr">
        <is>
          <t>0                      RC 0341000H  25</t>
        </is>
      </c>
      <c r="D298" t="inlineStr">
        <is>
          <t>Handbook of clinical neuropsychology / edited by Susan B. Filskov, Thomas J. Boll.</t>
        </is>
      </c>
      <c r="F298" t="inlineStr">
        <is>
          <t>No</t>
        </is>
      </c>
      <c r="G298" t="inlineStr">
        <is>
          <t>1</t>
        </is>
      </c>
      <c r="H298" t="inlineStr">
        <is>
          <t>No</t>
        </is>
      </c>
      <c r="I298" t="inlineStr">
        <is>
          <t>No</t>
        </is>
      </c>
      <c r="J298" t="inlineStr">
        <is>
          <t>0</t>
        </is>
      </c>
      <c r="L298" t="inlineStr">
        <is>
          <t>New York : Wiley, c1981.</t>
        </is>
      </c>
      <c r="M298" t="inlineStr">
        <is>
          <t>1981</t>
        </is>
      </c>
      <c r="O298" t="inlineStr">
        <is>
          <t>eng</t>
        </is>
      </c>
      <c r="P298" t="inlineStr">
        <is>
          <t>nyu</t>
        </is>
      </c>
      <c r="Q298" t="inlineStr">
        <is>
          <t>Wiley series on personality processes, 0195-4008</t>
        </is>
      </c>
      <c r="R298" t="inlineStr">
        <is>
          <t xml:space="preserve">RC </t>
        </is>
      </c>
      <c r="S298" t="n">
        <v>4</v>
      </c>
      <c r="T298" t="n">
        <v>4</v>
      </c>
      <c r="U298" t="inlineStr">
        <is>
          <t>2006-06-01</t>
        </is>
      </c>
      <c r="V298" t="inlineStr">
        <is>
          <t>2006-06-01</t>
        </is>
      </c>
      <c r="W298" t="inlineStr">
        <is>
          <t>1993-03-18</t>
        </is>
      </c>
      <c r="X298" t="inlineStr">
        <is>
          <t>1993-03-18</t>
        </is>
      </c>
      <c r="Y298" t="n">
        <v>562</v>
      </c>
      <c r="Z298" t="n">
        <v>496</v>
      </c>
      <c r="AA298" t="n">
        <v>576</v>
      </c>
      <c r="AB298" t="n">
        <v>4</v>
      </c>
      <c r="AC298" t="n">
        <v>4</v>
      </c>
      <c r="AD298" t="n">
        <v>24</v>
      </c>
      <c r="AE298" t="n">
        <v>24</v>
      </c>
      <c r="AF298" t="n">
        <v>10</v>
      </c>
      <c r="AG298" t="n">
        <v>10</v>
      </c>
      <c r="AH298" t="n">
        <v>5</v>
      </c>
      <c r="AI298" t="n">
        <v>5</v>
      </c>
      <c r="AJ298" t="n">
        <v>13</v>
      </c>
      <c r="AK298" t="n">
        <v>13</v>
      </c>
      <c r="AL298" t="n">
        <v>2</v>
      </c>
      <c r="AM298" t="n">
        <v>2</v>
      </c>
      <c r="AN298" t="n">
        <v>0</v>
      </c>
      <c r="AO298" t="n">
        <v>0</v>
      </c>
      <c r="AP298" t="inlineStr">
        <is>
          <t>No</t>
        </is>
      </c>
      <c r="AQ298" t="inlineStr">
        <is>
          <t>Yes</t>
        </is>
      </c>
      <c r="AR298">
        <f>HYPERLINK("http://catalog.hathitrust.org/Record/000698104","HathiTrust Record")</f>
        <v/>
      </c>
      <c r="AS298">
        <f>HYPERLINK("https://creighton-primo.hosted.exlibrisgroup.com/primo-explore/search?tab=default_tab&amp;search_scope=EVERYTHING&amp;vid=01CRU&amp;lang=en_US&amp;offset=0&amp;query=any,contains,991004969059702656","Catalog Record")</f>
        <v/>
      </c>
      <c r="AT298">
        <f>HYPERLINK("http://www.worldcat.org/oclc/6356101","WorldCat Record")</f>
        <v/>
      </c>
      <c r="AU298" t="inlineStr">
        <is>
          <t>349930929:eng</t>
        </is>
      </c>
      <c r="AV298" t="inlineStr">
        <is>
          <t>6356101</t>
        </is>
      </c>
      <c r="AW298" t="inlineStr">
        <is>
          <t>991004969059702656</t>
        </is>
      </c>
      <c r="AX298" t="inlineStr">
        <is>
          <t>991004969059702656</t>
        </is>
      </c>
      <c r="AY298" t="inlineStr">
        <is>
          <t>2255585920002656</t>
        </is>
      </c>
      <c r="AZ298" t="inlineStr">
        <is>
          <t>BOOK</t>
        </is>
      </c>
      <c r="BB298" t="inlineStr">
        <is>
          <t>9780471048022</t>
        </is>
      </c>
      <c r="BC298" t="inlineStr">
        <is>
          <t>32285001589570</t>
        </is>
      </c>
      <c r="BD298" t="inlineStr">
        <is>
          <t>893895690</t>
        </is>
      </c>
    </row>
    <row r="299">
      <c r="A299" t="inlineStr">
        <is>
          <t>No</t>
        </is>
      </c>
      <c r="B299" t="inlineStr">
        <is>
          <t>RC341 .J67 1990</t>
        </is>
      </c>
      <c r="C299" t="inlineStr">
        <is>
          <t>0                      RC 0341000J  67          1990</t>
        </is>
      </c>
      <c r="D299" t="inlineStr">
        <is>
          <t>Neuropsychology, neuropsychiatry, and behavioral neurology / Rhawn Joseph.</t>
        </is>
      </c>
      <c r="F299" t="inlineStr">
        <is>
          <t>No</t>
        </is>
      </c>
      <c r="G299" t="inlineStr">
        <is>
          <t>1</t>
        </is>
      </c>
      <c r="H299" t="inlineStr">
        <is>
          <t>No</t>
        </is>
      </c>
      <c r="I299" t="inlineStr">
        <is>
          <t>No</t>
        </is>
      </c>
      <c r="J299" t="inlineStr">
        <is>
          <t>0</t>
        </is>
      </c>
      <c r="K299" t="inlineStr">
        <is>
          <t>Joseph, Rhawn.</t>
        </is>
      </c>
      <c r="L299" t="inlineStr">
        <is>
          <t>New York : Plenum Press, c1990.</t>
        </is>
      </c>
      <c r="M299" t="inlineStr">
        <is>
          <t>1990</t>
        </is>
      </c>
      <c r="O299" t="inlineStr">
        <is>
          <t>eng</t>
        </is>
      </c>
      <c r="P299" t="inlineStr">
        <is>
          <t>nyu</t>
        </is>
      </c>
      <c r="Q299" t="inlineStr">
        <is>
          <t>Critical issues in neuropsychology</t>
        </is>
      </c>
      <c r="R299" t="inlineStr">
        <is>
          <t xml:space="preserve">RC </t>
        </is>
      </c>
      <c r="S299" t="n">
        <v>1</v>
      </c>
      <c r="T299" t="n">
        <v>1</v>
      </c>
      <c r="U299" t="inlineStr">
        <is>
          <t>1998-03-07</t>
        </is>
      </c>
      <c r="V299" t="inlineStr">
        <is>
          <t>1998-03-07</t>
        </is>
      </c>
      <c r="W299" t="inlineStr">
        <is>
          <t>1991-07-03</t>
        </is>
      </c>
      <c r="X299" t="inlineStr">
        <is>
          <t>1991-07-03</t>
        </is>
      </c>
      <c r="Y299" t="n">
        <v>303</v>
      </c>
      <c r="Z299" t="n">
        <v>211</v>
      </c>
      <c r="AA299" t="n">
        <v>225</v>
      </c>
      <c r="AB299" t="n">
        <v>2</v>
      </c>
      <c r="AC299" t="n">
        <v>2</v>
      </c>
      <c r="AD299" t="n">
        <v>9</v>
      </c>
      <c r="AE299" t="n">
        <v>9</v>
      </c>
      <c r="AF299" t="n">
        <v>1</v>
      </c>
      <c r="AG299" t="n">
        <v>1</v>
      </c>
      <c r="AH299" t="n">
        <v>3</v>
      </c>
      <c r="AI299" t="n">
        <v>3</v>
      </c>
      <c r="AJ299" t="n">
        <v>7</v>
      </c>
      <c r="AK299" t="n">
        <v>7</v>
      </c>
      <c r="AL299" t="n">
        <v>1</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HYPERLINK("https://creighton-primo.hosted.exlibrisgroup.com/primo-explore/search?tab=default_tab&amp;search_scope=EVERYTHING&amp;vid=01CRU&amp;lang=en_US&amp;offset=0&amp;query=any,contains,991001542099702656","Catalog Record")</f>
        <v/>
      </c>
      <c r="AT299">
        <f>HYPERLINK("http://www.worldcat.org/oclc/20132063","WorldCat Record")</f>
        <v/>
      </c>
      <c r="AU299" t="inlineStr">
        <is>
          <t>21651762:eng</t>
        </is>
      </c>
      <c r="AV299" t="inlineStr">
        <is>
          <t>20132063</t>
        </is>
      </c>
      <c r="AW299" t="inlineStr">
        <is>
          <t>991001542099702656</t>
        </is>
      </c>
      <c r="AX299" t="inlineStr">
        <is>
          <t>991001542099702656</t>
        </is>
      </c>
      <c r="AY299" t="inlineStr">
        <is>
          <t>2262466910002656</t>
        </is>
      </c>
      <c r="AZ299" t="inlineStr">
        <is>
          <t>BOOK</t>
        </is>
      </c>
      <c r="BB299" t="inlineStr">
        <is>
          <t>9780306431364</t>
        </is>
      </c>
      <c r="BC299" t="inlineStr">
        <is>
          <t>32285000659564</t>
        </is>
      </c>
      <c r="BD299" t="inlineStr">
        <is>
          <t>893684397</t>
        </is>
      </c>
    </row>
    <row r="300">
      <c r="A300" t="inlineStr">
        <is>
          <t>No</t>
        </is>
      </c>
      <c r="B300" t="inlineStr">
        <is>
          <t>RC341 .M37</t>
        </is>
      </c>
      <c r="C300" t="inlineStr">
        <is>
          <t>0                      RC 0341000M  37</t>
        </is>
      </c>
      <c r="D300" t="inlineStr">
        <is>
          <t>Principles of abnormal psychology: the dynamics of psychic illness [by] A. H. Maslow ... and Béla Mittelmann ...</t>
        </is>
      </c>
      <c r="F300" t="inlineStr">
        <is>
          <t>No</t>
        </is>
      </c>
      <c r="G300" t="inlineStr">
        <is>
          <t>1</t>
        </is>
      </c>
      <c r="H300" t="inlineStr">
        <is>
          <t>No</t>
        </is>
      </c>
      <c r="I300" t="inlineStr">
        <is>
          <t>No</t>
        </is>
      </c>
      <c r="J300" t="inlineStr">
        <is>
          <t>0</t>
        </is>
      </c>
      <c r="K300" t="inlineStr">
        <is>
          <t>Maslow, Abraham H. (Abraham Harold)</t>
        </is>
      </c>
      <c r="L300" t="inlineStr">
        <is>
          <t>New York, London, Harper &amp; brothers [c1941]</t>
        </is>
      </c>
      <c r="M300" t="inlineStr">
        <is>
          <t>1941</t>
        </is>
      </c>
      <c r="O300" t="inlineStr">
        <is>
          <t>eng</t>
        </is>
      </c>
      <c r="P300" t="inlineStr">
        <is>
          <t>nyu</t>
        </is>
      </c>
      <c r="R300" t="inlineStr">
        <is>
          <t xml:space="preserve">RC </t>
        </is>
      </c>
      <c r="S300" t="n">
        <v>1</v>
      </c>
      <c r="T300" t="n">
        <v>1</v>
      </c>
      <c r="U300" t="inlineStr">
        <is>
          <t>2001-09-13</t>
        </is>
      </c>
      <c r="V300" t="inlineStr">
        <is>
          <t>2001-09-13</t>
        </is>
      </c>
      <c r="W300" t="inlineStr">
        <is>
          <t>1997-08-11</t>
        </is>
      </c>
      <c r="X300" t="inlineStr">
        <is>
          <t>1997-08-11</t>
        </is>
      </c>
      <c r="Y300" t="n">
        <v>514</v>
      </c>
      <c r="Z300" t="n">
        <v>436</v>
      </c>
      <c r="AA300" t="n">
        <v>812</v>
      </c>
      <c r="AB300" t="n">
        <v>8</v>
      </c>
      <c r="AC300" t="n">
        <v>9</v>
      </c>
      <c r="AD300" t="n">
        <v>29</v>
      </c>
      <c r="AE300" t="n">
        <v>40</v>
      </c>
      <c r="AF300" t="n">
        <v>15</v>
      </c>
      <c r="AG300" t="n">
        <v>20</v>
      </c>
      <c r="AH300" t="n">
        <v>4</v>
      </c>
      <c r="AI300" t="n">
        <v>6</v>
      </c>
      <c r="AJ300" t="n">
        <v>13</v>
      </c>
      <c r="AK300" t="n">
        <v>18</v>
      </c>
      <c r="AL300" t="n">
        <v>6</v>
      </c>
      <c r="AM300" t="n">
        <v>7</v>
      </c>
      <c r="AN300" t="n">
        <v>0</v>
      </c>
      <c r="AO300" t="n">
        <v>0</v>
      </c>
      <c r="AP300" t="inlineStr">
        <is>
          <t>No</t>
        </is>
      </c>
      <c r="AQ300" t="inlineStr">
        <is>
          <t>Yes</t>
        </is>
      </c>
      <c r="AR300">
        <f>HYPERLINK("http://catalog.hathitrust.org/Record/000657469","HathiTrust Record")</f>
        <v/>
      </c>
      <c r="AS300">
        <f>HYPERLINK("https://creighton-primo.hosted.exlibrisgroup.com/primo-explore/search?tab=default_tab&amp;search_scope=EVERYTHING&amp;vid=01CRU&amp;lang=en_US&amp;offset=0&amp;query=any,contains,991005007439702656","Catalog Record")</f>
        <v/>
      </c>
      <c r="AT300">
        <f>HYPERLINK("http://www.worldcat.org/oclc/6580141","WorldCat Record")</f>
        <v/>
      </c>
      <c r="AU300" t="inlineStr">
        <is>
          <t>1346046:eng</t>
        </is>
      </c>
      <c r="AV300" t="inlineStr">
        <is>
          <t>6580141</t>
        </is>
      </c>
      <c r="AW300" t="inlineStr">
        <is>
          <t>991005007439702656</t>
        </is>
      </c>
      <c r="AX300" t="inlineStr">
        <is>
          <t>991005007439702656</t>
        </is>
      </c>
      <c r="AY300" t="inlineStr">
        <is>
          <t>2254733350002656</t>
        </is>
      </c>
      <c r="AZ300" t="inlineStr">
        <is>
          <t>BOOK</t>
        </is>
      </c>
      <c r="BC300" t="inlineStr">
        <is>
          <t>32285003084679</t>
        </is>
      </c>
      <c r="BD300" t="inlineStr">
        <is>
          <t>893625342</t>
        </is>
      </c>
    </row>
    <row r="301">
      <c r="A301" t="inlineStr">
        <is>
          <t>No</t>
        </is>
      </c>
      <c r="B301" t="inlineStr">
        <is>
          <t>RC341 .R45 1946</t>
        </is>
      </c>
      <c r="C301" t="inlineStr">
        <is>
          <t>0                      RC 0341000R  45          1946</t>
        </is>
      </c>
      <c r="D301" t="inlineStr">
        <is>
          <t>Introduction to psychobiology and psychiatry.</t>
        </is>
      </c>
      <c r="F301" t="inlineStr">
        <is>
          <t>No</t>
        </is>
      </c>
      <c r="G301" t="inlineStr">
        <is>
          <t>1</t>
        </is>
      </c>
      <c r="H301" t="inlineStr">
        <is>
          <t>No</t>
        </is>
      </c>
      <c r="I301" t="inlineStr">
        <is>
          <t>No</t>
        </is>
      </c>
      <c r="J301" t="inlineStr">
        <is>
          <t>0</t>
        </is>
      </c>
      <c r="K301" t="inlineStr">
        <is>
          <t>Richards, Esther Loring, 1885-</t>
        </is>
      </c>
      <c r="L301" t="inlineStr">
        <is>
          <t>St. Louis, Mosby, 1946.</t>
        </is>
      </c>
      <c r="M301" t="inlineStr">
        <is>
          <t>1946</t>
        </is>
      </c>
      <c r="N301" t="inlineStr">
        <is>
          <t>2d ed.</t>
        </is>
      </c>
      <c r="O301" t="inlineStr">
        <is>
          <t>eng</t>
        </is>
      </c>
      <c r="P301" t="inlineStr">
        <is>
          <t>mou</t>
        </is>
      </c>
      <c r="R301" t="inlineStr">
        <is>
          <t xml:space="preserve">RC </t>
        </is>
      </c>
      <c r="S301" t="n">
        <v>5</v>
      </c>
      <c r="T301" t="n">
        <v>5</v>
      </c>
      <c r="U301" t="inlineStr">
        <is>
          <t>1998-03-05</t>
        </is>
      </c>
      <c r="V301" t="inlineStr">
        <is>
          <t>1998-03-05</t>
        </is>
      </c>
      <c r="W301" t="inlineStr">
        <is>
          <t>1997-08-11</t>
        </is>
      </c>
      <c r="X301" t="inlineStr">
        <is>
          <t>1997-08-11</t>
        </is>
      </c>
      <c r="Y301" t="n">
        <v>57</v>
      </c>
      <c r="Z301" t="n">
        <v>47</v>
      </c>
      <c r="AA301" t="n">
        <v>164</v>
      </c>
      <c r="AB301" t="n">
        <v>1</v>
      </c>
      <c r="AC301" t="n">
        <v>2</v>
      </c>
      <c r="AD301" t="n">
        <v>2</v>
      </c>
      <c r="AE301" t="n">
        <v>9</v>
      </c>
      <c r="AF301" t="n">
        <v>1</v>
      </c>
      <c r="AG301" t="n">
        <v>3</v>
      </c>
      <c r="AH301" t="n">
        <v>1</v>
      </c>
      <c r="AI301" t="n">
        <v>1</v>
      </c>
      <c r="AJ301" t="n">
        <v>1</v>
      </c>
      <c r="AK301" t="n">
        <v>5</v>
      </c>
      <c r="AL301" t="n">
        <v>0</v>
      </c>
      <c r="AM301" t="n">
        <v>1</v>
      </c>
      <c r="AN301" t="n">
        <v>0</v>
      </c>
      <c r="AO301" t="n">
        <v>0</v>
      </c>
      <c r="AP301" t="inlineStr">
        <is>
          <t>No</t>
        </is>
      </c>
      <c r="AQ301" t="inlineStr">
        <is>
          <t>No</t>
        </is>
      </c>
      <c r="AR301">
        <f>HYPERLINK("http://catalog.hathitrust.org/Record/006196123","HathiTrust Record")</f>
        <v/>
      </c>
      <c r="AS301">
        <f>HYPERLINK("https://creighton-primo.hosted.exlibrisgroup.com/primo-explore/search?tab=default_tab&amp;search_scope=EVERYTHING&amp;vid=01CRU&amp;lang=en_US&amp;offset=0&amp;query=any,contains,991004732939702656","Catalog Record")</f>
        <v/>
      </c>
      <c r="AT301">
        <f>HYPERLINK("http://www.worldcat.org/oclc/4837167","WorldCat Record")</f>
        <v/>
      </c>
      <c r="AU301" t="inlineStr">
        <is>
          <t>1862602997:eng</t>
        </is>
      </c>
      <c r="AV301" t="inlineStr">
        <is>
          <t>4837167</t>
        </is>
      </c>
      <c r="AW301" t="inlineStr">
        <is>
          <t>991004732939702656</t>
        </is>
      </c>
      <c r="AX301" t="inlineStr">
        <is>
          <t>991004732939702656</t>
        </is>
      </c>
      <c r="AY301" t="inlineStr">
        <is>
          <t>2263338350002656</t>
        </is>
      </c>
      <c r="AZ301" t="inlineStr">
        <is>
          <t>BOOK</t>
        </is>
      </c>
      <c r="BC301" t="inlineStr">
        <is>
          <t>32285003084695</t>
        </is>
      </c>
      <c r="BD301" t="inlineStr">
        <is>
          <t>893344188</t>
        </is>
      </c>
    </row>
    <row r="302">
      <c r="A302" t="inlineStr">
        <is>
          <t>No</t>
        </is>
      </c>
      <c r="B302" t="inlineStr">
        <is>
          <t>RC341 .T44 2001</t>
        </is>
      </c>
      <c r="C302" t="inlineStr">
        <is>
          <t>0                      RC 0341000T  44          2001</t>
        </is>
      </c>
      <c r="D302" t="inlineStr">
        <is>
          <t>Theory and method in the neurosciences / edited by Peter K. Machamer, Rick Grush, and Peter McLaughlin.</t>
        </is>
      </c>
      <c r="F302" t="inlineStr">
        <is>
          <t>No</t>
        </is>
      </c>
      <c r="G302" t="inlineStr">
        <is>
          <t>1</t>
        </is>
      </c>
      <c r="H302" t="inlineStr">
        <is>
          <t>No</t>
        </is>
      </c>
      <c r="I302" t="inlineStr">
        <is>
          <t>No</t>
        </is>
      </c>
      <c r="J302" t="inlineStr">
        <is>
          <t>0</t>
        </is>
      </c>
      <c r="L302" t="inlineStr">
        <is>
          <t>Pittsburgh, Pa. : University of Pittsburgh Press, c2001.</t>
        </is>
      </c>
      <c r="M302" t="inlineStr">
        <is>
          <t>2001</t>
        </is>
      </c>
      <c r="O302" t="inlineStr">
        <is>
          <t>eng</t>
        </is>
      </c>
      <c r="P302" t="inlineStr">
        <is>
          <t>pau</t>
        </is>
      </c>
      <c r="Q302" t="inlineStr">
        <is>
          <t>Pittsburgh-Kostanz series in the philosophy and history of science</t>
        </is>
      </c>
      <c r="R302" t="inlineStr">
        <is>
          <t xml:space="preserve">RC </t>
        </is>
      </c>
      <c r="S302" t="n">
        <v>2</v>
      </c>
      <c r="T302" t="n">
        <v>2</v>
      </c>
      <c r="U302" t="inlineStr">
        <is>
          <t>2006-12-07</t>
        </is>
      </c>
      <c r="V302" t="inlineStr">
        <is>
          <t>2006-12-07</t>
        </is>
      </c>
      <c r="W302" t="inlineStr">
        <is>
          <t>2001-05-14</t>
        </is>
      </c>
      <c r="X302" t="inlineStr">
        <is>
          <t>2001-05-14</t>
        </is>
      </c>
      <c r="Y302" t="n">
        <v>209</v>
      </c>
      <c r="Z302" t="n">
        <v>160</v>
      </c>
      <c r="AA302" t="n">
        <v>191</v>
      </c>
      <c r="AB302" t="n">
        <v>1</v>
      </c>
      <c r="AC302" t="n">
        <v>1</v>
      </c>
      <c r="AD302" t="n">
        <v>6</v>
      </c>
      <c r="AE302" t="n">
        <v>7</v>
      </c>
      <c r="AF302" t="n">
        <v>2</v>
      </c>
      <c r="AG302" t="n">
        <v>2</v>
      </c>
      <c r="AH302" t="n">
        <v>2</v>
      </c>
      <c r="AI302" t="n">
        <v>3</v>
      </c>
      <c r="AJ302" t="n">
        <v>6</v>
      </c>
      <c r="AK302" t="n">
        <v>6</v>
      </c>
      <c r="AL302" t="n">
        <v>0</v>
      </c>
      <c r="AM302" t="n">
        <v>0</v>
      </c>
      <c r="AN302" t="n">
        <v>0</v>
      </c>
      <c r="AO302" t="n">
        <v>0</v>
      </c>
      <c r="AP302" t="inlineStr">
        <is>
          <t>No</t>
        </is>
      </c>
      <c r="AQ302" t="inlineStr">
        <is>
          <t>Yes</t>
        </is>
      </c>
      <c r="AR302">
        <f>HYPERLINK("http://catalog.hathitrust.org/Record/004172879","HathiTrust Record")</f>
        <v/>
      </c>
      <c r="AS302">
        <f>HYPERLINK("https://creighton-primo.hosted.exlibrisgroup.com/primo-explore/search?tab=default_tab&amp;search_scope=EVERYTHING&amp;vid=01CRU&amp;lang=en_US&amp;offset=0&amp;query=any,contains,991003485629702656","Catalog Record")</f>
        <v/>
      </c>
      <c r="AT302">
        <f>HYPERLINK("http://www.worldcat.org/oclc/46592316","WorldCat Record")</f>
        <v/>
      </c>
      <c r="AU302" t="inlineStr">
        <is>
          <t>475885738:eng</t>
        </is>
      </c>
      <c r="AV302" t="inlineStr">
        <is>
          <t>46592316</t>
        </is>
      </c>
      <c r="AW302" t="inlineStr">
        <is>
          <t>991003485629702656</t>
        </is>
      </c>
      <c r="AX302" t="inlineStr">
        <is>
          <t>991003485629702656</t>
        </is>
      </c>
      <c r="AY302" t="inlineStr">
        <is>
          <t>2258512810002656</t>
        </is>
      </c>
      <c r="AZ302" t="inlineStr">
        <is>
          <t>BOOK</t>
        </is>
      </c>
      <c r="BB302" t="inlineStr">
        <is>
          <t>9780822941408</t>
        </is>
      </c>
      <c r="BC302" t="inlineStr">
        <is>
          <t>32285004317094</t>
        </is>
      </c>
      <c r="BD302" t="inlineStr">
        <is>
          <t>893721956</t>
        </is>
      </c>
    </row>
    <row r="303">
      <c r="A303" t="inlineStr">
        <is>
          <t>No</t>
        </is>
      </c>
      <c r="B303" t="inlineStr">
        <is>
          <t>RC343 .B43 2003</t>
        </is>
      </c>
      <c r="C303" t="inlineStr">
        <is>
          <t>0                      RC 0343000B  43          2003</t>
        </is>
      </c>
      <c r="D303" t="inlineStr">
        <is>
          <t>Philosophy and neuroscience : a ruthlessly reductive account / by John Bickle.</t>
        </is>
      </c>
      <c r="F303" t="inlineStr">
        <is>
          <t>No</t>
        </is>
      </c>
      <c r="G303" t="inlineStr">
        <is>
          <t>1</t>
        </is>
      </c>
      <c r="H303" t="inlineStr">
        <is>
          <t>No</t>
        </is>
      </c>
      <c r="I303" t="inlineStr">
        <is>
          <t>No</t>
        </is>
      </c>
      <c r="J303" t="inlineStr">
        <is>
          <t>0</t>
        </is>
      </c>
      <c r="K303" t="inlineStr">
        <is>
          <t>Bickle, John.</t>
        </is>
      </c>
      <c r="L303" t="inlineStr">
        <is>
          <t>Dordrecht ; Boston : Kluwer Academic Publishers, c2003.</t>
        </is>
      </c>
      <c r="M303" t="inlineStr">
        <is>
          <t>2003</t>
        </is>
      </c>
      <c r="O303" t="inlineStr">
        <is>
          <t>eng</t>
        </is>
      </c>
      <c r="P303" t="inlineStr">
        <is>
          <t xml:space="preserve">ne </t>
        </is>
      </c>
      <c r="Q303" t="inlineStr">
        <is>
          <t>Studies in brain and mind ; v. 2</t>
        </is>
      </c>
      <c r="R303" t="inlineStr">
        <is>
          <t xml:space="preserve">RC </t>
        </is>
      </c>
      <c r="S303" t="n">
        <v>1</v>
      </c>
      <c r="T303" t="n">
        <v>1</v>
      </c>
      <c r="U303" t="inlineStr">
        <is>
          <t>2005-10-20</t>
        </is>
      </c>
      <c r="V303" t="inlineStr">
        <is>
          <t>2005-10-20</t>
        </is>
      </c>
      <c r="W303" t="inlineStr">
        <is>
          <t>2005-10-20</t>
        </is>
      </c>
      <c r="X303" t="inlineStr">
        <is>
          <t>2005-10-20</t>
        </is>
      </c>
      <c r="Y303" t="n">
        <v>156</v>
      </c>
      <c r="Z303" t="n">
        <v>99</v>
      </c>
      <c r="AA303" t="n">
        <v>122</v>
      </c>
      <c r="AB303" t="n">
        <v>1</v>
      </c>
      <c r="AC303" t="n">
        <v>1</v>
      </c>
      <c r="AD303" t="n">
        <v>4</v>
      </c>
      <c r="AE303" t="n">
        <v>6</v>
      </c>
      <c r="AF303" t="n">
        <v>0</v>
      </c>
      <c r="AG303" t="n">
        <v>2</v>
      </c>
      <c r="AH303" t="n">
        <v>2</v>
      </c>
      <c r="AI303" t="n">
        <v>3</v>
      </c>
      <c r="AJ303" t="n">
        <v>4</v>
      </c>
      <c r="AK303" t="n">
        <v>5</v>
      </c>
      <c r="AL303" t="n">
        <v>0</v>
      </c>
      <c r="AM303" t="n">
        <v>0</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HYPERLINK("https://creighton-primo.hosted.exlibrisgroup.com/primo-explore/search?tab=default_tab&amp;search_scope=EVERYTHING&amp;vid=01CRU&amp;lang=en_US&amp;offset=0&amp;query=any,contains,991004668569702656","Catalog Record")</f>
        <v/>
      </c>
      <c r="AT303">
        <f>HYPERLINK("http://www.worldcat.org/oclc/51764606","WorldCat Record")</f>
        <v/>
      </c>
      <c r="AU303" t="inlineStr">
        <is>
          <t>837600263:eng</t>
        </is>
      </c>
      <c r="AV303" t="inlineStr">
        <is>
          <t>51764606</t>
        </is>
      </c>
      <c r="AW303" t="inlineStr">
        <is>
          <t>991004668569702656</t>
        </is>
      </c>
      <c r="AX303" t="inlineStr">
        <is>
          <t>991004668569702656</t>
        </is>
      </c>
      <c r="AY303" t="inlineStr">
        <is>
          <t>2271407920002656</t>
        </is>
      </c>
      <c r="AZ303" t="inlineStr">
        <is>
          <t>BOOK</t>
        </is>
      </c>
      <c r="BB303" t="inlineStr">
        <is>
          <t>9781402013027</t>
        </is>
      </c>
      <c r="BC303" t="inlineStr">
        <is>
          <t>32285005141105</t>
        </is>
      </c>
      <c r="BD303" t="inlineStr">
        <is>
          <t>893337982</t>
        </is>
      </c>
    </row>
    <row r="304">
      <c r="A304" t="inlineStr">
        <is>
          <t>No</t>
        </is>
      </c>
      <c r="B304" t="inlineStr">
        <is>
          <t>RC343 .B666</t>
        </is>
      </c>
      <c r="C304" t="inlineStr">
        <is>
          <t>0                      RC 0343000B  666</t>
        </is>
      </c>
      <c r="D304" t="inlineStr">
        <is>
          <t>Brain-behavior relationships / edited by James R. Merikangas.</t>
        </is>
      </c>
      <c r="F304" t="inlineStr">
        <is>
          <t>No</t>
        </is>
      </c>
      <c r="G304" t="inlineStr">
        <is>
          <t>1</t>
        </is>
      </c>
      <c r="H304" t="inlineStr">
        <is>
          <t>No</t>
        </is>
      </c>
      <c r="I304" t="inlineStr">
        <is>
          <t>No</t>
        </is>
      </c>
      <c r="J304" t="inlineStr">
        <is>
          <t>0</t>
        </is>
      </c>
      <c r="L304" t="inlineStr">
        <is>
          <t>Lexington, Mass. : Lexington Books, c1981.</t>
        </is>
      </c>
      <c r="M304" t="inlineStr">
        <is>
          <t>1981</t>
        </is>
      </c>
      <c r="O304" t="inlineStr">
        <is>
          <t>eng</t>
        </is>
      </c>
      <c r="P304" t="inlineStr">
        <is>
          <t>mau</t>
        </is>
      </c>
      <c r="R304" t="inlineStr">
        <is>
          <t xml:space="preserve">RC </t>
        </is>
      </c>
      <c r="S304" t="n">
        <v>1</v>
      </c>
      <c r="T304" t="n">
        <v>1</v>
      </c>
      <c r="U304" t="inlineStr">
        <is>
          <t>1995-01-31</t>
        </is>
      </c>
      <c r="V304" t="inlineStr">
        <is>
          <t>1995-01-31</t>
        </is>
      </c>
      <c r="W304" t="inlineStr">
        <is>
          <t>1993-03-18</t>
        </is>
      </c>
      <c r="X304" t="inlineStr">
        <is>
          <t>1993-03-18</t>
        </is>
      </c>
      <c r="Y304" t="n">
        <v>198</v>
      </c>
      <c r="Z304" t="n">
        <v>142</v>
      </c>
      <c r="AA304" t="n">
        <v>163</v>
      </c>
      <c r="AB304" t="n">
        <v>2</v>
      </c>
      <c r="AC304" t="n">
        <v>2</v>
      </c>
      <c r="AD304" t="n">
        <v>5</v>
      </c>
      <c r="AE304" t="n">
        <v>5</v>
      </c>
      <c r="AF304" t="n">
        <v>0</v>
      </c>
      <c r="AG304" t="n">
        <v>0</v>
      </c>
      <c r="AH304" t="n">
        <v>1</v>
      </c>
      <c r="AI304" t="n">
        <v>1</v>
      </c>
      <c r="AJ304" t="n">
        <v>3</v>
      </c>
      <c r="AK304" t="n">
        <v>3</v>
      </c>
      <c r="AL304" t="n">
        <v>1</v>
      </c>
      <c r="AM304" t="n">
        <v>1</v>
      </c>
      <c r="AN304" t="n">
        <v>0</v>
      </c>
      <c r="AO304" t="n">
        <v>0</v>
      </c>
      <c r="AP304" t="inlineStr">
        <is>
          <t>No</t>
        </is>
      </c>
      <c r="AQ304" t="inlineStr">
        <is>
          <t>Yes</t>
        </is>
      </c>
      <c r="AR304">
        <f>HYPERLINK("http://catalog.hathitrust.org/Record/000129090","HathiTrust Record")</f>
        <v/>
      </c>
      <c r="AS304">
        <f>HYPERLINK("https://creighton-primo.hosted.exlibrisgroup.com/primo-explore/search?tab=default_tab&amp;search_scope=EVERYTHING&amp;vid=01CRU&amp;lang=en_US&amp;offset=0&amp;query=any,contains,991005053909702656","Catalog Record")</f>
        <v/>
      </c>
      <c r="AT304">
        <f>HYPERLINK("http://www.worldcat.org/oclc/6889860","WorldCat Record")</f>
        <v/>
      </c>
      <c r="AU304" t="inlineStr">
        <is>
          <t>54407989:eng</t>
        </is>
      </c>
      <c r="AV304" t="inlineStr">
        <is>
          <t>6889860</t>
        </is>
      </c>
      <c r="AW304" t="inlineStr">
        <is>
          <t>991005053909702656</t>
        </is>
      </c>
      <c r="AX304" t="inlineStr">
        <is>
          <t>991005053909702656</t>
        </is>
      </c>
      <c r="AY304" t="inlineStr">
        <is>
          <t>2269353270002656</t>
        </is>
      </c>
      <c r="AZ304" t="inlineStr">
        <is>
          <t>BOOK</t>
        </is>
      </c>
      <c r="BB304" t="inlineStr">
        <is>
          <t>9780669030822</t>
        </is>
      </c>
      <c r="BC304" t="inlineStr">
        <is>
          <t>32285001589604</t>
        </is>
      </c>
      <c r="BD304" t="inlineStr">
        <is>
          <t>893242123</t>
        </is>
      </c>
    </row>
    <row r="305">
      <c r="A305" t="inlineStr">
        <is>
          <t>No</t>
        </is>
      </c>
      <c r="B305" t="inlineStr">
        <is>
          <t>RC343 .B75</t>
        </is>
      </c>
      <c r="C305" t="inlineStr">
        <is>
          <t>0                      RC 0343000B  75</t>
        </is>
      </c>
      <c r="D305" t="inlineStr">
        <is>
          <t>Mind, brain, and consciousness : the neuropsychology of cognition / Jason Brown.</t>
        </is>
      </c>
      <c r="F305" t="inlineStr">
        <is>
          <t>No</t>
        </is>
      </c>
      <c r="G305" t="inlineStr">
        <is>
          <t>1</t>
        </is>
      </c>
      <c r="H305" t="inlineStr">
        <is>
          <t>No</t>
        </is>
      </c>
      <c r="I305" t="inlineStr">
        <is>
          <t>No</t>
        </is>
      </c>
      <c r="J305" t="inlineStr">
        <is>
          <t>0</t>
        </is>
      </c>
      <c r="K305" t="inlineStr">
        <is>
          <t>Brown, Jason W.</t>
        </is>
      </c>
      <c r="L305" t="inlineStr">
        <is>
          <t>New York : Academic Press, 1977.</t>
        </is>
      </c>
      <c r="M305" t="inlineStr">
        <is>
          <t>1977</t>
        </is>
      </c>
      <c r="O305" t="inlineStr">
        <is>
          <t>eng</t>
        </is>
      </c>
      <c r="P305" t="inlineStr">
        <is>
          <t>nyu</t>
        </is>
      </c>
      <c r="Q305" t="inlineStr">
        <is>
          <t>Perspectives in neurolinguistics and psycholinguistics</t>
        </is>
      </c>
      <c r="R305" t="inlineStr">
        <is>
          <t xml:space="preserve">RC </t>
        </is>
      </c>
      <c r="S305" t="n">
        <v>2</v>
      </c>
      <c r="T305" t="n">
        <v>2</v>
      </c>
      <c r="U305" t="inlineStr">
        <is>
          <t>1999-12-06</t>
        </is>
      </c>
      <c r="V305" t="inlineStr">
        <is>
          <t>1999-12-06</t>
        </is>
      </c>
      <c r="W305" t="inlineStr">
        <is>
          <t>1997-08-11</t>
        </is>
      </c>
      <c r="X305" t="inlineStr">
        <is>
          <t>1997-08-11</t>
        </is>
      </c>
      <c r="Y305" t="n">
        <v>567</v>
      </c>
      <c r="Z305" t="n">
        <v>422</v>
      </c>
      <c r="AA305" t="n">
        <v>424</v>
      </c>
      <c r="AB305" t="n">
        <v>2</v>
      </c>
      <c r="AC305" t="n">
        <v>2</v>
      </c>
      <c r="AD305" t="n">
        <v>19</v>
      </c>
      <c r="AE305" t="n">
        <v>19</v>
      </c>
      <c r="AF305" t="n">
        <v>6</v>
      </c>
      <c r="AG305" t="n">
        <v>6</v>
      </c>
      <c r="AH305" t="n">
        <v>6</v>
      </c>
      <c r="AI305" t="n">
        <v>6</v>
      </c>
      <c r="AJ305" t="n">
        <v>12</v>
      </c>
      <c r="AK305" t="n">
        <v>12</v>
      </c>
      <c r="AL305" t="n">
        <v>1</v>
      </c>
      <c r="AM305" t="n">
        <v>1</v>
      </c>
      <c r="AN305" t="n">
        <v>0</v>
      </c>
      <c r="AO305" t="n">
        <v>0</v>
      </c>
      <c r="AP305" t="inlineStr">
        <is>
          <t>No</t>
        </is>
      </c>
      <c r="AQ305" t="inlineStr">
        <is>
          <t>Yes</t>
        </is>
      </c>
      <c r="AR305">
        <f>HYPERLINK("http://catalog.hathitrust.org/Record/007473222","HathiTrust Record")</f>
        <v/>
      </c>
      <c r="AS305">
        <f>HYPERLINK("https://creighton-primo.hosted.exlibrisgroup.com/primo-explore/search?tab=default_tab&amp;search_scope=EVERYTHING&amp;vid=01CRU&amp;lang=en_US&amp;offset=0&amp;query=any,contains,991004197479702656","Catalog Record")</f>
        <v/>
      </c>
      <c r="AT305">
        <f>HYPERLINK("http://www.worldcat.org/oclc/2645369","WorldCat Record")</f>
        <v/>
      </c>
      <c r="AU305" t="inlineStr">
        <is>
          <t>889865088:eng</t>
        </is>
      </c>
      <c r="AV305" t="inlineStr">
        <is>
          <t>2645369</t>
        </is>
      </c>
      <c r="AW305" t="inlineStr">
        <is>
          <t>991004197479702656</t>
        </is>
      </c>
      <c r="AX305" t="inlineStr">
        <is>
          <t>991004197479702656</t>
        </is>
      </c>
      <c r="AY305" t="inlineStr">
        <is>
          <t>2256740750002656</t>
        </is>
      </c>
      <c r="AZ305" t="inlineStr">
        <is>
          <t>BOOK</t>
        </is>
      </c>
      <c r="BB305" t="inlineStr">
        <is>
          <t>9780121375508</t>
        </is>
      </c>
      <c r="BC305" t="inlineStr">
        <is>
          <t>32285003084703</t>
        </is>
      </c>
      <c r="BD305" t="inlineStr">
        <is>
          <t>893241140</t>
        </is>
      </c>
    </row>
    <row r="306">
      <c r="A306" t="inlineStr">
        <is>
          <t>No</t>
        </is>
      </c>
      <c r="B306" t="inlineStr">
        <is>
          <t>RC343 .C486 2002</t>
        </is>
      </c>
      <c r="C306" t="inlineStr">
        <is>
          <t>0                      RC 0343000C  486         2002</t>
        </is>
      </c>
      <c r="D306" t="inlineStr">
        <is>
          <t>Brain-wise : studies in neurophilosophy / Patricia Smith Churchland.</t>
        </is>
      </c>
      <c r="F306" t="inlineStr">
        <is>
          <t>No</t>
        </is>
      </c>
      <c r="G306" t="inlineStr">
        <is>
          <t>1</t>
        </is>
      </c>
      <c r="H306" t="inlineStr">
        <is>
          <t>No</t>
        </is>
      </c>
      <c r="I306" t="inlineStr">
        <is>
          <t>No</t>
        </is>
      </c>
      <c r="J306" t="inlineStr">
        <is>
          <t>0</t>
        </is>
      </c>
      <c r="K306" t="inlineStr">
        <is>
          <t>Churchland, Patricia Smith.</t>
        </is>
      </c>
      <c r="L306" t="inlineStr">
        <is>
          <t>Cambridge, Mass. : MIT Press, c2002.</t>
        </is>
      </c>
      <c r="M306" t="inlineStr">
        <is>
          <t>2002</t>
        </is>
      </c>
      <c r="O306" t="inlineStr">
        <is>
          <t>eng</t>
        </is>
      </c>
      <c r="P306" t="inlineStr">
        <is>
          <t>mau</t>
        </is>
      </c>
      <c r="R306" t="inlineStr">
        <is>
          <t xml:space="preserve">RC </t>
        </is>
      </c>
      <c r="S306" t="n">
        <v>22</v>
      </c>
      <c r="T306" t="n">
        <v>22</v>
      </c>
      <c r="U306" t="inlineStr">
        <is>
          <t>2008-06-02</t>
        </is>
      </c>
      <c r="V306" t="inlineStr">
        <is>
          <t>2008-06-02</t>
        </is>
      </c>
      <c r="W306" t="inlineStr">
        <is>
          <t>2004-01-14</t>
        </is>
      </c>
      <c r="X306" t="inlineStr">
        <is>
          <t>2004-01-14</t>
        </is>
      </c>
      <c r="Y306" t="n">
        <v>549</v>
      </c>
      <c r="Z306" t="n">
        <v>396</v>
      </c>
      <c r="AA306" t="n">
        <v>602</v>
      </c>
      <c r="AB306" t="n">
        <v>5</v>
      </c>
      <c r="AC306" t="n">
        <v>5</v>
      </c>
      <c r="AD306" t="n">
        <v>21</v>
      </c>
      <c r="AE306" t="n">
        <v>26</v>
      </c>
      <c r="AF306" t="n">
        <v>11</v>
      </c>
      <c r="AG306" t="n">
        <v>12</v>
      </c>
      <c r="AH306" t="n">
        <v>2</v>
      </c>
      <c r="AI306" t="n">
        <v>4</v>
      </c>
      <c r="AJ306" t="n">
        <v>10</v>
      </c>
      <c r="AK306" t="n">
        <v>13</v>
      </c>
      <c r="AL306" t="n">
        <v>4</v>
      </c>
      <c r="AM306" t="n">
        <v>4</v>
      </c>
      <c r="AN306" t="n">
        <v>1</v>
      </c>
      <c r="AO306" t="n">
        <v>1</v>
      </c>
      <c r="AP306" t="inlineStr">
        <is>
          <t>No</t>
        </is>
      </c>
      <c r="AQ306" t="inlineStr">
        <is>
          <t>No</t>
        </is>
      </c>
      <c r="AS306">
        <f>HYPERLINK("https://creighton-primo.hosted.exlibrisgroup.com/primo-explore/search?tab=default_tab&amp;search_scope=EVERYTHING&amp;vid=01CRU&amp;lang=en_US&amp;offset=0&amp;query=any,contains,991004201729702656","Catalog Record")</f>
        <v/>
      </c>
      <c r="AT306">
        <f>HYPERLINK("http://www.worldcat.org/oclc/49527009","WorldCat Record")</f>
        <v/>
      </c>
      <c r="AU306" t="inlineStr">
        <is>
          <t>19736241:eng</t>
        </is>
      </c>
      <c r="AV306" t="inlineStr">
        <is>
          <t>49527009</t>
        </is>
      </c>
      <c r="AW306" t="inlineStr">
        <is>
          <t>991004201729702656</t>
        </is>
      </c>
      <c r="AX306" t="inlineStr">
        <is>
          <t>991004201729702656</t>
        </is>
      </c>
      <c r="AY306" t="inlineStr">
        <is>
          <t>2271726340002656</t>
        </is>
      </c>
      <c r="AZ306" t="inlineStr">
        <is>
          <t>BOOK</t>
        </is>
      </c>
      <c r="BB306" t="inlineStr">
        <is>
          <t>9780262033015</t>
        </is>
      </c>
      <c r="BC306" t="inlineStr">
        <is>
          <t>32285004634522</t>
        </is>
      </c>
      <c r="BD306" t="inlineStr">
        <is>
          <t>893869425</t>
        </is>
      </c>
    </row>
    <row r="307">
      <c r="A307" t="inlineStr">
        <is>
          <t>No</t>
        </is>
      </c>
      <c r="B307" t="inlineStr">
        <is>
          <t>RC343 .G56513 1995</t>
        </is>
      </c>
      <c r="C307" t="inlineStr">
        <is>
          <t>0                      RC 0343000G  56513       1995</t>
        </is>
      </c>
      <c r="D307" t="inlineStr">
        <is>
          <t>The organism : a holistic approach to biology derived from pathological data in man / Kurt Goldstein ; with a foreword by Oliver Sacks.</t>
        </is>
      </c>
      <c r="F307" t="inlineStr">
        <is>
          <t>No</t>
        </is>
      </c>
      <c r="G307" t="inlineStr">
        <is>
          <t>1</t>
        </is>
      </c>
      <c r="H307" t="inlineStr">
        <is>
          <t>No</t>
        </is>
      </c>
      <c r="I307" t="inlineStr">
        <is>
          <t>Yes</t>
        </is>
      </c>
      <c r="J307" t="inlineStr">
        <is>
          <t>0</t>
        </is>
      </c>
      <c r="K307" t="inlineStr">
        <is>
          <t>Goldstein, Kurt, 1878-1965.</t>
        </is>
      </c>
      <c r="L307" t="inlineStr">
        <is>
          <t>New York : Zone Books, c1995.</t>
        </is>
      </c>
      <c r="M307" t="inlineStr">
        <is>
          <t>1995</t>
        </is>
      </c>
      <c r="O307" t="inlineStr">
        <is>
          <t>eng</t>
        </is>
      </c>
      <c r="P307" t="inlineStr">
        <is>
          <t>nyu</t>
        </is>
      </c>
      <c r="R307" t="inlineStr">
        <is>
          <t xml:space="preserve">RC </t>
        </is>
      </c>
      <c r="S307" t="n">
        <v>2</v>
      </c>
      <c r="T307" t="n">
        <v>2</v>
      </c>
      <c r="U307" t="inlineStr">
        <is>
          <t>2009-11-11</t>
        </is>
      </c>
      <c r="V307" t="inlineStr">
        <is>
          <t>2009-11-11</t>
        </is>
      </c>
      <c r="W307" t="inlineStr">
        <is>
          <t>2000-12-20</t>
        </is>
      </c>
      <c r="X307" t="inlineStr">
        <is>
          <t>2000-12-20</t>
        </is>
      </c>
      <c r="Y307" t="n">
        <v>318</v>
      </c>
      <c r="Z307" t="n">
        <v>236</v>
      </c>
      <c r="AA307" t="n">
        <v>543</v>
      </c>
      <c r="AB307" t="n">
        <v>2</v>
      </c>
      <c r="AC307" t="n">
        <v>3</v>
      </c>
      <c r="AD307" t="n">
        <v>14</v>
      </c>
      <c r="AE307" t="n">
        <v>27</v>
      </c>
      <c r="AF307" t="n">
        <v>3</v>
      </c>
      <c r="AG307" t="n">
        <v>10</v>
      </c>
      <c r="AH307" t="n">
        <v>2</v>
      </c>
      <c r="AI307" t="n">
        <v>4</v>
      </c>
      <c r="AJ307" t="n">
        <v>8</v>
      </c>
      <c r="AK307" t="n">
        <v>17</v>
      </c>
      <c r="AL307" t="n">
        <v>1</v>
      </c>
      <c r="AM307" t="n">
        <v>2</v>
      </c>
      <c r="AN307" t="n">
        <v>0</v>
      </c>
      <c r="AO307" t="n">
        <v>0</v>
      </c>
      <c r="AP307" t="inlineStr">
        <is>
          <t>No</t>
        </is>
      </c>
      <c r="AQ307" t="inlineStr">
        <is>
          <t>Yes</t>
        </is>
      </c>
      <c r="AR307">
        <f>HYPERLINK("http://catalog.hathitrust.org/Record/002999322","HathiTrust Record")</f>
        <v/>
      </c>
      <c r="AS307">
        <f>HYPERLINK("https://creighton-primo.hosted.exlibrisgroup.com/primo-explore/search?tab=default_tab&amp;search_scope=EVERYTHING&amp;vid=01CRU&amp;lang=en_US&amp;offset=0&amp;query=any,contains,991003308579702656","Catalog Record")</f>
        <v/>
      </c>
      <c r="AT307">
        <f>HYPERLINK("http://www.worldcat.org/oclc/31434818","WorldCat Record")</f>
        <v/>
      </c>
      <c r="AU307" t="inlineStr">
        <is>
          <t>8960880793:eng</t>
        </is>
      </c>
      <c r="AV307" t="inlineStr">
        <is>
          <t>31434818</t>
        </is>
      </c>
      <c r="AW307" t="inlineStr">
        <is>
          <t>991003308579702656</t>
        </is>
      </c>
      <c r="AX307" t="inlineStr">
        <is>
          <t>991003308579702656</t>
        </is>
      </c>
      <c r="AY307" t="inlineStr">
        <is>
          <t>2263067870002656</t>
        </is>
      </c>
      <c r="AZ307" t="inlineStr">
        <is>
          <t>BOOK</t>
        </is>
      </c>
      <c r="BB307" t="inlineStr">
        <is>
          <t>9780942299656</t>
        </is>
      </c>
      <c r="BC307" t="inlineStr">
        <is>
          <t>32285004277868</t>
        </is>
      </c>
      <c r="BD307" t="inlineStr">
        <is>
          <t>893805652</t>
        </is>
      </c>
    </row>
    <row r="308">
      <c r="A308" t="inlineStr">
        <is>
          <t>No</t>
        </is>
      </c>
      <c r="B308" t="inlineStr">
        <is>
          <t>RC343 .H648</t>
        </is>
      </c>
      <c r="C308" t="inlineStr">
        <is>
          <t>0                      RC 0343000H  648</t>
        </is>
      </c>
      <c r="D308" t="inlineStr">
        <is>
          <t>Neurosis and human growth : the struggle toward self-realization / Karen Horney.</t>
        </is>
      </c>
      <c r="F308" t="inlineStr">
        <is>
          <t>No</t>
        </is>
      </c>
      <c r="G308" t="inlineStr">
        <is>
          <t>1</t>
        </is>
      </c>
      <c r="H308" t="inlineStr">
        <is>
          <t>No</t>
        </is>
      </c>
      <c r="I308" t="inlineStr">
        <is>
          <t>No</t>
        </is>
      </c>
      <c r="J308" t="inlineStr">
        <is>
          <t>0</t>
        </is>
      </c>
      <c r="K308" t="inlineStr">
        <is>
          <t>Horney, Karen, 1885-1952.</t>
        </is>
      </c>
      <c r="L308" t="inlineStr">
        <is>
          <t>New York : Norton, [1950]</t>
        </is>
      </c>
      <c r="M308" t="inlineStr">
        <is>
          <t>1950</t>
        </is>
      </c>
      <c r="N308" t="inlineStr">
        <is>
          <t>[1st ed.]</t>
        </is>
      </c>
      <c r="O308" t="inlineStr">
        <is>
          <t>eng</t>
        </is>
      </c>
      <c r="P308" t="inlineStr">
        <is>
          <t>nyu</t>
        </is>
      </c>
      <c r="R308" t="inlineStr">
        <is>
          <t xml:space="preserve">RC </t>
        </is>
      </c>
      <c r="S308" t="n">
        <v>2</v>
      </c>
      <c r="T308" t="n">
        <v>2</v>
      </c>
      <c r="U308" t="inlineStr">
        <is>
          <t>2005-03-16</t>
        </is>
      </c>
      <c r="V308" t="inlineStr">
        <is>
          <t>2005-03-16</t>
        </is>
      </c>
      <c r="W308" t="inlineStr">
        <is>
          <t>2000-02-02</t>
        </is>
      </c>
      <c r="X308" t="inlineStr">
        <is>
          <t>2000-02-02</t>
        </is>
      </c>
      <c r="Y308" t="n">
        <v>1094</v>
      </c>
      <c r="Z308" t="n">
        <v>1002</v>
      </c>
      <c r="AA308" t="n">
        <v>1338</v>
      </c>
      <c r="AB308" t="n">
        <v>7</v>
      </c>
      <c r="AC308" t="n">
        <v>8</v>
      </c>
      <c r="AD308" t="n">
        <v>39</v>
      </c>
      <c r="AE308" t="n">
        <v>46</v>
      </c>
      <c r="AF308" t="n">
        <v>16</v>
      </c>
      <c r="AG308" t="n">
        <v>19</v>
      </c>
      <c r="AH308" t="n">
        <v>8</v>
      </c>
      <c r="AI308" t="n">
        <v>8</v>
      </c>
      <c r="AJ308" t="n">
        <v>20</v>
      </c>
      <c r="AK308" t="n">
        <v>24</v>
      </c>
      <c r="AL308" t="n">
        <v>6</v>
      </c>
      <c r="AM308" t="n">
        <v>7</v>
      </c>
      <c r="AN308" t="n">
        <v>0</v>
      </c>
      <c r="AO308" t="n">
        <v>0</v>
      </c>
      <c r="AP308" t="inlineStr">
        <is>
          <t>No</t>
        </is>
      </c>
      <c r="AQ308" t="inlineStr">
        <is>
          <t>Yes</t>
        </is>
      </c>
      <c r="AR308">
        <f>HYPERLINK("http://catalog.hathitrust.org/Record/000004088","HathiTrust Record")</f>
        <v/>
      </c>
      <c r="AS308">
        <f>HYPERLINK("https://creighton-primo.hosted.exlibrisgroup.com/primo-explore/search?tab=default_tab&amp;search_scope=EVERYTHING&amp;vid=01CRU&amp;lang=en_US&amp;offset=0&amp;query=any,contains,991002204789702656","Catalog Record")</f>
        <v/>
      </c>
      <c r="AT308">
        <f>HYPERLINK("http://www.worldcat.org/oclc/285408","WorldCat Record")</f>
        <v/>
      </c>
      <c r="AU308" t="inlineStr">
        <is>
          <t>1151002615:eng</t>
        </is>
      </c>
      <c r="AV308" t="inlineStr">
        <is>
          <t>285408</t>
        </is>
      </c>
      <c r="AW308" t="inlineStr">
        <is>
          <t>991002204789702656</t>
        </is>
      </c>
      <c r="AX308" t="inlineStr">
        <is>
          <t>991002204789702656</t>
        </is>
      </c>
      <c r="AY308" t="inlineStr">
        <is>
          <t>2262952630002656</t>
        </is>
      </c>
      <c r="AZ308" t="inlineStr">
        <is>
          <t>BOOK</t>
        </is>
      </c>
      <c r="BC308" t="inlineStr">
        <is>
          <t>32285003658555</t>
        </is>
      </c>
      <c r="BD308" t="inlineStr">
        <is>
          <t>893798301</t>
        </is>
      </c>
    </row>
    <row r="309">
      <c r="A309" t="inlineStr">
        <is>
          <t>No</t>
        </is>
      </c>
      <c r="B309" t="inlineStr">
        <is>
          <t>RC343 .R76 1993</t>
        </is>
      </c>
      <c r="C309" t="inlineStr">
        <is>
          <t>0                      RC 0343000R  76          1993</t>
        </is>
      </c>
      <c r="D309" t="inlineStr">
        <is>
          <t>The strange, familiar, and forgotten : an anatomy of consciousness / Israel Rosenfield.</t>
        </is>
      </c>
      <c r="F309" t="inlineStr">
        <is>
          <t>No</t>
        </is>
      </c>
      <c r="G309" t="inlineStr">
        <is>
          <t>1</t>
        </is>
      </c>
      <c r="H309" t="inlineStr">
        <is>
          <t>No</t>
        </is>
      </c>
      <c r="I309" t="inlineStr">
        <is>
          <t>No</t>
        </is>
      </c>
      <c r="J309" t="inlineStr">
        <is>
          <t>0</t>
        </is>
      </c>
      <c r="K309" t="inlineStr">
        <is>
          <t>Rosenfield, Israel, 1939-</t>
        </is>
      </c>
      <c r="L309" t="inlineStr">
        <is>
          <t>New York : Vintage Books, 1993.</t>
        </is>
      </c>
      <c r="M309" t="inlineStr">
        <is>
          <t>1993</t>
        </is>
      </c>
      <c r="N309" t="inlineStr">
        <is>
          <t>1st Vintage Books ed.</t>
        </is>
      </c>
      <c r="O309" t="inlineStr">
        <is>
          <t>eng</t>
        </is>
      </c>
      <c r="P309" t="inlineStr">
        <is>
          <t>nyu</t>
        </is>
      </c>
      <c r="R309" t="inlineStr">
        <is>
          <t xml:space="preserve">RC </t>
        </is>
      </c>
      <c r="S309" t="n">
        <v>7</v>
      </c>
      <c r="T309" t="n">
        <v>7</v>
      </c>
      <c r="U309" t="inlineStr">
        <is>
          <t>1998-02-17</t>
        </is>
      </c>
      <c r="V309" t="inlineStr">
        <is>
          <t>1998-02-17</t>
        </is>
      </c>
      <c r="W309" t="inlineStr">
        <is>
          <t>1996-03-20</t>
        </is>
      </c>
      <c r="X309" t="inlineStr">
        <is>
          <t>1996-03-20</t>
        </is>
      </c>
      <c r="Y309" t="n">
        <v>65</v>
      </c>
      <c r="Z309" t="n">
        <v>50</v>
      </c>
      <c r="AA309" t="n">
        <v>425</v>
      </c>
      <c r="AB309" t="n">
        <v>1</v>
      </c>
      <c r="AC309" t="n">
        <v>6</v>
      </c>
      <c r="AD309" t="n">
        <v>2</v>
      </c>
      <c r="AE309" t="n">
        <v>19</v>
      </c>
      <c r="AF309" t="n">
        <v>0</v>
      </c>
      <c r="AG309" t="n">
        <v>4</v>
      </c>
      <c r="AH309" t="n">
        <v>0</v>
      </c>
      <c r="AI309" t="n">
        <v>5</v>
      </c>
      <c r="AJ309" t="n">
        <v>2</v>
      </c>
      <c r="AK309" t="n">
        <v>12</v>
      </c>
      <c r="AL309" t="n">
        <v>0</v>
      </c>
      <c r="AM309" t="n">
        <v>4</v>
      </c>
      <c r="AN309" t="n">
        <v>0</v>
      </c>
      <c r="AO309" t="n">
        <v>0</v>
      </c>
      <c r="AP309" t="inlineStr">
        <is>
          <t>No</t>
        </is>
      </c>
      <c r="AQ309" t="inlineStr">
        <is>
          <t>Yes</t>
        </is>
      </c>
      <c r="AR309">
        <f>HYPERLINK("http://catalog.hathitrust.org/Record/012284959","HathiTrust Record")</f>
        <v/>
      </c>
      <c r="AS309">
        <f>HYPERLINK("https://creighton-primo.hosted.exlibrisgroup.com/primo-explore/search?tab=default_tab&amp;search_scope=EVERYTHING&amp;vid=01CRU&amp;lang=en_US&amp;offset=0&amp;query=any,contains,991002105749702656","Catalog Record")</f>
        <v/>
      </c>
      <c r="AT309">
        <f>HYPERLINK("http://www.worldcat.org/oclc/27012824","WorldCat Record")</f>
        <v/>
      </c>
      <c r="AU309" t="inlineStr">
        <is>
          <t>40026630:eng</t>
        </is>
      </c>
      <c r="AV309" t="inlineStr">
        <is>
          <t>27012824</t>
        </is>
      </c>
      <c r="AW309" t="inlineStr">
        <is>
          <t>991002105749702656</t>
        </is>
      </c>
      <c r="AX309" t="inlineStr">
        <is>
          <t>991002105749702656</t>
        </is>
      </c>
      <c r="AY309" t="inlineStr">
        <is>
          <t>2259259150002656</t>
        </is>
      </c>
      <c r="AZ309" t="inlineStr">
        <is>
          <t>BOOK</t>
        </is>
      </c>
      <c r="BB309" t="inlineStr">
        <is>
          <t>9780679743057</t>
        </is>
      </c>
      <c r="BC309" t="inlineStr">
        <is>
          <t>32285002145323</t>
        </is>
      </c>
      <c r="BD309" t="inlineStr">
        <is>
          <t>893433484</t>
        </is>
      </c>
    </row>
    <row r="310">
      <c r="A310" t="inlineStr">
        <is>
          <t>No</t>
        </is>
      </c>
      <c r="B310" t="inlineStr">
        <is>
          <t>RC343 .W45</t>
        </is>
      </c>
      <c r="C310" t="inlineStr">
        <is>
          <t>0                      RC 0343000W  45</t>
        </is>
      </c>
      <c r="D310" t="inlineStr">
        <is>
          <t>Our fear complexes, by Edward Huntington Williams and Ernest Bryant Hoag.</t>
        </is>
      </c>
      <c r="F310" t="inlineStr">
        <is>
          <t>No</t>
        </is>
      </c>
      <c r="G310" t="inlineStr">
        <is>
          <t>1</t>
        </is>
      </c>
      <c r="H310" t="inlineStr">
        <is>
          <t>No</t>
        </is>
      </c>
      <c r="I310" t="inlineStr">
        <is>
          <t>No</t>
        </is>
      </c>
      <c r="J310" t="inlineStr">
        <is>
          <t>0</t>
        </is>
      </c>
      <c r="K310" t="inlineStr">
        <is>
          <t>Williams, Edward Huntington, 1868-1944.</t>
        </is>
      </c>
      <c r="L310" t="inlineStr">
        <is>
          <t>Indianapolis, Bobbs-Merrill [c1923]</t>
        </is>
      </c>
      <c r="M310" t="inlineStr">
        <is>
          <t>1923</t>
        </is>
      </c>
      <c r="O310" t="inlineStr">
        <is>
          <t>eng</t>
        </is>
      </c>
      <c r="P310" t="inlineStr">
        <is>
          <t xml:space="preserve">xx </t>
        </is>
      </c>
      <c r="R310" t="inlineStr">
        <is>
          <t xml:space="preserve">RC </t>
        </is>
      </c>
      <c r="S310" t="n">
        <v>2</v>
      </c>
      <c r="T310" t="n">
        <v>2</v>
      </c>
      <c r="U310" t="inlineStr">
        <is>
          <t>2002-03-22</t>
        </is>
      </c>
      <c r="V310" t="inlineStr">
        <is>
          <t>2002-03-22</t>
        </is>
      </c>
      <c r="W310" t="inlineStr">
        <is>
          <t>1997-08-11</t>
        </is>
      </c>
      <c r="X310" t="inlineStr">
        <is>
          <t>1997-08-11</t>
        </is>
      </c>
      <c r="Y310" t="n">
        <v>72</v>
      </c>
      <c r="Z310" t="n">
        <v>64</v>
      </c>
      <c r="AA310" t="n">
        <v>72</v>
      </c>
      <c r="AB310" t="n">
        <v>1</v>
      </c>
      <c r="AC310" t="n">
        <v>1</v>
      </c>
      <c r="AD310" t="n">
        <v>0</v>
      </c>
      <c r="AE310" t="n">
        <v>0</v>
      </c>
      <c r="AF310" t="n">
        <v>0</v>
      </c>
      <c r="AG310" t="n">
        <v>0</v>
      </c>
      <c r="AH310" t="n">
        <v>0</v>
      </c>
      <c r="AI310" t="n">
        <v>0</v>
      </c>
      <c r="AJ310" t="n">
        <v>0</v>
      </c>
      <c r="AK310" t="n">
        <v>0</v>
      </c>
      <c r="AL310" t="n">
        <v>0</v>
      </c>
      <c r="AM310" t="n">
        <v>0</v>
      </c>
      <c r="AN310" t="n">
        <v>0</v>
      </c>
      <c r="AO310" t="n">
        <v>0</v>
      </c>
      <c r="AP310" t="inlineStr">
        <is>
          <t>Yes</t>
        </is>
      </c>
      <c r="AQ310" t="inlineStr">
        <is>
          <t>No</t>
        </is>
      </c>
      <c r="AR310">
        <f>HYPERLINK("http://catalog.hathitrust.org/Record/000659697","HathiTrust Record")</f>
        <v/>
      </c>
      <c r="AS310">
        <f>HYPERLINK("https://creighton-primo.hosted.exlibrisgroup.com/primo-explore/search?tab=default_tab&amp;search_scope=EVERYTHING&amp;vid=01CRU&amp;lang=en_US&amp;offset=0&amp;query=any,contains,991000959599702656","Catalog Record")</f>
        <v/>
      </c>
      <c r="AT310">
        <f>HYPERLINK("http://www.worldcat.org/oclc/14794393","WorldCat Record")</f>
        <v/>
      </c>
      <c r="AU310" t="inlineStr">
        <is>
          <t>9162984:eng</t>
        </is>
      </c>
      <c r="AV310" t="inlineStr">
        <is>
          <t>14794393</t>
        </is>
      </c>
      <c r="AW310" t="inlineStr">
        <is>
          <t>991000959599702656</t>
        </is>
      </c>
      <c r="AX310" t="inlineStr">
        <is>
          <t>991000959599702656</t>
        </is>
      </c>
      <c r="AY310" t="inlineStr">
        <is>
          <t>2260502970002656</t>
        </is>
      </c>
      <c r="AZ310" t="inlineStr">
        <is>
          <t>BOOK</t>
        </is>
      </c>
      <c r="BC310" t="inlineStr">
        <is>
          <t>32285003084828</t>
        </is>
      </c>
      <c r="BD310" t="inlineStr">
        <is>
          <t>893438737</t>
        </is>
      </c>
    </row>
    <row r="311">
      <c r="A311" t="inlineStr">
        <is>
          <t>No</t>
        </is>
      </c>
      <c r="B311" t="inlineStr">
        <is>
          <t>RC348 .G6 1999</t>
        </is>
      </c>
      <c r="C311" t="inlineStr">
        <is>
          <t>0                      RC 0348000G  6           1999</t>
        </is>
      </c>
      <c r="D311" t="inlineStr">
        <is>
          <t>The 4-minute neurologic exam. : (an answer to the "Neuro WNL" problem / Stephen Goldberg.</t>
        </is>
      </c>
      <c r="F311" t="inlineStr">
        <is>
          <t>No</t>
        </is>
      </c>
      <c r="G311" t="inlineStr">
        <is>
          <t>1</t>
        </is>
      </c>
      <c r="H311" t="inlineStr">
        <is>
          <t>No</t>
        </is>
      </c>
      <c r="I311" t="inlineStr">
        <is>
          <t>No</t>
        </is>
      </c>
      <c r="J311" t="inlineStr">
        <is>
          <t>0</t>
        </is>
      </c>
      <c r="K311" t="inlineStr">
        <is>
          <t>Goldberg, Stephen.</t>
        </is>
      </c>
      <c r="L311" t="inlineStr">
        <is>
          <t>Miami : Medmaster, 1999.</t>
        </is>
      </c>
      <c r="M311" t="inlineStr">
        <is>
          <t>1999</t>
        </is>
      </c>
      <c r="O311" t="inlineStr">
        <is>
          <t>eng</t>
        </is>
      </c>
      <c r="P311" t="inlineStr">
        <is>
          <t>flu</t>
        </is>
      </c>
      <c r="R311" t="inlineStr">
        <is>
          <t xml:space="preserve">RC </t>
        </is>
      </c>
      <c r="S311" t="n">
        <v>4</v>
      </c>
      <c r="T311" t="n">
        <v>4</v>
      </c>
      <c r="U311" t="inlineStr">
        <is>
          <t>2005-03-09</t>
        </is>
      </c>
      <c r="V311" t="inlineStr">
        <is>
          <t>2005-03-09</t>
        </is>
      </c>
      <c r="W311" t="inlineStr">
        <is>
          <t>2004-02-23</t>
        </is>
      </c>
      <c r="X311" t="inlineStr">
        <is>
          <t>2004-02-23</t>
        </is>
      </c>
      <c r="Y311" t="n">
        <v>25</v>
      </c>
      <c r="Z311" t="n">
        <v>24</v>
      </c>
      <c r="AA311" t="n">
        <v>163</v>
      </c>
      <c r="AB311" t="n">
        <v>1</v>
      </c>
      <c r="AC311" t="n">
        <v>2</v>
      </c>
      <c r="AD311" t="n">
        <v>0</v>
      </c>
      <c r="AE311" t="n">
        <v>4</v>
      </c>
      <c r="AF311" t="n">
        <v>0</v>
      </c>
      <c r="AG311" t="n">
        <v>3</v>
      </c>
      <c r="AH311" t="n">
        <v>0</v>
      </c>
      <c r="AI311" t="n">
        <v>0</v>
      </c>
      <c r="AJ311" t="n">
        <v>0</v>
      </c>
      <c r="AK311" t="n">
        <v>2</v>
      </c>
      <c r="AL311" t="n">
        <v>0</v>
      </c>
      <c r="AM311" t="n">
        <v>0</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HYPERLINK("https://creighton-primo.hosted.exlibrisgroup.com/primo-explore/search?tab=default_tab&amp;search_scope=EVERYTHING&amp;vid=01CRU&amp;lang=en_US&amp;offset=0&amp;query=any,contains,991004232199702656","Catalog Record")</f>
        <v/>
      </c>
      <c r="AT311">
        <f>HYPERLINK("http://www.worldcat.org/oclc/43491473","WorldCat Record")</f>
        <v/>
      </c>
      <c r="AU311" t="inlineStr">
        <is>
          <t>4484030:eng</t>
        </is>
      </c>
      <c r="AV311" t="inlineStr">
        <is>
          <t>43491473</t>
        </is>
      </c>
      <c r="AW311" t="inlineStr">
        <is>
          <t>991004232199702656</t>
        </is>
      </c>
      <c r="AX311" t="inlineStr">
        <is>
          <t>991004232199702656</t>
        </is>
      </c>
      <c r="AY311" t="inlineStr">
        <is>
          <t>2262661630002656</t>
        </is>
      </c>
      <c r="AZ311" t="inlineStr">
        <is>
          <t>BOOK</t>
        </is>
      </c>
      <c r="BB311" t="inlineStr">
        <is>
          <t>9780940780057</t>
        </is>
      </c>
      <c r="BC311" t="inlineStr">
        <is>
          <t>32285004639893</t>
        </is>
      </c>
      <c r="BD311" t="inlineStr">
        <is>
          <t>893343606</t>
        </is>
      </c>
    </row>
    <row r="312">
      <c r="A312" t="inlineStr">
        <is>
          <t>No</t>
        </is>
      </c>
      <c r="B312" t="inlineStr">
        <is>
          <t>RC351 .S48</t>
        </is>
      </c>
      <c r="C312" t="inlineStr">
        <is>
          <t>0                      RC 0351000S  48</t>
        </is>
      </c>
      <c r="D312" t="inlineStr">
        <is>
          <t>The pain game / C. Norman Shealy.</t>
        </is>
      </c>
      <c r="F312" t="inlineStr">
        <is>
          <t>No</t>
        </is>
      </c>
      <c r="G312" t="inlineStr">
        <is>
          <t>1</t>
        </is>
      </c>
      <c r="H312" t="inlineStr">
        <is>
          <t>No</t>
        </is>
      </c>
      <c r="I312" t="inlineStr">
        <is>
          <t>No</t>
        </is>
      </c>
      <c r="J312" t="inlineStr">
        <is>
          <t>0</t>
        </is>
      </c>
      <c r="K312" t="inlineStr">
        <is>
          <t>Shealy, C. Norman, 1932-</t>
        </is>
      </c>
      <c r="L312" t="inlineStr">
        <is>
          <t>Millbrae, Calif. : Celestial Arts, c1976.</t>
        </is>
      </c>
      <c r="M312" t="inlineStr">
        <is>
          <t>1976</t>
        </is>
      </c>
      <c r="O312" t="inlineStr">
        <is>
          <t>eng</t>
        </is>
      </c>
      <c r="P312" t="inlineStr">
        <is>
          <t>cau</t>
        </is>
      </c>
      <c r="R312" t="inlineStr">
        <is>
          <t xml:space="preserve">RC </t>
        </is>
      </c>
      <c r="S312" t="n">
        <v>5</v>
      </c>
      <c r="T312" t="n">
        <v>5</v>
      </c>
      <c r="U312" t="inlineStr">
        <is>
          <t>2008-07-23</t>
        </is>
      </c>
      <c r="V312" t="inlineStr">
        <is>
          <t>2008-07-23</t>
        </is>
      </c>
      <c r="W312" t="inlineStr">
        <is>
          <t>1997-08-11</t>
        </is>
      </c>
      <c r="X312" t="inlineStr">
        <is>
          <t>1997-08-11</t>
        </is>
      </c>
      <c r="Y312" t="n">
        <v>152</v>
      </c>
      <c r="Z312" t="n">
        <v>138</v>
      </c>
      <c r="AA312" t="n">
        <v>143</v>
      </c>
      <c r="AB312" t="n">
        <v>2</v>
      </c>
      <c r="AC312" t="n">
        <v>2</v>
      </c>
      <c r="AD312" t="n">
        <v>2</v>
      </c>
      <c r="AE312" t="n">
        <v>2</v>
      </c>
      <c r="AF312" t="n">
        <v>1</v>
      </c>
      <c r="AG312" t="n">
        <v>1</v>
      </c>
      <c r="AH312" t="n">
        <v>0</v>
      </c>
      <c r="AI312" t="n">
        <v>0</v>
      </c>
      <c r="AJ312" t="n">
        <v>1</v>
      </c>
      <c r="AK312" t="n">
        <v>1</v>
      </c>
      <c r="AL312" t="n">
        <v>1</v>
      </c>
      <c r="AM312" t="n">
        <v>1</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HYPERLINK("https://creighton-primo.hosted.exlibrisgroup.com/primo-explore/search?tab=default_tab&amp;search_scope=EVERYTHING&amp;vid=01CRU&amp;lang=en_US&amp;offset=0&amp;query=any,contains,991003968649702656","Catalog Record")</f>
        <v/>
      </c>
      <c r="AT312">
        <f>HYPERLINK("http://www.worldcat.org/oclc/1991053","WorldCat Record")</f>
        <v/>
      </c>
      <c r="AU312" t="inlineStr">
        <is>
          <t>10519383695:eng</t>
        </is>
      </c>
      <c r="AV312" t="inlineStr">
        <is>
          <t>1991053</t>
        </is>
      </c>
      <c r="AW312" t="inlineStr">
        <is>
          <t>991003968649702656</t>
        </is>
      </c>
      <c r="AX312" t="inlineStr">
        <is>
          <t>991003968649702656</t>
        </is>
      </c>
      <c r="AY312" t="inlineStr">
        <is>
          <t>2264090480002656</t>
        </is>
      </c>
      <c r="AZ312" t="inlineStr">
        <is>
          <t>BOOK</t>
        </is>
      </c>
      <c r="BB312" t="inlineStr">
        <is>
          <t>9780890871577</t>
        </is>
      </c>
      <c r="BC312" t="inlineStr">
        <is>
          <t>32285003084885</t>
        </is>
      </c>
      <c r="BD312" t="inlineStr">
        <is>
          <t>893618054</t>
        </is>
      </c>
    </row>
    <row r="313">
      <c r="A313" t="inlineStr">
        <is>
          <t>No</t>
        </is>
      </c>
      <c r="B313" t="inlineStr">
        <is>
          <t>RC351 .Z46 2008</t>
        </is>
      </c>
      <c r="C313" t="inlineStr">
        <is>
          <t>0                      RC 0351000Z  46          2008</t>
        </is>
      </c>
      <c r="D313" t="inlineStr">
        <is>
          <t>A portrait of the brain / Adam Zeman.</t>
        </is>
      </c>
      <c r="F313" t="inlineStr">
        <is>
          <t>No</t>
        </is>
      </c>
      <c r="G313" t="inlineStr">
        <is>
          <t>1</t>
        </is>
      </c>
      <c r="H313" t="inlineStr">
        <is>
          <t>No</t>
        </is>
      </c>
      <c r="I313" t="inlineStr">
        <is>
          <t>No</t>
        </is>
      </c>
      <c r="J313" t="inlineStr">
        <is>
          <t>0</t>
        </is>
      </c>
      <c r="K313" t="inlineStr">
        <is>
          <t>Zeman, Adam.</t>
        </is>
      </c>
      <c r="L313" t="inlineStr">
        <is>
          <t>New Haven [Conn.] ; London : Yale University Press, c2008.</t>
        </is>
      </c>
      <c r="M313" t="inlineStr">
        <is>
          <t>2008</t>
        </is>
      </c>
      <c r="O313" t="inlineStr">
        <is>
          <t>eng</t>
        </is>
      </c>
      <c r="P313" t="inlineStr">
        <is>
          <t>ctu</t>
        </is>
      </c>
      <c r="R313" t="inlineStr">
        <is>
          <t xml:space="preserve">RC </t>
        </is>
      </c>
      <c r="S313" t="n">
        <v>2</v>
      </c>
      <c r="T313" t="n">
        <v>2</v>
      </c>
      <c r="U313" t="inlineStr">
        <is>
          <t>2009-08-12</t>
        </is>
      </c>
      <c r="V313" t="inlineStr">
        <is>
          <t>2009-08-12</t>
        </is>
      </c>
      <c r="W313" t="inlineStr">
        <is>
          <t>2009-01-07</t>
        </is>
      </c>
      <c r="X313" t="inlineStr">
        <is>
          <t>2009-01-07</t>
        </is>
      </c>
      <c r="Y313" t="n">
        <v>538</v>
      </c>
      <c r="Z313" t="n">
        <v>453</v>
      </c>
      <c r="AA313" t="n">
        <v>482</v>
      </c>
      <c r="AB313" t="n">
        <v>4</v>
      </c>
      <c r="AC313" t="n">
        <v>4</v>
      </c>
      <c r="AD313" t="n">
        <v>16</v>
      </c>
      <c r="AE313" t="n">
        <v>16</v>
      </c>
      <c r="AF313" t="n">
        <v>5</v>
      </c>
      <c r="AG313" t="n">
        <v>5</v>
      </c>
      <c r="AH313" t="n">
        <v>3</v>
      </c>
      <c r="AI313" t="n">
        <v>3</v>
      </c>
      <c r="AJ313" t="n">
        <v>10</v>
      </c>
      <c r="AK313" t="n">
        <v>10</v>
      </c>
      <c r="AL313" t="n">
        <v>3</v>
      </c>
      <c r="AM313" t="n">
        <v>3</v>
      </c>
      <c r="AN313" t="n">
        <v>0</v>
      </c>
      <c r="AO313" t="n">
        <v>0</v>
      </c>
      <c r="AP313" t="inlineStr">
        <is>
          <t>No</t>
        </is>
      </c>
      <c r="AQ313" t="inlineStr">
        <is>
          <t>No</t>
        </is>
      </c>
      <c r="AS313">
        <f>HYPERLINK("https://creighton-primo.hosted.exlibrisgroup.com/primo-explore/search?tab=default_tab&amp;search_scope=EVERYTHING&amp;vid=01CRU&amp;lang=en_US&amp;offset=0&amp;query=any,contains,991005284049702656","Catalog Record")</f>
        <v/>
      </c>
      <c r="AT313">
        <f>HYPERLINK("http://www.worldcat.org/oclc/165477879","WorldCat Record")</f>
        <v/>
      </c>
      <c r="AU313" t="inlineStr">
        <is>
          <t>112270757:eng</t>
        </is>
      </c>
      <c r="AV313" t="inlineStr">
        <is>
          <t>165477879</t>
        </is>
      </c>
      <c r="AW313" t="inlineStr">
        <is>
          <t>991005284049702656</t>
        </is>
      </c>
      <c r="AX313" t="inlineStr">
        <is>
          <t>991005284049702656</t>
        </is>
      </c>
      <c r="AY313" t="inlineStr">
        <is>
          <t>2266693080002656</t>
        </is>
      </c>
      <c r="AZ313" t="inlineStr">
        <is>
          <t>BOOK</t>
        </is>
      </c>
      <c r="BB313" t="inlineStr">
        <is>
          <t>9780300114164</t>
        </is>
      </c>
      <c r="BC313" t="inlineStr">
        <is>
          <t>32285005475784</t>
        </is>
      </c>
      <c r="BD313" t="inlineStr">
        <is>
          <t>893351036</t>
        </is>
      </c>
    </row>
    <row r="314">
      <c r="A314" t="inlineStr">
        <is>
          <t>No</t>
        </is>
      </c>
      <c r="B314" t="inlineStr">
        <is>
          <t>RC372 .F73</t>
        </is>
      </c>
      <c r="C314" t="inlineStr">
        <is>
          <t>0                      RC 0372000F  73</t>
        </is>
      </c>
      <c r="D314" t="inlineStr">
        <is>
          <t>The epileptic in home, school, and society / by Stephen W. Freeman.</t>
        </is>
      </c>
      <c r="F314" t="inlineStr">
        <is>
          <t>No</t>
        </is>
      </c>
      <c r="G314" t="inlineStr">
        <is>
          <t>1</t>
        </is>
      </c>
      <c r="H314" t="inlineStr">
        <is>
          <t>No</t>
        </is>
      </c>
      <c r="I314" t="inlineStr">
        <is>
          <t>No</t>
        </is>
      </c>
      <c r="J314" t="inlineStr">
        <is>
          <t>0</t>
        </is>
      </c>
      <c r="K314" t="inlineStr">
        <is>
          <t>Freeman, Stephen W.</t>
        </is>
      </c>
      <c r="L314" t="inlineStr">
        <is>
          <t>Springfield, Ill. : Thomas, 1979.</t>
        </is>
      </c>
      <c r="M314" t="inlineStr">
        <is>
          <t>1979</t>
        </is>
      </c>
      <c r="O314" t="inlineStr">
        <is>
          <t>eng</t>
        </is>
      </c>
      <c r="P314" t="inlineStr">
        <is>
          <t>ilu</t>
        </is>
      </c>
      <c r="R314" t="inlineStr">
        <is>
          <t xml:space="preserve">RC </t>
        </is>
      </c>
      <c r="S314" t="n">
        <v>8</v>
      </c>
      <c r="T314" t="n">
        <v>8</v>
      </c>
      <c r="U314" t="inlineStr">
        <is>
          <t>2003-02-05</t>
        </is>
      </c>
      <c r="V314" t="inlineStr">
        <is>
          <t>2003-02-05</t>
        </is>
      </c>
      <c r="W314" t="inlineStr">
        <is>
          <t>1990-08-14</t>
        </is>
      </c>
      <c r="X314" t="inlineStr">
        <is>
          <t>1990-08-14</t>
        </is>
      </c>
      <c r="Y314" t="n">
        <v>243</v>
      </c>
      <c r="Z314" t="n">
        <v>206</v>
      </c>
      <c r="AA314" t="n">
        <v>208</v>
      </c>
      <c r="AB314" t="n">
        <v>1</v>
      </c>
      <c r="AC314" t="n">
        <v>2</v>
      </c>
      <c r="AD314" t="n">
        <v>2</v>
      </c>
      <c r="AE314" t="n">
        <v>3</v>
      </c>
      <c r="AF314" t="n">
        <v>1</v>
      </c>
      <c r="AG314" t="n">
        <v>1</v>
      </c>
      <c r="AH314" t="n">
        <v>0</v>
      </c>
      <c r="AI314" t="n">
        <v>0</v>
      </c>
      <c r="AJ314" t="n">
        <v>2</v>
      </c>
      <c r="AK314" t="n">
        <v>2</v>
      </c>
      <c r="AL314" t="n">
        <v>0</v>
      </c>
      <c r="AM314" t="n">
        <v>1</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HYPERLINK("https://creighton-primo.hosted.exlibrisgroup.com/primo-explore/search?tab=default_tab&amp;search_scope=EVERYTHING&amp;vid=01CRU&amp;lang=en_US&amp;offset=0&amp;query=any,contains,991004656639702656","Catalog Record")</f>
        <v/>
      </c>
      <c r="AT314">
        <f>HYPERLINK("http://www.worldcat.org/oclc/4495512","WorldCat Record")</f>
        <v/>
      </c>
      <c r="AU314" t="inlineStr">
        <is>
          <t>293246588:eng</t>
        </is>
      </c>
      <c r="AV314" t="inlineStr">
        <is>
          <t>4495512</t>
        </is>
      </c>
      <c r="AW314" t="inlineStr">
        <is>
          <t>991004656639702656</t>
        </is>
      </c>
      <c r="AX314" t="inlineStr">
        <is>
          <t>991004656639702656</t>
        </is>
      </c>
      <c r="AY314" t="inlineStr">
        <is>
          <t>2268147860002656</t>
        </is>
      </c>
      <c r="AZ314" t="inlineStr">
        <is>
          <t>BOOK</t>
        </is>
      </c>
      <c r="BB314" t="inlineStr">
        <is>
          <t>9780398038700</t>
        </is>
      </c>
      <c r="BC314" t="inlineStr">
        <is>
          <t>32285000274091</t>
        </is>
      </c>
      <c r="BD314" t="inlineStr">
        <is>
          <t>893253957</t>
        </is>
      </c>
    </row>
    <row r="315">
      <c r="A315" t="inlineStr">
        <is>
          <t>No</t>
        </is>
      </c>
      <c r="B315" t="inlineStr">
        <is>
          <t>RC372 .G67 1964</t>
        </is>
      </c>
      <c r="C315" t="inlineStr">
        <is>
          <t>0                      RC 0372000G  67          1964</t>
        </is>
      </c>
      <c r="D315" t="inlineStr">
        <is>
          <t>Epilepsy and other chronic convulsive diseases : their causes, symptoms &amp; treatment / by W. R. Gowers.</t>
        </is>
      </c>
      <c r="F315" t="inlineStr">
        <is>
          <t>No</t>
        </is>
      </c>
      <c r="G315" t="inlineStr">
        <is>
          <t>1</t>
        </is>
      </c>
      <c r="H315" t="inlineStr">
        <is>
          <t>No</t>
        </is>
      </c>
      <c r="I315" t="inlineStr">
        <is>
          <t>No</t>
        </is>
      </c>
      <c r="J315" t="inlineStr">
        <is>
          <t>0</t>
        </is>
      </c>
      <c r="K315" t="inlineStr">
        <is>
          <t>Gowers, W. R. (William Richard), 1845-1915.</t>
        </is>
      </c>
      <c r="L315" t="inlineStr">
        <is>
          <t>New York : Dover Publications, [1964]</t>
        </is>
      </c>
      <c r="M315" t="inlineStr">
        <is>
          <t>1964</t>
        </is>
      </c>
      <c r="O315" t="inlineStr">
        <is>
          <t>eng</t>
        </is>
      </c>
      <c r="P315" t="inlineStr">
        <is>
          <t>nyu</t>
        </is>
      </c>
      <c r="Q315" t="inlineStr">
        <is>
          <t>American Academy of Neurology. Reprint series, v. 1</t>
        </is>
      </c>
      <c r="R315" t="inlineStr">
        <is>
          <t xml:space="preserve">RC </t>
        </is>
      </c>
      <c r="S315" t="n">
        <v>15</v>
      </c>
      <c r="T315" t="n">
        <v>15</v>
      </c>
      <c r="U315" t="inlineStr">
        <is>
          <t>2007-10-23</t>
        </is>
      </c>
      <c r="V315" t="inlineStr">
        <is>
          <t>2007-10-23</t>
        </is>
      </c>
      <c r="W315" t="inlineStr">
        <is>
          <t>1992-04-09</t>
        </is>
      </c>
      <c r="X315" t="inlineStr">
        <is>
          <t>1992-04-09</t>
        </is>
      </c>
      <c r="Y315" t="n">
        <v>146</v>
      </c>
      <c r="Z315" t="n">
        <v>119</v>
      </c>
      <c r="AA315" t="n">
        <v>194</v>
      </c>
      <c r="AB315" t="n">
        <v>3</v>
      </c>
      <c r="AC315" t="n">
        <v>4</v>
      </c>
      <c r="AD315" t="n">
        <v>3</v>
      </c>
      <c r="AE315" t="n">
        <v>5</v>
      </c>
      <c r="AF315" t="n">
        <v>0</v>
      </c>
      <c r="AG315" t="n">
        <v>0</v>
      </c>
      <c r="AH315" t="n">
        <v>0</v>
      </c>
      <c r="AI315" t="n">
        <v>1</v>
      </c>
      <c r="AJ315" t="n">
        <v>1</v>
      </c>
      <c r="AK315" t="n">
        <v>1</v>
      </c>
      <c r="AL315" t="n">
        <v>2</v>
      </c>
      <c r="AM315" t="n">
        <v>3</v>
      </c>
      <c r="AN315" t="n">
        <v>0</v>
      </c>
      <c r="AO315" t="n">
        <v>0</v>
      </c>
      <c r="AP315" t="inlineStr">
        <is>
          <t>No</t>
        </is>
      </c>
      <c r="AQ315" t="inlineStr">
        <is>
          <t>Yes</t>
        </is>
      </c>
      <c r="AR315">
        <f>HYPERLINK("http://catalog.hathitrust.org/Record/009915479","HathiTrust Record")</f>
        <v/>
      </c>
      <c r="AS315">
        <f>HYPERLINK("https://creighton-primo.hosted.exlibrisgroup.com/primo-explore/search?tab=default_tab&amp;search_scope=EVERYTHING&amp;vid=01CRU&amp;lang=en_US&amp;offset=0&amp;query=any,contains,991004029009702656","Catalog Record")</f>
        <v/>
      </c>
      <c r="AT315">
        <f>HYPERLINK("http://www.worldcat.org/oclc/2146980","WorldCat Record")</f>
        <v/>
      </c>
      <c r="AU315" t="inlineStr">
        <is>
          <t>10200521489:eng</t>
        </is>
      </c>
      <c r="AV315" t="inlineStr">
        <is>
          <t>2146980</t>
        </is>
      </c>
      <c r="AW315" t="inlineStr">
        <is>
          <t>991004029009702656</t>
        </is>
      </c>
      <c r="AX315" t="inlineStr">
        <is>
          <t>991004029009702656</t>
        </is>
      </c>
      <c r="AY315" t="inlineStr">
        <is>
          <t>2255520120002656</t>
        </is>
      </c>
      <c r="AZ315" t="inlineStr">
        <is>
          <t>BOOK</t>
        </is>
      </c>
      <c r="BC315" t="inlineStr">
        <is>
          <t>32285001035780</t>
        </is>
      </c>
      <c r="BD315" t="inlineStr">
        <is>
          <t>893794398</t>
        </is>
      </c>
    </row>
    <row r="316">
      <c r="A316" t="inlineStr">
        <is>
          <t>No</t>
        </is>
      </c>
      <c r="B316" t="inlineStr">
        <is>
          <t>RC372 .M84</t>
        </is>
      </c>
      <c r="C316" t="inlineStr">
        <is>
          <t>0                      RC 0372000M  84</t>
        </is>
      </c>
      <c r="D316" t="inlineStr">
        <is>
          <t>A Multidisciplinary handbook of epilepsy / edited by Bruce P. Hermann.</t>
        </is>
      </c>
      <c r="F316" t="inlineStr">
        <is>
          <t>No</t>
        </is>
      </c>
      <c r="G316" t="inlineStr">
        <is>
          <t>1</t>
        </is>
      </c>
      <c r="H316" t="inlineStr">
        <is>
          <t>No</t>
        </is>
      </c>
      <c r="I316" t="inlineStr">
        <is>
          <t>No</t>
        </is>
      </c>
      <c r="J316" t="inlineStr">
        <is>
          <t>0</t>
        </is>
      </c>
      <c r="L316" t="inlineStr">
        <is>
          <t>Springfield, Ill. : Thomas, c1980.</t>
        </is>
      </c>
      <c r="M316" t="inlineStr">
        <is>
          <t>1980</t>
        </is>
      </c>
      <c r="O316" t="inlineStr">
        <is>
          <t>eng</t>
        </is>
      </c>
      <c r="P316" t="inlineStr">
        <is>
          <t>ilu</t>
        </is>
      </c>
      <c r="R316" t="inlineStr">
        <is>
          <t xml:space="preserve">RC </t>
        </is>
      </c>
      <c r="S316" t="n">
        <v>11</v>
      </c>
      <c r="T316" t="n">
        <v>11</v>
      </c>
      <c r="U316" t="inlineStr">
        <is>
          <t>2007-10-23</t>
        </is>
      </c>
      <c r="V316" t="inlineStr">
        <is>
          <t>2007-10-23</t>
        </is>
      </c>
      <c r="W316" t="inlineStr">
        <is>
          <t>1992-06-03</t>
        </is>
      </c>
      <c r="X316" t="inlineStr">
        <is>
          <t>1992-06-03</t>
        </is>
      </c>
      <c r="Y316" t="n">
        <v>125</v>
      </c>
      <c r="Z316" t="n">
        <v>99</v>
      </c>
      <c r="AA316" t="n">
        <v>99</v>
      </c>
      <c r="AB316" t="n">
        <v>2</v>
      </c>
      <c r="AC316" t="n">
        <v>2</v>
      </c>
      <c r="AD316" t="n">
        <v>2</v>
      </c>
      <c r="AE316" t="n">
        <v>2</v>
      </c>
      <c r="AF316" t="n">
        <v>0</v>
      </c>
      <c r="AG316" t="n">
        <v>0</v>
      </c>
      <c r="AH316" t="n">
        <v>0</v>
      </c>
      <c r="AI316" t="n">
        <v>0</v>
      </c>
      <c r="AJ316" t="n">
        <v>1</v>
      </c>
      <c r="AK316" t="n">
        <v>1</v>
      </c>
      <c r="AL316" t="n">
        <v>1</v>
      </c>
      <c r="AM316" t="n">
        <v>1</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HYPERLINK("https://creighton-primo.hosted.exlibrisgroup.com/primo-explore/search?tab=default_tab&amp;search_scope=EVERYTHING&amp;vid=01CRU&amp;lang=en_US&amp;offset=0&amp;query=any,contains,991004936039702656","Catalog Record")</f>
        <v/>
      </c>
      <c r="AT316">
        <f>HYPERLINK("http://www.worldcat.org/oclc/6143040","WorldCat Record")</f>
        <v/>
      </c>
      <c r="AU316" t="inlineStr">
        <is>
          <t>285660210:eng</t>
        </is>
      </c>
      <c r="AV316" t="inlineStr">
        <is>
          <t>6143040</t>
        </is>
      </c>
      <c r="AW316" t="inlineStr">
        <is>
          <t>991004936039702656</t>
        </is>
      </c>
      <c r="AX316" t="inlineStr">
        <is>
          <t>991004936039702656</t>
        </is>
      </c>
      <c r="AY316" t="inlineStr">
        <is>
          <t>2259867130002656</t>
        </is>
      </c>
      <c r="AZ316" t="inlineStr">
        <is>
          <t>BOOK</t>
        </is>
      </c>
      <c r="BB316" t="inlineStr">
        <is>
          <t>9780398040697</t>
        </is>
      </c>
      <c r="BC316" t="inlineStr">
        <is>
          <t>32285001114981</t>
        </is>
      </c>
      <c r="BD316" t="inlineStr">
        <is>
          <t>893719572</t>
        </is>
      </c>
    </row>
    <row r="317">
      <c r="A317" t="inlineStr">
        <is>
          <t>No</t>
        </is>
      </c>
      <c r="B317" t="inlineStr">
        <is>
          <t>RC372 .S28</t>
        </is>
      </c>
      <c r="C317" t="inlineStr">
        <is>
          <t>0                      RC 0372000S  28</t>
        </is>
      </c>
      <c r="D317" t="inlineStr">
        <is>
          <t>Epilepsy / [by] Richard Penrose Schmidt and B. Joe Wilder.</t>
        </is>
      </c>
      <c r="F317" t="inlineStr">
        <is>
          <t>No</t>
        </is>
      </c>
      <c r="G317" t="inlineStr">
        <is>
          <t>1</t>
        </is>
      </c>
      <c r="H317" t="inlineStr">
        <is>
          <t>Yes</t>
        </is>
      </c>
      <c r="I317" t="inlineStr">
        <is>
          <t>No</t>
        </is>
      </c>
      <c r="J317" t="inlineStr">
        <is>
          <t>0</t>
        </is>
      </c>
      <c r="K317" t="inlineStr">
        <is>
          <t>Schmidt, Richard Penrose.</t>
        </is>
      </c>
      <c r="L317" t="inlineStr">
        <is>
          <t>Philadelphia : F. A. Davis Co., [1968]</t>
        </is>
      </c>
      <c r="M317" t="inlineStr">
        <is>
          <t>1968</t>
        </is>
      </c>
      <c r="O317" t="inlineStr">
        <is>
          <t>eng</t>
        </is>
      </c>
      <c r="P317" t="inlineStr">
        <is>
          <t>pau</t>
        </is>
      </c>
      <c r="Q317" t="inlineStr">
        <is>
          <t>Contemporary neurology series ; 2</t>
        </is>
      </c>
      <c r="R317" t="inlineStr">
        <is>
          <t xml:space="preserve">RC </t>
        </is>
      </c>
      <c r="S317" t="n">
        <v>10</v>
      </c>
      <c r="T317" t="n">
        <v>11</v>
      </c>
      <c r="U317" t="inlineStr">
        <is>
          <t>2007-10-23</t>
        </is>
      </c>
      <c r="V317" t="inlineStr">
        <is>
          <t>2007-10-23</t>
        </is>
      </c>
      <c r="W317" t="inlineStr">
        <is>
          <t>1991-10-17</t>
        </is>
      </c>
      <c r="X317" t="inlineStr">
        <is>
          <t>1991-10-17</t>
        </is>
      </c>
      <c r="Y317" t="n">
        <v>173</v>
      </c>
      <c r="Z317" t="n">
        <v>138</v>
      </c>
      <c r="AA317" t="n">
        <v>140</v>
      </c>
      <c r="AB317" t="n">
        <v>3</v>
      </c>
      <c r="AC317" t="n">
        <v>3</v>
      </c>
      <c r="AD317" t="n">
        <v>1</v>
      </c>
      <c r="AE317" t="n">
        <v>1</v>
      </c>
      <c r="AF317" t="n">
        <v>0</v>
      </c>
      <c r="AG317" t="n">
        <v>0</v>
      </c>
      <c r="AH317" t="n">
        <v>0</v>
      </c>
      <c r="AI317" t="n">
        <v>0</v>
      </c>
      <c r="AJ317" t="n">
        <v>0</v>
      </c>
      <c r="AK317" t="n">
        <v>0</v>
      </c>
      <c r="AL317" t="n">
        <v>1</v>
      </c>
      <c r="AM317" t="n">
        <v>1</v>
      </c>
      <c r="AN317" t="n">
        <v>0</v>
      </c>
      <c r="AO317" t="n">
        <v>0</v>
      </c>
      <c r="AP317" t="inlineStr">
        <is>
          <t>No</t>
        </is>
      </c>
      <c r="AQ317" t="inlineStr">
        <is>
          <t>Yes</t>
        </is>
      </c>
      <c r="AR317">
        <f>HYPERLINK("http://catalog.hathitrust.org/Record/001578023","HathiTrust Record")</f>
        <v/>
      </c>
      <c r="AS317">
        <f>HYPERLINK("https://creighton-primo.hosted.exlibrisgroup.com/primo-explore/search?tab=default_tab&amp;search_scope=EVERYTHING&amp;vid=01CRU&amp;lang=en_US&amp;offset=0&amp;query=any,contains,991001790989702656","Catalog Record")</f>
        <v/>
      </c>
      <c r="AT317">
        <f>HYPERLINK("http://www.worldcat.org/oclc/439643","WorldCat Record")</f>
        <v/>
      </c>
      <c r="AU317" t="inlineStr">
        <is>
          <t>1564212:eng</t>
        </is>
      </c>
      <c r="AV317" t="inlineStr">
        <is>
          <t>439643</t>
        </is>
      </c>
      <c r="AW317" t="inlineStr">
        <is>
          <t>991001790989702656</t>
        </is>
      </c>
      <c r="AX317" t="inlineStr">
        <is>
          <t>991001790989702656</t>
        </is>
      </c>
      <c r="AY317" t="inlineStr">
        <is>
          <t>2266595890002656</t>
        </is>
      </c>
      <c r="AZ317" t="inlineStr">
        <is>
          <t>BOOK</t>
        </is>
      </c>
      <c r="BC317" t="inlineStr">
        <is>
          <t>32285000773852</t>
        </is>
      </c>
      <c r="BD317" t="inlineStr">
        <is>
          <t>893803903</t>
        </is>
      </c>
    </row>
    <row r="318">
      <c r="A318" t="inlineStr">
        <is>
          <t>No</t>
        </is>
      </c>
      <c r="B318" t="inlineStr">
        <is>
          <t>RC377 .S53 2007</t>
        </is>
      </c>
      <c r="C318" t="inlineStr">
        <is>
          <t>0                      RC 0377000S  53          2007</t>
        </is>
      </c>
      <c r="D318" t="inlineStr">
        <is>
          <t>MS and your feelings : handling the ups and downs of multiple sclerosis / Allison Shadday.</t>
        </is>
      </c>
      <c r="F318" t="inlineStr">
        <is>
          <t>No</t>
        </is>
      </c>
      <c r="G318" t="inlineStr">
        <is>
          <t>1</t>
        </is>
      </c>
      <c r="H318" t="inlineStr">
        <is>
          <t>No</t>
        </is>
      </c>
      <c r="I318" t="inlineStr">
        <is>
          <t>No</t>
        </is>
      </c>
      <c r="J318" t="inlineStr">
        <is>
          <t>0</t>
        </is>
      </c>
      <c r="K318" t="inlineStr">
        <is>
          <t>Shadday, Allison.</t>
        </is>
      </c>
      <c r="L318" t="inlineStr">
        <is>
          <t>Alameda CA : Hunter House, c2007.</t>
        </is>
      </c>
      <c r="M318" t="inlineStr">
        <is>
          <t>2007</t>
        </is>
      </c>
      <c r="N318" t="inlineStr">
        <is>
          <t>1st ed.</t>
        </is>
      </c>
      <c r="O318" t="inlineStr">
        <is>
          <t>eng</t>
        </is>
      </c>
      <c r="P318" t="inlineStr">
        <is>
          <t>cau</t>
        </is>
      </c>
      <c r="R318" t="inlineStr">
        <is>
          <t xml:space="preserve">RC </t>
        </is>
      </c>
      <c r="S318" t="n">
        <v>1</v>
      </c>
      <c r="T318" t="n">
        <v>1</v>
      </c>
      <c r="U318" t="inlineStr">
        <is>
          <t>2007-06-07</t>
        </is>
      </c>
      <c r="V318" t="inlineStr">
        <is>
          <t>2007-06-07</t>
        </is>
      </c>
      <c r="W318" t="inlineStr">
        <is>
          <t>2007-06-07</t>
        </is>
      </c>
      <c r="X318" t="inlineStr">
        <is>
          <t>2007-06-07</t>
        </is>
      </c>
      <c r="Y318" t="n">
        <v>423</v>
      </c>
      <c r="Z318" t="n">
        <v>403</v>
      </c>
      <c r="AA318" t="n">
        <v>408</v>
      </c>
      <c r="AB318" t="n">
        <v>2</v>
      </c>
      <c r="AC318" t="n">
        <v>2</v>
      </c>
      <c r="AD318" t="n">
        <v>1</v>
      </c>
      <c r="AE318" t="n">
        <v>1</v>
      </c>
      <c r="AF318" t="n">
        <v>0</v>
      </c>
      <c r="AG318" t="n">
        <v>0</v>
      </c>
      <c r="AH318" t="n">
        <v>0</v>
      </c>
      <c r="AI318" t="n">
        <v>0</v>
      </c>
      <c r="AJ318" t="n">
        <v>0</v>
      </c>
      <c r="AK318" t="n">
        <v>0</v>
      </c>
      <c r="AL318" t="n">
        <v>1</v>
      </c>
      <c r="AM318" t="n">
        <v>1</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HYPERLINK("https://creighton-primo.hosted.exlibrisgroup.com/primo-explore/search?tab=default_tab&amp;search_scope=EVERYTHING&amp;vid=01CRU&amp;lang=en_US&amp;offset=0&amp;query=any,contains,991005082479702656","Catalog Record")</f>
        <v/>
      </c>
      <c r="AT318">
        <f>HYPERLINK("http://www.worldcat.org/oclc/72871361","WorldCat Record")</f>
        <v/>
      </c>
      <c r="AU318" t="inlineStr">
        <is>
          <t>59557523:eng</t>
        </is>
      </c>
      <c r="AV318" t="inlineStr">
        <is>
          <t>72871361</t>
        </is>
      </c>
      <c r="AW318" t="inlineStr">
        <is>
          <t>991005082479702656</t>
        </is>
      </c>
      <c r="AX318" t="inlineStr">
        <is>
          <t>991005082479702656</t>
        </is>
      </c>
      <c r="AY318" t="inlineStr">
        <is>
          <t>2268137800002656</t>
        </is>
      </c>
      <c r="AZ318" t="inlineStr">
        <is>
          <t>BOOK</t>
        </is>
      </c>
      <c r="BB318" t="inlineStr">
        <is>
          <t>9780897934893</t>
        </is>
      </c>
      <c r="BC318" t="inlineStr">
        <is>
          <t>32285005315873</t>
        </is>
      </c>
      <c r="BD318" t="inlineStr">
        <is>
          <t>893236244</t>
        </is>
      </c>
    </row>
    <row r="319">
      <c r="A319" t="inlineStr">
        <is>
          <t>No</t>
        </is>
      </c>
      <c r="B319" t="inlineStr">
        <is>
          <t>RC382 .K66 2001</t>
        </is>
      </c>
      <c r="C319" t="inlineStr">
        <is>
          <t>0                      RC 0382000K  66          2001</t>
        </is>
      </c>
      <c r="D319" t="inlineStr">
        <is>
          <t>Saving Milly : love, politics, and Parkinson's Disease / Morton Kondracke.</t>
        </is>
      </c>
      <c r="F319" t="inlineStr">
        <is>
          <t>No</t>
        </is>
      </c>
      <c r="G319" t="inlineStr">
        <is>
          <t>1</t>
        </is>
      </c>
      <c r="H319" t="inlineStr">
        <is>
          <t>No</t>
        </is>
      </c>
      <c r="I319" t="inlineStr">
        <is>
          <t>No</t>
        </is>
      </c>
      <c r="J319" t="inlineStr">
        <is>
          <t>0</t>
        </is>
      </c>
      <c r="K319" t="inlineStr">
        <is>
          <t>Kondracke, Morton.</t>
        </is>
      </c>
      <c r="L319" t="inlineStr">
        <is>
          <t>New York : Public Affairs, c2001.</t>
        </is>
      </c>
      <c r="M319" t="inlineStr">
        <is>
          <t>2001</t>
        </is>
      </c>
      <c r="N319" t="inlineStr">
        <is>
          <t>1st ed.</t>
        </is>
      </c>
      <c r="O319" t="inlineStr">
        <is>
          <t>eng</t>
        </is>
      </c>
      <c r="P319" t="inlineStr">
        <is>
          <t>nyu</t>
        </is>
      </c>
      <c r="R319" t="inlineStr">
        <is>
          <t xml:space="preserve">RC </t>
        </is>
      </c>
      <c r="S319" t="n">
        <v>4</v>
      </c>
      <c r="T319" t="n">
        <v>4</v>
      </c>
      <c r="U319" t="inlineStr">
        <is>
          <t>2003-02-05</t>
        </is>
      </c>
      <c r="V319" t="inlineStr">
        <is>
          <t>2003-02-05</t>
        </is>
      </c>
      <c r="W319" t="inlineStr">
        <is>
          <t>2001-08-02</t>
        </is>
      </c>
      <c r="X319" t="inlineStr">
        <is>
          <t>2001-08-02</t>
        </is>
      </c>
      <c r="Y319" t="n">
        <v>845</v>
      </c>
      <c r="Z319" t="n">
        <v>815</v>
      </c>
      <c r="AA319" t="n">
        <v>944</v>
      </c>
      <c r="AB319" t="n">
        <v>7</v>
      </c>
      <c r="AC319" t="n">
        <v>9</v>
      </c>
      <c r="AD319" t="n">
        <v>6</v>
      </c>
      <c r="AE319" t="n">
        <v>11</v>
      </c>
      <c r="AF319" t="n">
        <v>2</v>
      </c>
      <c r="AG319" t="n">
        <v>6</v>
      </c>
      <c r="AH319" t="n">
        <v>0</v>
      </c>
      <c r="AI319" t="n">
        <v>1</v>
      </c>
      <c r="AJ319" t="n">
        <v>4</v>
      </c>
      <c r="AK319" t="n">
        <v>6</v>
      </c>
      <c r="AL319" t="n">
        <v>1</v>
      </c>
      <c r="AM319" t="n">
        <v>2</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HYPERLINK("https://creighton-primo.hosted.exlibrisgroup.com/primo-explore/search?tab=default_tab&amp;search_scope=EVERYTHING&amp;vid=01CRU&amp;lang=en_US&amp;offset=0&amp;query=any,contains,991003557129702656","Catalog Record")</f>
        <v/>
      </c>
      <c r="AT319">
        <f>HYPERLINK("http://www.worldcat.org/oclc/45890393","WorldCat Record")</f>
        <v/>
      </c>
      <c r="AU319" t="inlineStr">
        <is>
          <t>796332188:eng</t>
        </is>
      </c>
      <c r="AV319" t="inlineStr">
        <is>
          <t>45890393</t>
        </is>
      </c>
      <c r="AW319" t="inlineStr">
        <is>
          <t>991003557129702656</t>
        </is>
      </c>
      <c r="AX319" t="inlineStr">
        <is>
          <t>991003557129702656</t>
        </is>
      </c>
      <c r="AY319" t="inlineStr">
        <is>
          <t>2265121420002656</t>
        </is>
      </c>
      <c r="AZ319" t="inlineStr">
        <is>
          <t>BOOK</t>
        </is>
      </c>
      <c r="BB319" t="inlineStr">
        <is>
          <t>9781586480370</t>
        </is>
      </c>
      <c r="BC319" t="inlineStr">
        <is>
          <t>32285004375589</t>
        </is>
      </c>
      <c r="BD319" t="inlineStr">
        <is>
          <t>893799870</t>
        </is>
      </c>
    </row>
    <row r="320">
      <c r="A320" t="inlineStr">
        <is>
          <t>No</t>
        </is>
      </c>
      <c r="B320" t="inlineStr">
        <is>
          <t>RC386.2 .B73</t>
        </is>
      </c>
      <c r="C320" t="inlineStr">
        <is>
          <t>0                      RC 0386200B  73</t>
        </is>
      </c>
      <c r="D320" t="inlineStr">
        <is>
          <t>Electroshock, its brain-disabling effects / Peter Roger Breggin.</t>
        </is>
      </c>
      <c r="F320" t="inlineStr">
        <is>
          <t>No</t>
        </is>
      </c>
      <c r="G320" t="inlineStr">
        <is>
          <t>1</t>
        </is>
      </c>
      <c r="H320" t="inlineStr">
        <is>
          <t>No</t>
        </is>
      </c>
      <c r="I320" t="inlineStr">
        <is>
          <t>No</t>
        </is>
      </c>
      <c r="J320" t="inlineStr">
        <is>
          <t>0</t>
        </is>
      </c>
      <c r="K320" t="inlineStr">
        <is>
          <t>Breggin, Peter Roger, 1936-</t>
        </is>
      </c>
      <c r="L320" t="inlineStr">
        <is>
          <t>New York : Springer Pub. Co., c1979.</t>
        </is>
      </c>
      <c r="M320" t="inlineStr">
        <is>
          <t>1979</t>
        </is>
      </c>
      <c r="O320" t="inlineStr">
        <is>
          <t>eng</t>
        </is>
      </c>
      <c r="P320" t="inlineStr">
        <is>
          <t>nyu</t>
        </is>
      </c>
      <c r="R320" t="inlineStr">
        <is>
          <t xml:space="preserve">RC </t>
        </is>
      </c>
      <c r="S320" t="n">
        <v>9</v>
      </c>
      <c r="T320" t="n">
        <v>9</v>
      </c>
      <c r="U320" t="inlineStr">
        <is>
          <t>1999-10-28</t>
        </is>
      </c>
      <c r="V320" t="inlineStr">
        <is>
          <t>1999-10-28</t>
        </is>
      </c>
      <c r="W320" t="inlineStr">
        <is>
          <t>1993-03-18</t>
        </is>
      </c>
      <c r="X320" t="inlineStr">
        <is>
          <t>1993-03-18</t>
        </is>
      </c>
      <c r="Y320" t="n">
        <v>413</v>
      </c>
      <c r="Z320" t="n">
        <v>352</v>
      </c>
      <c r="AA320" t="n">
        <v>354</v>
      </c>
      <c r="AB320" t="n">
        <v>3</v>
      </c>
      <c r="AC320" t="n">
        <v>3</v>
      </c>
      <c r="AD320" t="n">
        <v>11</v>
      </c>
      <c r="AE320" t="n">
        <v>11</v>
      </c>
      <c r="AF320" t="n">
        <v>6</v>
      </c>
      <c r="AG320" t="n">
        <v>6</v>
      </c>
      <c r="AH320" t="n">
        <v>1</v>
      </c>
      <c r="AI320" t="n">
        <v>1</v>
      </c>
      <c r="AJ320" t="n">
        <v>5</v>
      </c>
      <c r="AK320" t="n">
        <v>5</v>
      </c>
      <c r="AL320" t="n">
        <v>1</v>
      </c>
      <c r="AM320" t="n">
        <v>1</v>
      </c>
      <c r="AN320" t="n">
        <v>0</v>
      </c>
      <c r="AO320" t="n">
        <v>0</v>
      </c>
      <c r="AP320" t="inlineStr">
        <is>
          <t>No</t>
        </is>
      </c>
      <c r="AQ320" t="inlineStr">
        <is>
          <t>Yes</t>
        </is>
      </c>
      <c r="AR320">
        <f>HYPERLINK("http://catalog.hathitrust.org/Record/000705432","HathiTrust Record")</f>
        <v/>
      </c>
      <c r="AS320">
        <f>HYPERLINK("https://creighton-primo.hosted.exlibrisgroup.com/primo-explore/search?tab=default_tab&amp;search_scope=EVERYTHING&amp;vid=01CRU&amp;lang=en_US&amp;offset=0&amp;query=any,contains,991005072689702656","Catalog Record")</f>
        <v/>
      </c>
      <c r="AT320">
        <f>HYPERLINK("http://www.worldcat.org/oclc/5029460","WorldCat Record")</f>
        <v/>
      </c>
      <c r="AU320" t="inlineStr">
        <is>
          <t>493082:eng</t>
        </is>
      </c>
      <c r="AV320" t="inlineStr">
        <is>
          <t>5029460</t>
        </is>
      </c>
      <c r="AW320" t="inlineStr">
        <is>
          <t>991005072689702656</t>
        </is>
      </c>
      <c r="AX320" t="inlineStr">
        <is>
          <t>991005072689702656</t>
        </is>
      </c>
      <c r="AY320" t="inlineStr">
        <is>
          <t>2271647370002656</t>
        </is>
      </c>
      <c r="AZ320" t="inlineStr">
        <is>
          <t>BOOK</t>
        </is>
      </c>
      <c r="BB320" t="inlineStr">
        <is>
          <t>9780826127105</t>
        </is>
      </c>
      <c r="BC320" t="inlineStr">
        <is>
          <t>32285001589653</t>
        </is>
      </c>
      <c r="BD320" t="inlineStr">
        <is>
          <t>893520370</t>
        </is>
      </c>
    </row>
    <row r="321">
      <c r="A321" t="inlineStr">
        <is>
          <t>No</t>
        </is>
      </c>
      <c r="B321" t="inlineStr">
        <is>
          <t>RC386.2 .G28 1975</t>
        </is>
      </c>
      <c r="C321" t="inlineStr">
        <is>
          <t>0                      RC 0386200G  28          1975</t>
        </is>
      </c>
      <c r="D321" t="inlineStr">
        <is>
          <t>The shattered mind : the person after brain damage / Howard Gardner.</t>
        </is>
      </c>
      <c r="F321" t="inlineStr">
        <is>
          <t>No</t>
        </is>
      </c>
      <c r="G321" t="inlineStr">
        <is>
          <t>1</t>
        </is>
      </c>
      <c r="H321" t="inlineStr">
        <is>
          <t>No</t>
        </is>
      </c>
      <c r="I321" t="inlineStr">
        <is>
          <t>No</t>
        </is>
      </c>
      <c r="J321" t="inlineStr">
        <is>
          <t>0</t>
        </is>
      </c>
      <c r="K321" t="inlineStr">
        <is>
          <t>Gardner, Howard, 1943-</t>
        </is>
      </c>
      <c r="L321" t="inlineStr">
        <is>
          <t>New York : Knopf : distributed by Random House, 1975, c1974.</t>
        </is>
      </c>
      <c r="M321" t="inlineStr">
        <is>
          <t>1975</t>
        </is>
      </c>
      <c r="N321" t="inlineStr">
        <is>
          <t>1st ed.</t>
        </is>
      </c>
      <c r="O321" t="inlineStr">
        <is>
          <t>eng</t>
        </is>
      </c>
      <c r="P321" t="inlineStr">
        <is>
          <t>nyu</t>
        </is>
      </c>
      <c r="R321" t="inlineStr">
        <is>
          <t xml:space="preserve">RC </t>
        </is>
      </c>
      <c r="S321" t="n">
        <v>12</v>
      </c>
      <c r="T321" t="n">
        <v>12</v>
      </c>
      <c r="U321" t="inlineStr">
        <is>
          <t>2003-12-02</t>
        </is>
      </c>
      <c r="V321" t="inlineStr">
        <is>
          <t>2003-12-02</t>
        </is>
      </c>
      <c r="W321" t="inlineStr">
        <is>
          <t>1990-09-05</t>
        </is>
      </c>
      <c r="X321" t="inlineStr">
        <is>
          <t>1990-09-05</t>
        </is>
      </c>
      <c r="Y321" t="n">
        <v>830</v>
      </c>
      <c r="Z321" t="n">
        <v>770</v>
      </c>
      <c r="AA321" t="n">
        <v>953</v>
      </c>
      <c r="AB321" t="n">
        <v>6</v>
      </c>
      <c r="AC321" t="n">
        <v>9</v>
      </c>
      <c r="AD321" t="n">
        <v>22</v>
      </c>
      <c r="AE321" t="n">
        <v>33</v>
      </c>
      <c r="AF321" t="n">
        <v>10</v>
      </c>
      <c r="AG321" t="n">
        <v>13</v>
      </c>
      <c r="AH321" t="n">
        <v>6</v>
      </c>
      <c r="AI321" t="n">
        <v>6</v>
      </c>
      <c r="AJ321" t="n">
        <v>11</v>
      </c>
      <c r="AK321" t="n">
        <v>16</v>
      </c>
      <c r="AL321" t="n">
        <v>4</v>
      </c>
      <c r="AM321" t="n">
        <v>7</v>
      </c>
      <c r="AN321" t="n">
        <v>0</v>
      </c>
      <c r="AO321" t="n">
        <v>0</v>
      </c>
      <c r="AP321" t="inlineStr">
        <is>
          <t>No</t>
        </is>
      </c>
      <c r="AQ321" t="inlineStr">
        <is>
          <t>Yes</t>
        </is>
      </c>
      <c r="AR321">
        <f>HYPERLINK("http://catalog.hathitrust.org/Record/000030023","HathiTrust Record")</f>
        <v/>
      </c>
      <c r="AS321">
        <f>HYPERLINK("https://creighton-primo.hosted.exlibrisgroup.com/primo-explore/search?tab=default_tab&amp;search_scope=EVERYTHING&amp;vid=01CRU&amp;lang=en_US&amp;offset=0&amp;query=any,contains,991003530149702656","Catalog Record")</f>
        <v/>
      </c>
      <c r="AT321">
        <f>HYPERLINK("http://www.worldcat.org/oclc/1093333","WorldCat Record")</f>
        <v/>
      </c>
      <c r="AU321" t="inlineStr">
        <is>
          <t>464258:eng</t>
        </is>
      </c>
      <c r="AV321" t="inlineStr">
        <is>
          <t>1093333</t>
        </is>
      </c>
      <c r="AW321" t="inlineStr">
        <is>
          <t>991003530149702656</t>
        </is>
      </c>
      <c r="AX321" t="inlineStr">
        <is>
          <t>991003530149702656</t>
        </is>
      </c>
      <c r="AY321" t="inlineStr">
        <is>
          <t>2264848420002656</t>
        </is>
      </c>
      <c r="AZ321" t="inlineStr">
        <is>
          <t>BOOK</t>
        </is>
      </c>
      <c r="BB321" t="inlineStr">
        <is>
          <t>9780394493152</t>
        </is>
      </c>
      <c r="BC321" t="inlineStr">
        <is>
          <t>32285000284801</t>
        </is>
      </c>
      <c r="BD321" t="inlineStr">
        <is>
          <t>893531267</t>
        </is>
      </c>
    </row>
    <row r="322">
      <c r="A322" t="inlineStr">
        <is>
          <t>No</t>
        </is>
      </c>
      <c r="B322" t="inlineStr">
        <is>
          <t>RC386.2 .R87</t>
        </is>
      </c>
      <c r="C322" t="inlineStr">
        <is>
          <t>0                      RC 0386200R  87</t>
        </is>
      </c>
      <c r="D322" t="inlineStr">
        <is>
          <t>Assessment of brain damage; a neuropsychological key approach [by] Elbert W. Russell, Charles Neuringer [and] Gerald Goldstein, with the assistance of Carolyn H. Shelly.</t>
        </is>
      </c>
      <c r="F322" t="inlineStr">
        <is>
          <t>No</t>
        </is>
      </c>
      <c r="G322" t="inlineStr">
        <is>
          <t>1</t>
        </is>
      </c>
      <c r="H322" t="inlineStr">
        <is>
          <t>No</t>
        </is>
      </c>
      <c r="I322" t="inlineStr">
        <is>
          <t>No</t>
        </is>
      </c>
      <c r="J322" t="inlineStr">
        <is>
          <t>0</t>
        </is>
      </c>
      <c r="K322" t="inlineStr">
        <is>
          <t>Russell, Elbert W., 1929-</t>
        </is>
      </c>
      <c r="L322" t="inlineStr">
        <is>
          <t>New York, Wiley-Interscience [1970]</t>
        </is>
      </c>
      <c r="M322" t="inlineStr">
        <is>
          <t>1970</t>
        </is>
      </c>
      <c r="O322" t="inlineStr">
        <is>
          <t>eng</t>
        </is>
      </c>
      <c r="P322" t="inlineStr">
        <is>
          <t>nyu</t>
        </is>
      </c>
      <c r="Q322" t="inlineStr">
        <is>
          <t>Wiley series on psychological disorders</t>
        </is>
      </c>
      <c r="R322" t="inlineStr">
        <is>
          <t xml:space="preserve">RC </t>
        </is>
      </c>
      <c r="S322" t="n">
        <v>1</v>
      </c>
      <c r="T322" t="n">
        <v>1</v>
      </c>
      <c r="U322" t="inlineStr">
        <is>
          <t>2002-10-22</t>
        </is>
      </c>
      <c r="V322" t="inlineStr">
        <is>
          <t>2002-10-22</t>
        </is>
      </c>
      <c r="W322" t="inlineStr">
        <is>
          <t>1997-08-11</t>
        </is>
      </c>
      <c r="X322" t="inlineStr">
        <is>
          <t>1997-08-11</t>
        </is>
      </c>
      <c r="Y322" t="n">
        <v>582</v>
      </c>
      <c r="Z322" t="n">
        <v>482</v>
      </c>
      <c r="AA322" t="n">
        <v>489</v>
      </c>
      <c r="AB322" t="n">
        <v>5</v>
      </c>
      <c r="AC322" t="n">
        <v>5</v>
      </c>
      <c r="AD322" t="n">
        <v>23</v>
      </c>
      <c r="AE322" t="n">
        <v>23</v>
      </c>
      <c r="AF322" t="n">
        <v>8</v>
      </c>
      <c r="AG322" t="n">
        <v>8</v>
      </c>
      <c r="AH322" t="n">
        <v>6</v>
      </c>
      <c r="AI322" t="n">
        <v>6</v>
      </c>
      <c r="AJ322" t="n">
        <v>12</v>
      </c>
      <c r="AK322" t="n">
        <v>12</v>
      </c>
      <c r="AL322" t="n">
        <v>4</v>
      </c>
      <c r="AM322" t="n">
        <v>4</v>
      </c>
      <c r="AN322" t="n">
        <v>0</v>
      </c>
      <c r="AO322" t="n">
        <v>0</v>
      </c>
      <c r="AP322" t="inlineStr">
        <is>
          <t>No</t>
        </is>
      </c>
      <c r="AQ322" t="inlineStr">
        <is>
          <t>Yes</t>
        </is>
      </c>
      <c r="AR322">
        <f>HYPERLINK("http://catalog.hathitrust.org/Record/001563216","HathiTrust Record")</f>
        <v/>
      </c>
      <c r="AS322">
        <f>HYPERLINK("https://creighton-primo.hosted.exlibrisgroup.com/primo-explore/search?tab=default_tab&amp;search_scope=EVERYTHING&amp;vid=01CRU&amp;lang=en_US&amp;offset=0&amp;query=any,contains,991000605369702656","Catalog Record")</f>
        <v/>
      </c>
      <c r="AT322">
        <f>HYPERLINK("http://www.worldcat.org/oclc/98833","WorldCat Record")</f>
        <v/>
      </c>
      <c r="AU322" t="inlineStr">
        <is>
          <t>241034842:eng</t>
        </is>
      </c>
      <c r="AV322" t="inlineStr">
        <is>
          <t>98833</t>
        </is>
      </c>
      <c r="AW322" t="inlineStr">
        <is>
          <t>991000605369702656</t>
        </is>
      </c>
      <c r="AX322" t="inlineStr">
        <is>
          <t>991000605369702656</t>
        </is>
      </c>
      <c r="AY322" t="inlineStr">
        <is>
          <t>2272149740002656</t>
        </is>
      </c>
      <c r="AZ322" t="inlineStr">
        <is>
          <t>BOOK</t>
        </is>
      </c>
      <c r="BB322" t="inlineStr">
        <is>
          <t>9780471745501</t>
        </is>
      </c>
      <c r="BC322" t="inlineStr">
        <is>
          <t>32285003084919</t>
        </is>
      </c>
      <c r="BD322" t="inlineStr">
        <is>
          <t>893595706</t>
        </is>
      </c>
    </row>
    <row r="323">
      <c r="A323" t="inlineStr">
        <is>
          <t>No</t>
        </is>
      </c>
      <c r="B323" t="inlineStr">
        <is>
          <t>RC386.5 .N473 1979</t>
        </is>
      </c>
      <c r="C323" t="inlineStr">
        <is>
          <t>0                      RC 0386500N  473         1979</t>
        </is>
      </c>
      <c r="D323" t="inlineStr">
        <is>
          <t>Neuropsychology / edited by Michael S. Gazzaniga.</t>
        </is>
      </c>
      <c r="F323" t="inlineStr">
        <is>
          <t>No</t>
        </is>
      </c>
      <c r="G323" t="inlineStr">
        <is>
          <t>1</t>
        </is>
      </c>
      <c r="H323" t="inlineStr">
        <is>
          <t>Yes</t>
        </is>
      </c>
      <c r="I323" t="inlineStr">
        <is>
          <t>No</t>
        </is>
      </c>
      <c r="J323" t="inlineStr">
        <is>
          <t>0</t>
        </is>
      </c>
      <c r="L323" t="inlineStr">
        <is>
          <t>New York : Plenum Press, c1979.</t>
        </is>
      </c>
      <c r="M323" t="inlineStr">
        <is>
          <t>1979</t>
        </is>
      </c>
      <c r="O323" t="inlineStr">
        <is>
          <t>eng</t>
        </is>
      </c>
      <c r="P323" t="inlineStr">
        <is>
          <t>nyu</t>
        </is>
      </c>
      <c r="Q323" t="inlineStr">
        <is>
          <t>Handbook of behavioral neurobiology ; v. 2</t>
        </is>
      </c>
      <c r="R323" t="inlineStr">
        <is>
          <t xml:space="preserve">RC </t>
        </is>
      </c>
      <c r="S323" t="n">
        <v>3</v>
      </c>
      <c r="T323" t="n">
        <v>7</v>
      </c>
      <c r="U323" t="inlineStr">
        <is>
          <t>2001-06-17</t>
        </is>
      </c>
      <c r="V323" t="inlineStr">
        <is>
          <t>2001-06-17</t>
        </is>
      </c>
      <c r="W323" t="inlineStr">
        <is>
          <t>1999-01-07</t>
        </is>
      </c>
      <c r="X323" t="inlineStr">
        <is>
          <t>1999-01-07</t>
        </is>
      </c>
      <c r="Y323" t="n">
        <v>423</v>
      </c>
      <c r="Z323" t="n">
        <v>326</v>
      </c>
      <c r="AA323" t="n">
        <v>336</v>
      </c>
      <c r="AB323" t="n">
        <v>4</v>
      </c>
      <c r="AC323" t="n">
        <v>4</v>
      </c>
      <c r="AD323" t="n">
        <v>16</v>
      </c>
      <c r="AE323" t="n">
        <v>16</v>
      </c>
      <c r="AF323" t="n">
        <v>3</v>
      </c>
      <c r="AG323" t="n">
        <v>3</v>
      </c>
      <c r="AH323" t="n">
        <v>5</v>
      </c>
      <c r="AI323" t="n">
        <v>5</v>
      </c>
      <c r="AJ323" t="n">
        <v>10</v>
      </c>
      <c r="AK323" t="n">
        <v>10</v>
      </c>
      <c r="AL323" t="n">
        <v>2</v>
      </c>
      <c r="AM323" t="n">
        <v>2</v>
      </c>
      <c r="AN323" t="n">
        <v>0</v>
      </c>
      <c r="AO323" t="n">
        <v>0</v>
      </c>
      <c r="AP323" t="inlineStr">
        <is>
          <t>No</t>
        </is>
      </c>
      <c r="AQ323" t="inlineStr">
        <is>
          <t>Yes</t>
        </is>
      </c>
      <c r="AR323">
        <f>HYPERLINK("http://catalog.hathitrust.org/Record/000022380","HathiTrust Record")</f>
        <v/>
      </c>
      <c r="AS323">
        <f>HYPERLINK("https://creighton-primo.hosted.exlibrisgroup.com/primo-explore/search?tab=default_tab&amp;search_scope=EVERYTHING&amp;vid=01CRU&amp;lang=en_US&amp;offset=0&amp;query=any,contains,991001800969702656","Catalog Record")</f>
        <v/>
      </c>
      <c r="AT323">
        <f>HYPERLINK("http://www.worldcat.org/oclc/4494696","WorldCat Record")</f>
        <v/>
      </c>
      <c r="AU323" t="inlineStr">
        <is>
          <t>54264822:eng</t>
        </is>
      </c>
      <c r="AV323" t="inlineStr">
        <is>
          <t>4494696</t>
        </is>
      </c>
      <c r="AW323" t="inlineStr">
        <is>
          <t>991001800969702656</t>
        </is>
      </c>
      <c r="AX323" t="inlineStr">
        <is>
          <t>991001800969702656</t>
        </is>
      </c>
      <c r="AY323" t="inlineStr">
        <is>
          <t>2265335000002656</t>
        </is>
      </c>
      <c r="AZ323" t="inlineStr">
        <is>
          <t>BOOK</t>
        </is>
      </c>
      <c r="BB323" t="inlineStr">
        <is>
          <t>9780306351921</t>
        </is>
      </c>
      <c r="BC323" t="inlineStr">
        <is>
          <t>32285003510558</t>
        </is>
      </c>
      <c r="BD323" t="inlineStr">
        <is>
          <t>893715738</t>
        </is>
      </c>
    </row>
    <row r="324">
      <c r="A324" t="inlineStr">
        <is>
          <t>No</t>
        </is>
      </c>
      <c r="B324" t="inlineStr">
        <is>
          <t>RC386.6.B7 C37 1998</t>
        </is>
      </c>
      <c r="C324" t="inlineStr">
        <is>
          <t>0                      RC 0386600B  7                  C  37          1998</t>
        </is>
      </c>
      <c r="D324" t="inlineStr">
        <is>
          <t>Mapping the mind / Rita Carter ; scientific adviser : Christopher Frith.</t>
        </is>
      </c>
      <c r="F324" t="inlineStr">
        <is>
          <t>No</t>
        </is>
      </c>
      <c r="G324" t="inlineStr">
        <is>
          <t>1</t>
        </is>
      </c>
      <c r="H324" t="inlineStr">
        <is>
          <t>No</t>
        </is>
      </c>
      <c r="I324" t="inlineStr">
        <is>
          <t>No</t>
        </is>
      </c>
      <c r="J324" t="inlineStr">
        <is>
          <t>0</t>
        </is>
      </c>
      <c r="K324" t="inlineStr">
        <is>
          <t>Carter, Rita.</t>
        </is>
      </c>
      <c r="L324" t="inlineStr">
        <is>
          <t>Berkeley, CA. : University of California Press, c1998.</t>
        </is>
      </c>
      <c r="M324" t="inlineStr">
        <is>
          <t>1998</t>
        </is>
      </c>
      <c r="O324" t="inlineStr">
        <is>
          <t>eng</t>
        </is>
      </c>
      <c r="P324" t="inlineStr">
        <is>
          <t>cau</t>
        </is>
      </c>
      <c r="R324" t="inlineStr">
        <is>
          <t xml:space="preserve">RC </t>
        </is>
      </c>
      <c r="S324" t="n">
        <v>15</v>
      </c>
      <c r="T324" t="n">
        <v>15</v>
      </c>
      <c r="U324" t="inlineStr">
        <is>
          <t>2009-04-17</t>
        </is>
      </c>
      <c r="V324" t="inlineStr">
        <is>
          <t>2009-04-17</t>
        </is>
      </c>
      <c r="W324" t="inlineStr">
        <is>
          <t>1999-08-24</t>
        </is>
      </c>
      <c r="X324" t="inlineStr">
        <is>
          <t>1999-08-24</t>
        </is>
      </c>
      <c r="Y324" t="n">
        <v>1032</v>
      </c>
      <c r="Z324" t="n">
        <v>968</v>
      </c>
      <c r="AA324" t="n">
        <v>1457</v>
      </c>
      <c r="AB324" t="n">
        <v>9</v>
      </c>
      <c r="AC324" t="n">
        <v>14</v>
      </c>
      <c r="AD324" t="n">
        <v>34</v>
      </c>
      <c r="AE324" t="n">
        <v>51</v>
      </c>
      <c r="AF324" t="n">
        <v>12</v>
      </c>
      <c r="AG324" t="n">
        <v>23</v>
      </c>
      <c r="AH324" t="n">
        <v>8</v>
      </c>
      <c r="AI324" t="n">
        <v>9</v>
      </c>
      <c r="AJ324" t="n">
        <v>16</v>
      </c>
      <c r="AK324" t="n">
        <v>21</v>
      </c>
      <c r="AL324" t="n">
        <v>6</v>
      </c>
      <c r="AM324" t="n">
        <v>11</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HYPERLINK("https://creighton-primo.hosted.exlibrisgroup.com/primo-explore/search?tab=default_tab&amp;search_scope=EVERYTHING&amp;vid=01CRU&amp;lang=en_US&amp;offset=0&amp;query=any,contains,991003004209702656","Catalog Record")</f>
        <v/>
      </c>
      <c r="AT324">
        <f>HYPERLINK("http://www.worldcat.org/oclc/40700193","WorldCat Record")</f>
        <v/>
      </c>
      <c r="AU324" t="inlineStr">
        <is>
          <t>12533571:eng</t>
        </is>
      </c>
      <c r="AV324" t="inlineStr">
        <is>
          <t>40700193</t>
        </is>
      </c>
      <c r="AW324" t="inlineStr">
        <is>
          <t>991003004209702656</t>
        </is>
      </c>
      <c r="AX324" t="inlineStr">
        <is>
          <t>991003004209702656</t>
        </is>
      </c>
      <c r="AY324" t="inlineStr">
        <is>
          <t>2272808380002656</t>
        </is>
      </c>
      <c r="AZ324" t="inlineStr">
        <is>
          <t>BOOK</t>
        </is>
      </c>
      <c r="BB324" t="inlineStr">
        <is>
          <t>9780520219373</t>
        </is>
      </c>
      <c r="BC324" t="inlineStr">
        <is>
          <t>32285003583753</t>
        </is>
      </c>
      <c r="BD324" t="inlineStr">
        <is>
          <t>893317541</t>
        </is>
      </c>
    </row>
    <row r="325">
      <c r="A325" t="inlineStr">
        <is>
          <t>No</t>
        </is>
      </c>
      <c r="B325" t="inlineStr">
        <is>
          <t>RC386.6.N48 F73 1989</t>
        </is>
      </c>
      <c r="C325" t="inlineStr">
        <is>
          <t>0                      RC 0386600N  48                 F  73          1989</t>
        </is>
      </c>
      <c r="D325" t="inlineStr">
        <is>
          <t>Reliability and validity in neuropsychological assessment / Michael D. Franzen ; with contributions by Douglas E. Robbins and Robert F. Sawicki.</t>
        </is>
      </c>
      <c r="F325" t="inlineStr">
        <is>
          <t>No</t>
        </is>
      </c>
      <c r="G325" t="inlineStr">
        <is>
          <t>1</t>
        </is>
      </c>
      <c r="H325" t="inlineStr">
        <is>
          <t>No</t>
        </is>
      </c>
      <c r="I325" t="inlineStr">
        <is>
          <t>No</t>
        </is>
      </c>
      <c r="J325" t="inlineStr">
        <is>
          <t>0</t>
        </is>
      </c>
      <c r="K325" t="inlineStr">
        <is>
          <t>Franzen, Michael D., 1954-</t>
        </is>
      </c>
      <c r="L325" t="inlineStr">
        <is>
          <t>New York : Plenum Press, c1989.</t>
        </is>
      </c>
      <c r="M325" t="inlineStr">
        <is>
          <t>1989</t>
        </is>
      </c>
      <c r="O325" t="inlineStr">
        <is>
          <t>eng</t>
        </is>
      </c>
      <c r="P325" t="inlineStr">
        <is>
          <t>nyu</t>
        </is>
      </c>
      <c r="Q325" t="inlineStr">
        <is>
          <t>Critical issues in neuropsychology</t>
        </is>
      </c>
      <c r="R325" t="inlineStr">
        <is>
          <t xml:space="preserve">RC </t>
        </is>
      </c>
      <c r="S325" t="n">
        <v>4</v>
      </c>
      <c r="T325" t="n">
        <v>4</v>
      </c>
      <c r="U325" t="inlineStr">
        <is>
          <t>2006-06-01</t>
        </is>
      </c>
      <c r="V325" t="inlineStr">
        <is>
          <t>2006-06-01</t>
        </is>
      </c>
      <c r="W325" t="inlineStr">
        <is>
          <t>1989-11-13</t>
        </is>
      </c>
      <c r="X325" t="inlineStr">
        <is>
          <t>1989-11-13</t>
        </is>
      </c>
      <c r="Y325" t="n">
        <v>284</v>
      </c>
      <c r="Z325" t="n">
        <v>210</v>
      </c>
      <c r="AA325" t="n">
        <v>277</v>
      </c>
      <c r="AB325" t="n">
        <v>2</v>
      </c>
      <c r="AC325" t="n">
        <v>2</v>
      </c>
      <c r="AD325" t="n">
        <v>12</v>
      </c>
      <c r="AE325" t="n">
        <v>12</v>
      </c>
      <c r="AF325" t="n">
        <v>4</v>
      </c>
      <c r="AG325" t="n">
        <v>4</v>
      </c>
      <c r="AH325" t="n">
        <v>3</v>
      </c>
      <c r="AI325" t="n">
        <v>3</v>
      </c>
      <c r="AJ325" t="n">
        <v>8</v>
      </c>
      <c r="AK325" t="n">
        <v>8</v>
      </c>
      <c r="AL325" t="n">
        <v>1</v>
      </c>
      <c r="AM325" t="n">
        <v>1</v>
      </c>
      <c r="AN325" t="n">
        <v>0</v>
      </c>
      <c r="AO325" t="n">
        <v>0</v>
      </c>
      <c r="AP325" t="inlineStr">
        <is>
          <t>No</t>
        </is>
      </c>
      <c r="AQ325" t="inlineStr">
        <is>
          <t>Yes</t>
        </is>
      </c>
      <c r="AR325">
        <f>HYPERLINK("http://catalog.hathitrust.org/Record/001826984","HathiTrust Record")</f>
        <v/>
      </c>
      <c r="AS325">
        <f>HYPERLINK("https://creighton-primo.hosted.exlibrisgroup.com/primo-explore/search?tab=default_tab&amp;search_scope=EVERYTHING&amp;vid=01CRU&amp;lang=en_US&amp;offset=0&amp;query=any,contains,991001423289702656","Catalog Record")</f>
        <v/>
      </c>
      <c r="AT325">
        <f>HYPERLINK("http://www.worldcat.org/oclc/18986167","WorldCat Record")</f>
        <v/>
      </c>
      <c r="AU325" t="inlineStr">
        <is>
          <t>19100642:eng</t>
        </is>
      </c>
      <c r="AV325" t="inlineStr">
        <is>
          <t>18986167</t>
        </is>
      </c>
      <c r="AW325" t="inlineStr">
        <is>
          <t>991001423289702656</t>
        </is>
      </c>
      <c r="AX325" t="inlineStr">
        <is>
          <t>991001423289702656</t>
        </is>
      </c>
      <c r="AY325" t="inlineStr">
        <is>
          <t>2268596190002656</t>
        </is>
      </c>
      <c r="AZ325" t="inlineStr">
        <is>
          <t>BOOK</t>
        </is>
      </c>
      <c r="BB325" t="inlineStr">
        <is>
          <t>9780306430657</t>
        </is>
      </c>
      <c r="BC325" t="inlineStr">
        <is>
          <t>32285000012376</t>
        </is>
      </c>
      <c r="BD325" t="inlineStr">
        <is>
          <t>893534549</t>
        </is>
      </c>
    </row>
    <row r="326">
      <c r="A326" t="inlineStr">
        <is>
          <t>No</t>
        </is>
      </c>
      <c r="B326" t="inlineStr">
        <is>
          <t>RC386.6.N48 L49 1995</t>
        </is>
      </c>
      <c r="C326" t="inlineStr">
        <is>
          <t>0                      RC 0386600N  48                 L  49          1995</t>
        </is>
      </c>
      <c r="D326" t="inlineStr">
        <is>
          <t>Neuropsychological assessment / Muriel Deutsch Lezak.</t>
        </is>
      </c>
      <c r="F326" t="inlineStr">
        <is>
          <t>No</t>
        </is>
      </c>
      <c r="G326" t="inlineStr">
        <is>
          <t>1</t>
        </is>
      </c>
      <c r="H326" t="inlineStr">
        <is>
          <t>No</t>
        </is>
      </c>
      <c r="I326" t="inlineStr">
        <is>
          <t>Yes</t>
        </is>
      </c>
      <c r="J326" t="inlineStr">
        <is>
          <t>0</t>
        </is>
      </c>
      <c r="K326" t="inlineStr">
        <is>
          <t>Lezak, Muriel Deutsch.</t>
        </is>
      </c>
      <c r="L326" t="inlineStr">
        <is>
          <t>New York : Oxford University Press, 1995.</t>
        </is>
      </c>
      <c r="M326" t="inlineStr">
        <is>
          <t>1995</t>
        </is>
      </c>
      <c r="N326" t="inlineStr">
        <is>
          <t>3rd ed.</t>
        </is>
      </c>
      <c r="O326" t="inlineStr">
        <is>
          <t>eng</t>
        </is>
      </c>
      <c r="P326" t="inlineStr">
        <is>
          <t>nyu</t>
        </is>
      </c>
      <c r="R326" t="inlineStr">
        <is>
          <t xml:space="preserve">RC </t>
        </is>
      </c>
      <c r="S326" t="n">
        <v>11</v>
      </c>
      <c r="T326" t="n">
        <v>11</v>
      </c>
      <c r="U326" t="inlineStr">
        <is>
          <t>2004-10-22</t>
        </is>
      </c>
      <c r="V326" t="inlineStr">
        <is>
          <t>2004-10-22</t>
        </is>
      </c>
      <c r="W326" t="inlineStr">
        <is>
          <t>1998-12-07</t>
        </is>
      </c>
      <c r="X326" t="inlineStr">
        <is>
          <t>1998-12-07</t>
        </is>
      </c>
      <c r="Y326" t="n">
        <v>592</v>
      </c>
      <c r="Z326" t="n">
        <v>401</v>
      </c>
      <c r="AA326" t="n">
        <v>1071</v>
      </c>
      <c r="AB326" t="n">
        <v>2</v>
      </c>
      <c r="AC326" t="n">
        <v>11</v>
      </c>
      <c r="AD326" t="n">
        <v>18</v>
      </c>
      <c r="AE326" t="n">
        <v>50</v>
      </c>
      <c r="AF326" t="n">
        <v>7</v>
      </c>
      <c r="AG326" t="n">
        <v>23</v>
      </c>
      <c r="AH326" t="n">
        <v>4</v>
      </c>
      <c r="AI326" t="n">
        <v>9</v>
      </c>
      <c r="AJ326" t="n">
        <v>11</v>
      </c>
      <c r="AK326" t="n">
        <v>20</v>
      </c>
      <c r="AL326" t="n">
        <v>1</v>
      </c>
      <c r="AM326" t="n">
        <v>8</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HYPERLINK("https://creighton-primo.hosted.exlibrisgroup.com/primo-explore/search?tab=default_tab&amp;search_scope=EVERYTHING&amp;vid=01CRU&amp;lang=en_US&amp;offset=0&amp;query=any,contains,991005419919702656","Catalog Record")</f>
        <v/>
      </c>
      <c r="AT326">
        <f>HYPERLINK("http://www.worldcat.org/oclc/31378302","WorldCat Record")</f>
        <v/>
      </c>
      <c r="AU326" t="inlineStr">
        <is>
          <t>5252809:eng</t>
        </is>
      </c>
      <c r="AV326" t="inlineStr">
        <is>
          <t>31378302</t>
        </is>
      </c>
      <c r="AW326" t="inlineStr">
        <is>
          <t>991005419919702656</t>
        </is>
      </c>
      <c r="AX326" t="inlineStr">
        <is>
          <t>991005419919702656</t>
        </is>
      </c>
      <c r="AY326" t="inlineStr">
        <is>
          <t>2255544650002656</t>
        </is>
      </c>
      <c r="AZ326" t="inlineStr">
        <is>
          <t>BOOK</t>
        </is>
      </c>
      <c r="BB326" t="inlineStr">
        <is>
          <t>9780195090314</t>
        </is>
      </c>
      <c r="BC326" t="inlineStr">
        <is>
          <t>32285003493961</t>
        </is>
      </c>
      <c r="BD326" t="inlineStr">
        <is>
          <t>893248893</t>
        </is>
      </c>
    </row>
    <row r="327">
      <c r="A327" t="inlineStr">
        <is>
          <t>No</t>
        </is>
      </c>
      <c r="B327" t="inlineStr">
        <is>
          <t>RC387.5 .A45 1984</t>
        </is>
      </c>
      <c r="C327" t="inlineStr">
        <is>
          <t>0                      RC 0387500A  45          1984</t>
        </is>
      </c>
      <c r="D327" t="inlineStr">
        <is>
          <t>Aging and recovery of function in the central nervous system / edited by Stephen W. Scheff.</t>
        </is>
      </c>
      <c r="F327" t="inlineStr">
        <is>
          <t>No</t>
        </is>
      </c>
      <c r="G327" t="inlineStr">
        <is>
          <t>1</t>
        </is>
      </c>
      <c r="H327" t="inlineStr">
        <is>
          <t>Yes</t>
        </is>
      </c>
      <c r="I327" t="inlineStr">
        <is>
          <t>No</t>
        </is>
      </c>
      <c r="J327" t="inlineStr">
        <is>
          <t>0</t>
        </is>
      </c>
      <c r="L327" t="inlineStr">
        <is>
          <t>New York : Plenum Press, c1984.</t>
        </is>
      </c>
      <c r="M327" t="inlineStr">
        <is>
          <t>1984</t>
        </is>
      </c>
      <c r="O327" t="inlineStr">
        <is>
          <t>eng</t>
        </is>
      </c>
      <c r="P327" t="inlineStr">
        <is>
          <t>nyu</t>
        </is>
      </c>
      <c r="R327" t="inlineStr">
        <is>
          <t xml:space="preserve">RC </t>
        </is>
      </c>
      <c r="S327" t="n">
        <v>8</v>
      </c>
      <c r="T327" t="n">
        <v>8</v>
      </c>
      <c r="U327" t="inlineStr">
        <is>
          <t>1996-10-28</t>
        </is>
      </c>
      <c r="V327" t="inlineStr">
        <is>
          <t>1996-10-28</t>
        </is>
      </c>
      <c r="W327" t="inlineStr">
        <is>
          <t>1993-03-18</t>
        </is>
      </c>
      <c r="X327" t="inlineStr">
        <is>
          <t>1993-03-18</t>
        </is>
      </c>
      <c r="Y327" t="n">
        <v>230</v>
      </c>
      <c r="Z327" t="n">
        <v>165</v>
      </c>
      <c r="AA327" t="n">
        <v>183</v>
      </c>
      <c r="AB327" t="n">
        <v>2</v>
      </c>
      <c r="AC327" t="n">
        <v>2</v>
      </c>
      <c r="AD327" t="n">
        <v>5</v>
      </c>
      <c r="AE327" t="n">
        <v>5</v>
      </c>
      <c r="AF327" t="n">
        <v>1</v>
      </c>
      <c r="AG327" t="n">
        <v>1</v>
      </c>
      <c r="AH327" t="n">
        <v>1</v>
      </c>
      <c r="AI327" t="n">
        <v>1</v>
      </c>
      <c r="AJ327" t="n">
        <v>4</v>
      </c>
      <c r="AK327" t="n">
        <v>4</v>
      </c>
      <c r="AL327" t="n">
        <v>0</v>
      </c>
      <c r="AM327" t="n">
        <v>0</v>
      </c>
      <c r="AN327" t="n">
        <v>0</v>
      </c>
      <c r="AO327" t="n">
        <v>0</v>
      </c>
      <c r="AP327" t="inlineStr">
        <is>
          <t>No</t>
        </is>
      </c>
      <c r="AQ327" t="inlineStr">
        <is>
          <t>Yes</t>
        </is>
      </c>
      <c r="AR327">
        <f>HYPERLINK("http://catalog.hathitrust.org/Record/000123526","HathiTrust Record")</f>
        <v/>
      </c>
      <c r="AS327">
        <f>HYPERLINK("https://creighton-primo.hosted.exlibrisgroup.com/primo-explore/search?tab=default_tab&amp;search_scope=EVERYTHING&amp;vid=01CRU&amp;lang=en_US&amp;offset=0&amp;query=any,contains,991000341149702656","Catalog Record")</f>
        <v/>
      </c>
      <c r="AT327">
        <f>HYPERLINK("http://www.worldcat.org/oclc/10272903","WorldCat Record")</f>
        <v/>
      </c>
      <c r="AU327" t="inlineStr">
        <is>
          <t>3126154:eng</t>
        </is>
      </c>
      <c r="AV327" t="inlineStr">
        <is>
          <t>10272903</t>
        </is>
      </c>
      <c r="AW327" t="inlineStr">
        <is>
          <t>991000341149702656</t>
        </is>
      </c>
      <c r="AX327" t="inlineStr">
        <is>
          <t>991000341149702656</t>
        </is>
      </c>
      <c r="AY327" t="inlineStr">
        <is>
          <t>2271005460002656</t>
        </is>
      </c>
      <c r="AZ327" t="inlineStr">
        <is>
          <t>BOOK</t>
        </is>
      </c>
      <c r="BB327" t="inlineStr">
        <is>
          <t>9780306415258</t>
        </is>
      </c>
      <c r="BC327" t="inlineStr">
        <is>
          <t>32285001589661</t>
        </is>
      </c>
      <c r="BD327" t="inlineStr">
        <is>
          <t>893890586</t>
        </is>
      </c>
    </row>
    <row r="328">
      <c r="A328" t="inlineStr">
        <is>
          <t>No</t>
        </is>
      </c>
      <c r="B328" t="inlineStr">
        <is>
          <t>RC387.5 .B713 1995</t>
        </is>
      </c>
      <c r="C328" t="inlineStr">
        <is>
          <t>0                      RC 0387500B  713         1995</t>
        </is>
      </c>
      <c r="D328" t="inlineStr">
        <is>
          <t>Brain repair / Donald G. Stein, Simón Brailowsky, Bruno Will.</t>
        </is>
      </c>
      <c r="F328" t="inlineStr">
        <is>
          <t>No</t>
        </is>
      </c>
      <c r="G328" t="inlineStr">
        <is>
          <t>1</t>
        </is>
      </c>
      <c r="H328" t="inlineStr">
        <is>
          <t>No</t>
        </is>
      </c>
      <c r="I328" t="inlineStr">
        <is>
          <t>No</t>
        </is>
      </c>
      <c r="J328" t="inlineStr">
        <is>
          <t>0</t>
        </is>
      </c>
      <c r="K328" t="inlineStr">
        <is>
          <t>Stein, Donald G.</t>
        </is>
      </c>
      <c r="L328" t="inlineStr">
        <is>
          <t>New York : Oxford University Press, 1995.</t>
        </is>
      </c>
      <c r="M328" t="inlineStr">
        <is>
          <t>1995</t>
        </is>
      </c>
      <c r="O328" t="inlineStr">
        <is>
          <t>fre</t>
        </is>
      </c>
      <c r="P328" t="inlineStr">
        <is>
          <t>nyu</t>
        </is>
      </c>
      <c r="R328" t="inlineStr">
        <is>
          <t xml:space="preserve">RC </t>
        </is>
      </c>
      <c r="S328" t="n">
        <v>5</v>
      </c>
      <c r="T328" t="n">
        <v>5</v>
      </c>
      <c r="U328" t="inlineStr">
        <is>
          <t>2004-10-07</t>
        </is>
      </c>
      <c r="V328" t="inlineStr">
        <is>
          <t>2004-10-07</t>
        </is>
      </c>
      <c r="W328" t="inlineStr">
        <is>
          <t>1996-11-26</t>
        </is>
      </c>
      <c r="X328" t="inlineStr">
        <is>
          <t>1996-11-26</t>
        </is>
      </c>
      <c r="Y328" t="n">
        <v>507</v>
      </c>
      <c r="Z328" t="n">
        <v>417</v>
      </c>
      <c r="AA328" t="n">
        <v>441</v>
      </c>
      <c r="AB328" t="n">
        <v>1</v>
      </c>
      <c r="AC328" t="n">
        <v>1</v>
      </c>
      <c r="AD328" t="n">
        <v>10</v>
      </c>
      <c r="AE328" t="n">
        <v>11</v>
      </c>
      <c r="AF328" t="n">
        <v>3</v>
      </c>
      <c r="AG328" t="n">
        <v>3</v>
      </c>
      <c r="AH328" t="n">
        <v>5</v>
      </c>
      <c r="AI328" t="n">
        <v>5</v>
      </c>
      <c r="AJ328" t="n">
        <v>5</v>
      </c>
      <c r="AK328" t="n">
        <v>6</v>
      </c>
      <c r="AL328" t="n">
        <v>0</v>
      </c>
      <c r="AM328" t="n">
        <v>0</v>
      </c>
      <c r="AN328" t="n">
        <v>0</v>
      </c>
      <c r="AO328" t="n">
        <v>0</v>
      </c>
      <c r="AP328" t="inlineStr">
        <is>
          <t>No</t>
        </is>
      </c>
      <c r="AQ328" t="inlineStr">
        <is>
          <t>Yes</t>
        </is>
      </c>
      <c r="AR328">
        <f>HYPERLINK("http://catalog.hathitrust.org/Record/003090049","HathiTrust Record")</f>
        <v/>
      </c>
      <c r="AS328">
        <f>HYPERLINK("https://creighton-primo.hosted.exlibrisgroup.com/primo-explore/search?tab=default_tab&amp;search_scope=EVERYTHING&amp;vid=01CRU&amp;lang=en_US&amp;offset=0&amp;query=any,contains,991002338949702656","Catalog Record")</f>
        <v/>
      </c>
      <c r="AT328">
        <f>HYPERLINK("http://www.worldcat.org/oclc/30438476","WorldCat Record")</f>
        <v/>
      </c>
      <c r="AU328" t="inlineStr">
        <is>
          <t>597556:eng</t>
        </is>
      </c>
      <c r="AV328" t="inlineStr">
        <is>
          <t>30438476</t>
        </is>
      </c>
      <c r="AW328" t="inlineStr">
        <is>
          <t>991002338949702656</t>
        </is>
      </c>
      <c r="AX328" t="inlineStr">
        <is>
          <t>991002338949702656</t>
        </is>
      </c>
      <c r="AY328" t="inlineStr">
        <is>
          <t>2270836050002656</t>
        </is>
      </c>
      <c r="AZ328" t="inlineStr">
        <is>
          <t>BOOK</t>
        </is>
      </c>
      <c r="BB328" t="inlineStr">
        <is>
          <t>9780195076424</t>
        </is>
      </c>
      <c r="BC328" t="inlineStr">
        <is>
          <t>32285002386182</t>
        </is>
      </c>
      <c r="BD328" t="inlineStr">
        <is>
          <t>893510613</t>
        </is>
      </c>
    </row>
    <row r="329">
      <c r="A329" t="inlineStr">
        <is>
          <t>No</t>
        </is>
      </c>
      <c r="B329" t="inlineStr">
        <is>
          <t>RC387.5 .F56 1982</t>
        </is>
      </c>
      <c r="C329" t="inlineStr">
        <is>
          <t>0                      RC 0387500F  56          1982</t>
        </is>
      </c>
      <c r="D329" t="inlineStr">
        <is>
          <t>Brain damage and recovery : research and clinical perspectives / Stanley Finger, Donald G. Stein.</t>
        </is>
      </c>
      <c r="F329" t="inlineStr">
        <is>
          <t>No</t>
        </is>
      </c>
      <c r="G329" t="inlineStr">
        <is>
          <t>1</t>
        </is>
      </c>
      <c r="H329" t="inlineStr">
        <is>
          <t>No</t>
        </is>
      </c>
      <c r="I329" t="inlineStr">
        <is>
          <t>No</t>
        </is>
      </c>
      <c r="J329" t="inlineStr">
        <is>
          <t>0</t>
        </is>
      </c>
      <c r="K329" t="inlineStr">
        <is>
          <t>Finger, Stanley.</t>
        </is>
      </c>
      <c r="L329" t="inlineStr">
        <is>
          <t>New York : Academic Press, 1982.</t>
        </is>
      </c>
      <c r="M329" t="inlineStr">
        <is>
          <t>1982</t>
        </is>
      </c>
      <c r="O329" t="inlineStr">
        <is>
          <t>eng</t>
        </is>
      </c>
      <c r="P329" t="inlineStr">
        <is>
          <t>nyu</t>
        </is>
      </c>
      <c r="R329" t="inlineStr">
        <is>
          <t xml:space="preserve">RC </t>
        </is>
      </c>
      <c r="S329" t="n">
        <v>5</v>
      </c>
      <c r="T329" t="n">
        <v>5</v>
      </c>
      <c r="U329" t="inlineStr">
        <is>
          <t>2008-10-28</t>
        </is>
      </c>
      <c r="V329" t="inlineStr">
        <is>
          <t>2008-10-28</t>
        </is>
      </c>
      <c r="W329" t="inlineStr">
        <is>
          <t>1993-03-18</t>
        </is>
      </c>
      <c r="X329" t="inlineStr">
        <is>
          <t>1993-03-18</t>
        </is>
      </c>
      <c r="Y329" t="n">
        <v>401</v>
      </c>
      <c r="Z329" t="n">
        <v>299</v>
      </c>
      <c r="AA329" t="n">
        <v>307</v>
      </c>
      <c r="AB329" t="n">
        <v>1</v>
      </c>
      <c r="AC329" t="n">
        <v>1</v>
      </c>
      <c r="AD329" t="n">
        <v>15</v>
      </c>
      <c r="AE329" t="n">
        <v>15</v>
      </c>
      <c r="AF329" t="n">
        <v>7</v>
      </c>
      <c r="AG329" t="n">
        <v>7</v>
      </c>
      <c r="AH329" t="n">
        <v>3</v>
      </c>
      <c r="AI329" t="n">
        <v>3</v>
      </c>
      <c r="AJ329" t="n">
        <v>10</v>
      </c>
      <c r="AK329" t="n">
        <v>10</v>
      </c>
      <c r="AL329" t="n">
        <v>0</v>
      </c>
      <c r="AM329" t="n">
        <v>0</v>
      </c>
      <c r="AN329" t="n">
        <v>0</v>
      </c>
      <c r="AO329" t="n">
        <v>0</v>
      </c>
      <c r="AP329" t="inlineStr">
        <is>
          <t>No</t>
        </is>
      </c>
      <c r="AQ329" t="inlineStr">
        <is>
          <t>Yes</t>
        </is>
      </c>
      <c r="AR329">
        <f>HYPERLINK("http://catalog.hathitrust.org/Record/000309757","HathiTrust Record")</f>
        <v/>
      </c>
      <c r="AS329">
        <f>HYPERLINK("https://creighton-primo.hosted.exlibrisgroup.com/primo-explore/search?tab=default_tab&amp;search_scope=EVERYTHING&amp;vid=01CRU&amp;lang=en_US&amp;offset=0&amp;query=any,contains,991005244639702656","Catalog Record")</f>
        <v/>
      </c>
      <c r="AT329">
        <f>HYPERLINK("http://www.worldcat.org/oclc/8451606","WorldCat Record")</f>
        <v/>
      </c>
      <c r="AU329" t="inlineStr">
        <is>
          <t>197563534:eng</t>
        </is>
      </c>
      <c r="AV329" t="inlineStr">
        <is>
          <t>8451606</t>
        </is>
      </c>
      <c r="AW329" t="inlineStr">
        <is>
          <t>991005244639702656</t>
        </is>
      </c>
      <c r="AX329" t="inlineStr">
        <is>
          <t>991005244639702656</t>
        </is>
      </c>
      <c r="AY329" t="inlineStr">
        <is>
          <t>2265963670002656</t>
        </is>
      </c>
      <c r="AZ329" t="inlineStr">
        <is>
          <t>BOOK</t>
        </is>
      </c>
      <c r="BB329" t="inlineStr">
        <is>
          <t>9780122567803</t>
        </is>
      </c>
      <c r="BC329" t="inlineStr">
        <is>
          <t>32285001589679</t>
        </is>
      </c>
      <c r="BD329" t="inlineStr">
        <is>
          <t>893332653</t>
        </is>
      </c>
    </row>
    <row r="330">
      <c r="A330" t="inlineStr">
        <is>
          <t>No</t>
        </is>
      </c>
      <c r="B330" t="inlineStr">
        <is>
          <t>RC387.5 .M39 1990</t>
        </is>
      </c>
      <c r="C330" t="inlineStr">
        <is>
          <t>0                      RC 0387500M  39          1990</t>
        </is>
      </c>
      <c r="D330" t="inlineStr">
        <is>
          <t>Cognitive neuropsychology : a clinical introduction / Rosaleen A. McCarthy, Elizabeth K. Warrington.</t>
        </is>
      </c>
      <c r="F330" t="inlineStr">
        <is>
          <t>No</t>
        </is>
      </c>
      <c r="G330" t="inlineStr">
        <is>
          <t>1</t>
        </is>
      </c>
      <c r="H330" t="inlineStr">
        <is>
          <t>No</t>
        </is>
      </c>
      <c r="I330" t="inlineStr">
        <is>
          <t>No</t>
        </is>
      </c>
      <c r="J330" t="inlineStr">
        <is>
          <t>0</t>
        </is>
      </c>
      <c r="K330" t="inlineStr">
        <is>
          <t>McCarthy, Rosaleen A.</t>
        </is>
      </c>
      <c r="L330" t="inlineStr">
        <is>
          <t>San Diego : Academic Press, c1990.</t>
        </is>
      </c>
      <c r="M330" t="inlineStr">
        <is>
          <t>1990</t>
        </is>
      </c>
      <c r="O330" t="inlineStr">
        <is>
          <t>eng</t>
        </is>
      </c>
      <c r="P330" t="inlineStr">
        <is>
          <t>cau</t>
        </is>
      </c>
      <c r="R330" t="inlineStr">
        <is>
          <t xml:space="preserve">RC </t>
        </is>
      </c>
      <c r="S330" t="n">
        <v>4</v>
      </c>
      <c r="T330" t="n">
        <v>4</v>
      </c>
      <c r="U330" t="inlineStr">
        <is>
          <t>2002-03-21</t>
        </is>
      </c>
      <c r="V330" t="inlineStr">
        <is>
          <t>2002-03-21</t>
        </is>
      </c>
      <c r="W330" t="inlineStr">
        <is>
          <t>1992-02-21</t>
        </is>
      </c>
      <c r="X330" t="inlineStr">
        <is>
          <t>1992-02-21</t>
        </is>
      </c>
      <c r="Y330" t="n">
        <v>450</v>
      </c>
      <c r="Z330" t="n">
        <v>285</v>
      </c>
      <c r="AA330" t="n">
        <v>329</v>
      </c>
      <c r="AB330" t="n">
        <v>1</v>
      </c>
      <c r="AC330" t="n">
        <v>1</v>
      </c>
      <c r="AD330" t="n">
        <v>15</v>
      </c>
      <c r="AE330" t="n">
        <v>18</v>
      </c>
      <c r="AF330" t="n">
        <v>5</v>
      </c>
      <c r="AG330" t="n">
        <v>7</v>
      </c>
      <c r="AH330" t="n">
        <v>4</v>
      </c>
      <c r="AI330" t="n">
        <v>6</v>
      </c>
      <c r="AJ330" t="n">
        <v>12</v>
      </c>
      <c r="AK330" t="n">
        <v>12</v>
      </c>
      <c r="AL330" t="n">
        <v>0</v>
      </c>
      <c r="AM330" t="n">
        <v>0</v>
      </c>
      <c r="AN330" t="n">
        <v>0</v>
      </c>
      <c r="AO330" t="n">
        <v>0</v>
      </c>
      <c r="AP330" t="inlineStr">
        <is>
          <t>No</t>
        </is>
      </c>
      <c r="AQ330" t="inlineStr">
        <is>
          <t>Yes</t>
        </is>
      </c>
      <c r="AR330">
        <f>HYPERLINK("http://catalog.hathitrust.org/Record/101925393","HathiTrust Record")</f>
        <v/>
      </c>
      <c r="AS330">
        <f>HYPERLINK("https://creighton-primo.hosted.exlibrisgroup.com/primo-explore/search?tab=default_tab&amp;search_scope=EVERYTHING&amp;vid=01CRU&amp;lang=en_US&amp;offset=0&amp;query=any,contains,991001573229702656","Catalog Record")</f>
        <v/>
      </c>
      <c r="AT330">
        <f>HYPERLINK("http://www.worldcat.org/oclc/20417163","WorldCat Record")</f>
        <v/>
      </c>
      <c r="AU330" t="inlineStr">
        <is>
          <t>795540559:eng</t>
        </is>
      </c>
      <c r="AV330" t="inlineStr">
        <is>
          <t>20417163</t>
        </is>
      </c>
      <c r="AW330" t="inlineStr">
        <is>
          <t>991001573229702656</t>
        </is>
      </c>
      <c r="AX330" t="inlineStr">
        <is>
          <t>991001573229702656</t>
        </is>
      </c>
      <c r="AY330" t="inlineStr">
        <is>
          <t>2260926910002656</t>
        </is>
      </c>
      <c r="AZ330" t="inlineStr">
        <is>
          <t>BOOK</t>
        </is>
      </c>
      <c r="BB330" t="inlineStr">
        <is>
          <t>9780124818453</t>
        </is>
      </c>
      <c r="BC330" t="inlineStr">
        <is>
          <t>32285000935402</t>
        </is>
      </c>
      <c r="BD330" t="inlineStr">
        <is>
          <t>893797639</t>
        </is>
      </c>
    </row>
    <row r="331">
      <c r="A331" t="inlineStr">
        <is>
          <t>No</t>
        </is>
      </c>
      <c r="B331" t="inlineStr">
        <is>
          <t>RC388 .C65</t>
        </is>
      </c>
      <c r="C331" t="inlineStr">
        <is>
          <t>0                      RC 0388000C  65</t>
        </is>
      </c>
      <c r="D331" t="inlineStr">
        <is>
          <t>Speech therapy and the Bobath approach to cerebral palsy / by Marie C. Crickmay.</t>
        </is>
      </c>
      <c r="F331" t="inlineStr">
        <is>
          <t>No</t>
        </is>
      </c>
      <c r="G331" t="inlineStr">
        <is>
          <t>1</t>
        </is>
      </c>
      <c r="H331" t="inlineStr">
        <is>
          <t>No</t>
        </is>
      </c>
      <c r="I331" t="inlineStr">
        <is>
          <t>No</t>
        </is>
      </c>
      <c r="J331" t="inlineStr">
        <is>
          <t>0</t>
        </is>
      </c>
      <c r="K331" t="inlineStr">
        <is>
          <t>Crickmay, Marie C.</t>
        </is>
      </c>
      <c r="L331" t="inlineStr">
        <is>
          <t>Springfield, Ill. : C. C. Thomas, [1966]</t>
        </is>
      </c>
      <c r="M331" t="inlineStr">
        <is>
          <t>1966</t>
        </is>
      </c>
      <c r="O331" t="inlineStr">
        <is>
          <t>eng</t>
        </is>
      </c>
      <c r="P331" t="inlineStr">
        <is>
          <t>ilu</t>
        </is>
      </c>
      <c r="R331" t="inlineStr">
        <is>
          <t xml:space="preserve">RC </t>
        </is>
      </c>
      <c r="S331" t="n">
        <v>2</v>
      </c>
      <c r="T331" t="n">
        <v>2</v>
      </c>
      <c r="U331" t="inlineStr">
        <is>
          <t>1994-01-27</t>
        </is>
      </c>
      <c r="V331" t="inlineStr">
        <is>
          <t>1994-01-27</t>
        </is>
      </c>
      <c r="W331" t="inlineStr">
        <is>
          <t>1992-01-02</t>
        </is>
      </c>
      <c r="X331" t="inlineStr">
        <is>
          <t>1992-01-02</t>
        </is>
      </c>
      <c r="Y331" t="n">
        <v>432</v>
      </c>
      <c r="Z331" t="n">
        <v>376</v>
      </c>
      <c r="AA331" t="n">
        <v>397</v>
      </c>
      <c r="AB331" t="n">
        <v>5</v>
      </c>
      <c r="AC331" t="n">
        <v>5</v>
      </c>
      <c r="AD331" t="n">
        <v>14</v>
      </c>
      <c r="AE331" t="n">
        <v>15</v>
      </c>
      <c r="AF331" t="n">
        <v>5</v>
      </c>
      <c r="AG331" t="n">
        <v>6</v>
      </c>
      <c r="AH331" t="n">
        <v>3</v>
      </c>
      <c r="AI331" t="n">
        <v>4</v>
      </c>
      <c r="AJ331" t="n">
        <v>7</v>
      </c>
      <c r="AK331" t="n">
        <v>7</v>
      </c>
      <c r="AL331" t="n">
        <v>3</v>
      </c>
      <c r="AM331" t="n">
        <v>3</v>
      </c>
      <c r="AN331" t="n">
        <v>0</v>
      </c>
      <c r="AO331" t="n">
        <v>0</v>
      </c>
      <c r="AP331" t="inlineStr">
        <is>
          <t>No</t>
        </is>
      </c>
      <c r="AQ331" t="inlineStr">
        <is>
          <t>Yes</t>
        </is>
      </c>
      <c r="AR331">
        <f>HYPERLINK("http://catalog.hathitrust.org/Record/001563255","HathiTrust Record")</f>
        <v/>
      </c>
      <c r="AS331">
        <f>HYPERLINK("https://creighton-primo.hosted.exlibrisgroup.com/primo-explore/search?tab=default_tab&amp;search_scope=EVERYTHING&amp;vid=01CRU&amp;lang=en_US&amp;offset=0&amp;query=any,contains,991005000529702656","Catalog Record")</f>
        <v/>
      </c>
      <c r="AT331">
        <f>HYPERLINK("http://www.worldcat.org/oclc/400331","WorldCat Record")</f>
        <v/>
      </c>
      <c r="AU331" t="inlineStr">
        <is>
          <t>160295:eng</t>
        </is>
      </c>
      <c r="AV331" t="inlineStr">
        <is>
          <t>400331</t>
        </is>
      </c>
      <c r="AW331" t="inlineStr">
        <is>
          <t>991005000529702656</t>
        </is>
      </c>
      <c r="AX331" t="inlineStr">
        <is>
          <t>991005000529702656</t>
        </is>
      </c>
      <c r="AY331" t="inlineStr">
        <is>
          <t>2268589360002656</t>
        </is>
      </c>
      <c r="AZ331" t="inlineStr">
        <is>
          <t>BOOK</t>
        </is>
      </c>
      <c r="BC331" t="inlineStr">
        <is>
          <t>32285000880434</t>
        </is>
      </c>
      <c r="BD331" t="inlineStr">
        <is>
          <t>893801576</t>
        </is>
      </c>
    </row>
    <row r="332">
      <c r="A332" t="inlineStr">
        <is>
          <t>No</t>
        </is>
      </c>
      <c r="B332" t="inlineStr">
        <is>
          <t>RC392 .B56 1985</t>
        </is>
      </c>
      <c r="C332" t="inlineStr">
        <is>
          <t>0                      RC 0392000B  56          1985</t>
        </is>
      </c>
      <c r="D332" t="inlineStr">
        <is>
          <t>Management of chronic headaches : a psychological approach / Edward B. Blanchard and Frank Andrasik.</t>
        </is>
      </c>
      <c r="F332" t="inlineStr">
        <is>
          <t>No</t>
        </is>
      </c>
      <c r="G332" t="inlineStr">
        <is>
          <t>1</t>
        </is>
      </c>
      <c r="H332" t="inlineStr">
        <is>
          <t>No</t>
        </is>
      </c>
      <c r="I332" t="inlineStr">
        <is>
          <t>No</t>
        </is>
      </c>
      <c r="J332" t="inlineStr">
        <is>
          <t>0</t>
        </is>
      </c>
      <c r="K332" t="inlineStr">
        <is>
          <t>Blanchard, Edward B.</t>
        </is>
      </c>
      <c r="L332" t="inlineStr">
        <is>
          <t>New York : Pergamon Press, c1985.</t>
        </is>
      </c>
      <c r="M332" t="inlineStr">
        <is>
          <t>1985</t>
        </is>
      </c>
      <c r="O332" t="inlineStr">
        <is>
          <t>eng</t>
        </is>
      </c>
      <c r="P332" t="inlineStr">
        <is>
          <t>nyu</t>
        </is>
      </c>
      <c r="Q332" t="inlineStr">
        <is>
          <t>Psychology practitioner guidebooks</t>
        </is>
      </c>
      <c r="R332" t="inlineStr">
        <is>
          <t xml:space="preserve">RC </t>
        </is>
      </c>
      <c r="S332" t="n">
        <v>11</v>
      </c>
      <c r="T332" t="n">
        <v>11</v>
      </c>
      <c r="U332" t="inlineStr">
        <is>
          <t>2000-09-30</t>
        </is>
      </c>
      <c r="V332" t="inlineStr">
        <is>
          <t>2000-09-30</t>
        </is>
      </c>
      <c r="W332" t="inlineStr">
        <is>
          <t>1992-03-17</t>
        </is>
      </c>
      <c r="X332" t="inlineStr">
        <is>
          <t>1992-03-17</t>
        </is>
      </c>
      <c r="Y332" t="n">
        <v>323</v>
      </c>
      <c r="Z332" t="n">
        <v>237</v>
      </c>
      <c r="AA332" t="n">
        <v>244</v>
      </c>
      <c r="AB332" t="n">
        <v>2</v>
      </c>
      <c r="AC332" t="n">
        <v>2</v>
      </c>
      <c r="AD332" t="n">
        <v>13</v>
      </c>
      <c r="AE332" t="n">
        <v>13</v>
      </c>
      <c r="AF332" t="n">
        <v>4</v>
      </c>
      <c r="AG332" t="n">
        <v>4</v>
      </c>
      <c r="AH332" t="n">
        <v>5</v>
      </c>
      <c r="AI332" t="n">
        <v>5</v>
      </c>
      <c r="AJ332" t="n">
        <v>9</v>
      </c>
      <c r="AK332" t="n">
        <v>9</v>
      </c>
      <c r="AL332" t="n">
        <v>1</v>
      </c>
      <c r="AM332" t="n">
        <v>1</v>
      </c>
      <c r="AN332" t="n">
        <v>0</v>
      </c>
      <c r="AO332" t="n">
        <v>0</v>
      </c>
      <c r="AP332" t="inlineStr">
        <is>
          <t>No</t>
        </is>
      </c>
      <c r="AQ332" t="inlineStr">
        <is>
          <t>Yes</t>
        </is>
      </c>
      <c r="AR332">
        <f>HYPERLINK("http://catalog.hathitrust.org/Record/000419335","HathiTrust Record")</f>
        <v/>
      </c>
      <c r="AS332">
        <f>HYPERLINK("https://creighton-primo.hosted.exlibrisgroup.com/primo-explore/search?tab=default_tab&amp;search_scope=EVERYTHING&amp;vid=01CRU&amp;lang=en_US&amp;offset=0&amp;query=any,contains,991000600079702656","Catalog Record")</f>
        <v/>
      </c>
      <c r="AT332">
        <f>HYPERLINK("http://www.worldcat.org/oclc/11840188","WorldCat Record")</f>
        <v/>
      </c>
      <c r="AU332" t="inlineStr">
        <is>
          <t>836705123:eng</t>
        </is>
      </c>
      <c r="AV332" t="inlineStr">
        <is>
          <t>11840188</t>
        </is>
      </c>
      <c r="AW332" t="inlineStr">
        <is>
          <t>991000600079702656</t>
        </is>
      </c>
      <c r="AX332" t="inlineStr">
        <is>
          <t>991000600079702656</t>
        </is>
      </c>
      <c r="AY332" t="inlineStr">
        <is>
          <t>2267941300002656</t>
        </is>
      </c>
      <c r="AZ332" t="inlineStr">
        <is>
          <t>BOOK</t>
        </is>
      </c>
      <c r="BB332" t="inlineStr">
        <is>
          <t>9780080309637</t>
        </is>
      </c>
      <c r="BC332" t="inlineStr">
        <is>
          <t>32285001023398</t>
        </is>
      </c>
      <c r="BD332" t="inlineStr">
        <is>
          <t>893620624</t>
        </is>
      </c>
    </row>
    <row r="333">
      <c r="A333" t="inlineStr">
        <is>
          <t>No</t>
        </is>
      </c>
      <c r="B333" t="inlineStr">
        <is>
          <t>RC392 .B7 1979</t>
        </is>
      </c>
      <c r="C333" t="inlineStr">
        <is>
          <t>0                      RC 0392000B  7           1979</t>
        </is>
      </c>
      <c r="D333" t="inlineStr">
        <is>
          <t>Control of migraine / John B. Brainard.</t>
        </is>
      </c>
      <c r="F333" t="inlineStr">
        <is>
          <t>No</t>
        </is>
      </c>
      <c r="G333" t="inlineStr">
        <is>
          <t>1</t>
        </is>
      </c>
      <c r="H333" t="inlineStr">
        <is>
          <t>No</t>
        </is>
      </c>
      <c r="I333" t="inlineStr">
        <is>
          <t>No</t>
        </is>
      </c>
      <c r="J333" t="inlineStr">
        <is>
          <t>0</t>
        </is>
      </c>
      <c r="K333" t="inlineStr">
        <is>
          <t>Brainard, John B.</t>
        </is>
      </c>
      <c r="L333" t="inlineStr">
        <is>
          <t>New York : Norton, 1979.</t>
        </is>
      </c>
      <c r="M333" t="inlineStr">
        <is>
          <t>1979</t>
        </is>
      </c>
      <c r="O333" t="inlineStr">
        <is>
          <t>eng</t>
        </is>
      </c>
      <c r="P333" t="inlineStr">
        <is>
          <t>nyu</t>
        </is>
      </c>
      <c r="R333" t="inlineStr">
        <is>
          <t xml:space="preserve">RC </t>
        </is>
      </c>
      <c r="S333" t="n">
        <v>14</v>
      </c>
      <c r="T333" t="n">
        <v>14</v>
      </c>
      <c r="U333" t="inlineStr">
        <is>
          <t>2008-02-18</t>
        </is>
      </c>
      <c r="V333" t="inlineStr">
        <is>
          <t>2008-02-18</t>
        </is>
      </c>
      <c r="W333" t="inlineStr">
        <is>
          <t>1990-03-20</t>
        </is>
      </c>
      <c r="X333" t="inlineStr">
        <is>
          <t>1990-03-20</t>
        </is>
      </c>
      <c r="Y333" t="n">
        <v>60</v>
      </c>
      <c r="Z333" t="n">
        <v>54</v>
      </c>
      <c r="AA333" t="n">
        <v>284</v>
      </c>
      <c r="AB333" t="n">
        <v>1</v>
      </c>
      <c r="AC333" t="n">
        <v>2</v>
      </c>
      <c r="AD333" t="n">
        <v>1</v>
      </c>
      <c r="AE333" t="n">
        <v>4</v>
      </c>
      <c r="AF333" t="n">
        <v>1</v>
      </c>
      <c r="AG333" t="n">
        <v>3</v>
      </c>
      <c r="AH333" t="n">
        <v>0</v>
      </c>
      <c r="AI333" t="n">
        <v>0</v>
      </c>
      <c r="AJ333" t="n">
        <v>1</v>
      </c>
      <c r="AK333" t="n">
        <v>3</v>
      </c>
      <c r="AL333" t="n">
        <v>0</v>
      </c>
      <c r="AM333" t="n">
        <v>0</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HYPERLINK("https://creighton-primo.hosted.exlibrisgroup.com/primo-explore/search?tab=default_tab&amp;search_scope=EVERYTHING&amp;vid=01CRU&amp;lang=en_US&amp;offset=0&amp;query=any,contains,991004750889702656","Catalog Record")</f>
        <v/>
      </c>
      <c r="AT333">
        <f>HYPERLINK("http://www.worldcat.org/oclc/4933467","WorldCat Record")</f>
        <v/>
      </c>
      <c r="AU333" t="inlineStr">
        <is>
          <t>459605:eng</t>
        </is>
      </c>
      <c r="AV333" t="inlineStr">
        <is>
          <t>4933467</t>
        </is>
      </c>
      <c r="AW333" t="inlineStr">
        <is>
          <t>991004750889702656</t>
        </is>
      </c>
      <c r="AX333" t="inlineStr">
        <is>
          <t>991004750889702656</t>
        </is>
      </c>
      <c r="AY333" t="inlineStr">
        <is>
          <t>2269186470002656</t>
        </is>
      </c>
      <c r="AZ333" t="inlineStr">
        <is>
          <t>BOOK</t>
        </is>
      </c>
      <c r="BB333" t="inlineStr">
        <is>
          <t>9780393009330</t>
        </is>
      </c>
      <c r="BC333" t="inlineStr">
        <is>
          <t>32285000088491</t>
        </is>
      </c>
      <c r="BD333" t="inlineStr">
        <is>
          <t>893706794</t>
        </is>
      </c>
    </row>
    <row r="334">
      <c r="A334" t="inlineStr">
        <is>
          <t>No</t>
        </is>
      </c>
      <c r="B334" t="inlineStr">
        <is>
          <t>RC392 .W3 1993</t>
        </is>
      </c>
      <c r="C334" t="inlineStr">
        <is>
          <t>0                      RC 0392000W  3           1993</t>
        </is>
      </c>
      <c r="D334" t="inlineStr">
        <is>
          <t>Treating sinus, migraine, and cluster headaches, my way : an allergist's approach to headache treatment / William E. Walsh.</t>
        </is>
      </c>
      <c r="F334" t="inlineStr">
        <is>
          <t>No</t>
        </is>
      </c>
      <c r="G334" t="inlineStr">
        <is>
          <t>1</t>
        </is>
      </c>
      <c r="H334" t="inlineStr">
        <is>
          <t>No</t>
        </is>
      </c>
      <c r="I334" t="inlineStr">
        <is>
          <t>No</t>
        </is>
      </c>
      <c r="J334" t="inlineStr">
        <is>
          <t>0</t>
        </is>
      </c>
      <c r="K334" t="inlineStr">
        <is>
          <t>Walsh, William E.</t>
        </is>
      </c>
      <c r="L334" t="inlineStr">
        <is>
          <t>St. Paul, MN : ACA Publications, c1993.</t>
        </is>
      </c>
      <c r="M334" t="inlineStr">
        <is>
          <t>1993</t>
        </is>
      </c>
      <c r="O334" t="inlineStr">
        <is>
          <t>eng</t>
        </is>
      </c>
      <c r="P334" t="inlineStr">
        <is>
          <t>mnu</t>
        </is>
      </c>
      <c r="R334" t="inlineStr">
        <is>
          <t xml:space="preserve">RC </t>
        </is>
      </c>
      <c r="S334" t="n">
        <v>17</v>
      </c>
      <c r="T334" t="n">
        <v>17</v>
      </c>
      <c r="U334" t="inlineStr">
        <is>
          <t>2007-05-07</t>
        </is>
      </c>
      <c r="V334" t="inlineStr">
        <is>
          <t>2007-05-07</t>
        </is>
      </c>
      <c r="W334" t="inlineStr">
        <is>
          <t>1994-04-21</t>
        </is>
      </c>
      <c r="X334" t="inlineStr">
        <is>
          <t>1994-04-21</t>
        </is>
      </c>
      <c r="Y334" t="n">
        <v>76</v>
      </c>
      <c r="Z334" t="n">
        <v>75</v>
      </c>
      <c r="AA334" t="n">
        <v>75</v>
      </c>
      <c r="AB334" t="n">
        <v>3</v>
      </c>
      <c r="AC334" t="n">
        <v>3</v>
      </c>
      <c r="AD334" t="n">
        <v>0</v>
      </c>
      <c r="AE334" t="n">
        <v>0</v>
      </c>
      <c r="AF334" t="n">
        <v>0</v>
      </c>
      <c r="AG334" t="n">
        <v>0</v>
      </c>
      <c r="AH334" t="n">
        <v>0</v>
      </c>
      <c r="AI334" t="n">
        <v>0</v>
      </c>
      <c r="AJ334" t="n">
        <v>0</v>
      </c>
      <c r="AK334" t="n">
        <v>0</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HYPERLINK("https://creighton-primo.hosted.exlibrisgroup.com/primo-explore/search?tab=default_tab&amp;search_scope=EVERYTHING&amp;vid=01CRU&amp;lang=en_US&amp;offset=0&amp;query=any,contains,991002316309702656","Catalog Record")</f>
        <v/>
      </c>
      <c r="AT334">
        <f>HYPERLINK("http://www.worldcat.org/oclc/30057835","WorldCat Record")</f>
        <v/>
      </c>
      <c r="AU334" t="inlineStr">
        <is>
          <t>31840501:eng</t>
        </is>
      </c>
      <c r="AV334" t="inlineStr">
        <is>
          <t>30057835</t>
        </is>
      </c>
      <c r="AW334" t="inlineStr">
        <is>
          <t>991002316309702656</t>
        </is>
      </c>
      <c r="AX334" t="inlineStr">
        <is>
          <t>991002316309702656</t>
        </is>
      </c>
      <c r="AY334" t="inlineStr">
        <is>
          <t>2269843990002656</t>
        </is>
      </c>
      <c r="AZ334" t="inlineStr">
        <is>
          <t>BOOK</t>
        </is>
      </c>
      <c r="BB334" t="inlineStr">
        <is>
          <t>9780963154453</t>
        </is>
      </c>
      <c r="BC334" t="inlineStr">
        <is>
          <t>32285001863975</t>
        </is>
      </c>
      <c r="BD334" t="inlineStr">
        <is>
          <t>893867066</t>
        </is>
      </c>
    </row>
    <row r="335">
      <c r="A335" t="inlineStr">
        <is>
          <t>No</t>
        </is>
      </c>
      <c r="B335" t="inlineStr">
        <is>
          <t>RC394.A5 W4 1977</t>
        </is>
      </c>
      <c r="C335" t="inlineStr">
        <is>
          <t>0                      RC 0394000A  5                  W  4           1977</t>
        </is>
      </c>
      <c r="D335" t="inlineStr">
        <is>
          <t>Amnesia : clinical, psychological and medicolegal aspects / edited by C. W. M. Whitty and O. L. Zangwill.</t>
        </is>
      </c>
      <c r="F335" t="inlineStr">
        <is>
          <t>No</t>
        </is>
      </c>
      <c r="G335" t="inlineStr">
        <is>
          <t>1</t>
        </is>
      </c>
      <c r="H335" t="inlineStr">
        <is>
          <t>No</t>
        </is>
      </c>
      <c r="I335" t="inlineStr">
        <is>
          <t>No</t>
        </is>
      </c>
      <c r="J335" t="inlineStr">
        <is>
          <t>0</t>
        </is>
      </c>
      <c r="K335" t="inlineStr">
        <is>
          <t>Whitty, Charles William Michael.</t>
        </is>
      </c>
      <c r="L335" t="inlineStr">
        <is>
          <t>London ; Boston : Butterworths, 1977.</t>
        </is>
      </c>
      <c r="M335" t="inlineStr">
        <is>
          <t>1977</t>
        </is>
      </c>
      <c r="N335" t="inlineStr">
        <is>
          <t>2d ed.</t>
        </is>
      </c>
      <c r="O335" t="inlineStr">
        <is>
          <t>eng</t>
        </is>
      </c>
      <c r="P335" t="inlineStr">
        <is>
          <t>enk</t>
        </is>
      </c>
      <c r="R335" t="inlineStr">
        <is>
          <t xml:space="preserve">RC </t>
        </is>
      </c>
      <c r="S335" t="n">
        <v>24</v>
      </c>
      <c r="T335" t="n">
        <v>24</v>
      </c>
      <c r="U335" t="inlineStr">
        <is>
          <t>2006-10-13</t>
        </is>
      </c>
      <c r="V335" t="inlineStr">
        <is>
          <t>2006-10-13</t>
        </is>
      </c>
      <c r="W335" t="inlineStr">
        <is>
          <t>1992-01-28</t>
        </is>
      </c>
      <c r="X335" t="inlineStr">
        <is>
          <t>1992-01-28</t>
        </is>
      </c>
      <c r="Y335" t="n">
        <v>258</v>
      </c>
      <c r="Z335" t="n">
        <v>158</v>
      </c>
      <c r="AA335" t="n">
        <v>202</v>
      </c>
      <c r="AB335" t="n">
        <v>2</v>
      </c>
      <c r="AC335" t="n">
        <v>2</v>
      </c>
      <c r="AD335" t="n">
        <v>3</v>
      </c>
      <c r="AE335" t="n">
        <v>6</v>
      </c>
      <c r="AF335" t="n">
        <v>0</v>
      </c>
      <c r="AG335" t="n">
        <v>2</v>
      </c>
      <c r="AH335" t="n">
        <v>1</v>
      </c>
      <c r="AI335" t="n">
        <v>3</v>
      </c>
      <c r="AJ335" t="n">
        <v>1</v>
      </c>
      <c r="AK335" t="n">
        <v>1</v>
      </c>
      <c r="AL335" t="n">
        <v>1</v>
      </c>
      <c r="AM335" t="n">
        <v>1</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HYPERLINK("https://creighton-primo.hosted.exlibrisgroup.com/primo-explore/search?tab=default_tab&amp;search_scope=EVERYTHING&amp;vid=01CRU&amp;lang=en_US&amp;offset=0&amp;query=any,contains,991004325059702656","Catalog Record")</f>
        <v/>
      </c>
      <c r="AT335">
        <f>HYPERLINK("http://www.worldcat.org/oclc/3034216","WorldCat Record")</f>
        <v/>
      </c>
      <c r="AU335" t="inlineStr">
        <is>
          <t>4714485631:eng</t>
        </is>
      </c>
      <c r="AV335" t="inlineStr">
        <is>
          <t>3034216</t>
        </is>
      </c>
      <c r="AW335" t="inlineStr">
        <is>
          <t>991004325059702656</t>
        </is>
      </c>
      <c r="AX335" t="inlineStr">
        <is>
          <t>991004325059702656</t>
        </is>
      </c>
      <c r="AY335" t="inlineStr">
        <is>
          <t>2261332110002656</t>
        </is>
      </c>
      <c r="AZ335" t="inlineStr">
        <is>
          <t>BOOK</t>
        </is>
      </c>
      <c r="BB335" t="inlineStr">
        <is>
          <t>9780407000568</t>
        </is>
      </c>
      <c r="BC335" t="inlineStr">
        <is>
          <t>32285000899301</t>
        </is>
      </c>
      <c r="BD335" t="inlineStr">
        <is>
          <t>893411383</t>
        </is>
      </c>
    </row>
    <row r="336">
      <c r="A336" t="inlineStr">
        <is>
          <t>No</t>
        </is>
      </c>
      <c r="B336" t="inlineStr">
        <is>
          <t>RC394.A85 F57 1999</t>
        </is>
      </c>
      <c r="C336" t="inlineStr">
        <is>
          <t>0                      RC 0394000A  85                 F  57          1999</t>
        </is>
      </c>
      <c r="D336" t="inlineStr">
        <is>
          <t>Attention deficit disorder : practical coping methods / Barbara C. Fisher, Ross A. Beckley.</t>
        </is>
      </c>
      <c r="F336" t="inlineStr">
        <is>
          <t>No</t>
        </is>
      </c>
      <c r="G336" t="inlineStr">
        <is>
          <t>1</t>
        </is>
      </c>
      <c r="H336" t="inlineStr">
        <is>
          <t>No</t>
        </is>
      </c>
      <c r="I336" t="inlineStr">
        <is>
          <t>No</t>
        </is>
      </c>
      <c r="J336" t="inlineStr">
        <is>
          <t>0</t>
        </is>
      </c>
      <c r="K336" t="inlineStr">
        <is>
          <t>Fisher, Barbara C.</t>
        </is>
      </c>
      <c r="L336" t="inlineStr">
        <is>
          <t>Boca Raton : CRC Press, 1999.</t>
        </is>
      </c>
      <c r="M336" t="inlineStr">
        <is>
          <t>1999</t>
        </is>
      </c>
      <c r="O336" t="inlineStr">
        <is>
          <t>eng</t>
        </is>
      </c>
      <c r="P336" t="inlineStr">
        <is>
          <t>flu</t>
        </is>
      </c>
      <c r="R336" t="inlineStr">
        <is>
          <t xml:space="preserve">RC </t>
        </is>
      </c>
      <c r="S336" t="n">
        <v>27</v>
      </c>
      <c r="T336" t="n">
        <v>27</v>
      </c>
      <c r="U336" t="inlineStr">
        <is>
          <t>2009-12-07</t>
        </is>
      </c>
      <c r="V336" t="inlineStr">
        <is>
          <t>2009-12-07</t>
        </is>
      </c>
      <c r="W336" t="inlineStr">
        <is>
          <t>1999-11-15</t>
        </is>
      </c>
      <c r="X336" t="inlineStr">
        <is>
          <t>1999-11-15</t>
        </is>
      </c>
      <c r="Y336" t="n">
        <v>556</v>
      </c>
      <c r="Z336" t="n">
        <v>497</v>
      </c>
      <c r="AA336" t="n">
        <v>551</v>
      </c>
      <c r="AB336" t="n">
        <v>3</v>
      </c>
      <c r="AC336" t="n">
        <v>3</v>
      </c>
      <c r="AD336" t="n">
        <v>22</v>
      </c>
      <c r="AE336" t="n">
        <v>22</v>
      </c>
      <c r="AF336" t="n">
        <v>10</v>
      </c>
      <c r="AG336" t="n">
        <v>10</v>
      </c>
      <c r="AH336" t="n">
        <v>5</v>
      </c>
      <c r="AI336" t="n">
        <v>5</v>
      </c>
      <c r="AJ336" t="n">
        <v>11</v>
      </c>
      <c r="AK336" t="n">
        <v>11</v>
      </c>
      <c r="AL336" t="n">
        <v>2</v>
      </c>
      <c r="AM336" t="n">
        <v>2</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HYPERLINK("https://creighton-primo.hosted.exlibrisgroup.com/primo-explore/search?tab=default_tab&amp;search_scope=EVERYTHING&amp;vid=01CRU&amp;lang=en_US&amp;offset=0&amp;query=any,contains,991002940849702656","Catalog Record")</f>
        <v/>
      </c>
      <c r="AT336">
        <f>HYPERLINK("http://www.worldcat.org/oclc/39131268","WorldCat Record")</f>
        <v/>
      </c>
      <c r="AU336" t="inlineStr">
        <is>
          <t>5218492021:eng</t>
        </is>
      </c>
      <c r="AV336" t="inlineStr">
        <is>
          <t>39131268</t>
        </is>
      </c>
      <c r="AW336" t="inlineStr">
        <is>
          <t>991002940849702656</t>
        </is>
      </c>
      <c r="AX336" t="inlineStr">
        <is>
          <t>991002940849702656</t>
        </is>
      </c>
      <c r="AY336" t="inlineStr">
        <is>
          <t>2264508210002656</t>
        </is>
      </c>
      <c r="AZ336" t="inlineStr">
        <is>
          <t>BOOK</t>
        </is>
      </c>
      <c r="BB336" t="inlineStr">
        <is>
          <t>9780849318993</t>
        </is>
      </c>
      <c r="BC336" t="inlineStr">
        <is>
          <t>32285003621819</t>
        </is>
      </c>
      <c r="BD336" t="inlineStr">
        <is>
          <t>893498746</t>
        </is>
      </c>
    </row>
    <row r="337">
      <c r="A337" t="inlineStr">
        <is>
          <t>No</t>
        </is>
      </c>
      <c r="B337" t="inlineStr">
        <is>
          <t>RC394.A85 M87 1995</t>
        </is>
      </c>
      <c r="C337" t="inlineStr">
        <is>
          <t>0                      RC 0394000A  85                 M  87          1995</t>
        </is>
      </c>
      <c r="D337" t="inlineStr">
        <is>
          <t>Out of the fog : treatment options and coping strategies for adult attention deficit disorder / Kevin Murphy and Suzanne LeVert.</t>
        </is>
      </c>
      <c r="F337" t="inlineStr">
        <is>
          <t>No</t>
        </is>
      </c>
      <c r="G337" t="inlineStr">
        <is>
          <t>1</t>
        </is>
      </c>
      <c r="H337" t="inlineStr">
        <is>
          <t>No</t>
        </is>
      </c>
      <c r="I337" t="inlineStr">
        <is>
          <t>No</t>
        </is>
      </c>
      <c r="J337" t="inlineStr">
        <is>
          <t>0</t>
        </is>
      </c>
      <c r="K337" t="inlineStr">
        <is>
          <t>Murphy, Kevin R., 1952-</t>
        </is>
      </c>
      <c r="L337" t="inlineStr">
        <is>
          <t>New York : Hyperion, 1995.</t>
        </is>
      </c>
      <c r="M337" t="inlineStr">
        <is>
          <t>1995</t>
        </is>
      </c>
      <c r="N337" t="inlineStr">
        <is>
          <t>1st ed.</t>
        </is>
      </c>
      <c r="O337" t="inlineStr">
        <is>
          <t>eng</t>
        </is>
      </c>
      <c r="P337" t="inlineStr">
        <is>
          <t>nyu</t>
        </is>
      </c>
      <c r="R337" t="inlineStr">
        <is>
          <t xml:space="preserve">RC </t>
        </is>
      </c>
      <c r="S337" t="n">
        <v>50</v>
      </c>
      <c r="T337" t="n">
        <v>50</v>
      </c>
      <c r="U337" t="inlineStr">
        <is>
          <t>2009-12-07</t>
        </is>
      </c>
      <c r="V337" t="inlineStr">
        <is>
          <t>2009-12-07</t>
        </is>
      </c>
      <c r="W337" t="inlineStr">
        <is>
          <t>1995-11-06</t>
        </is>
      </c>
      <c r="X337" t="inlineStr">
        <is>
          <t>1995-11-06</t>
        </is>
      </c>
      <c r="Y337" t="n">
        <v>681</v>
      </c>
      <c r="Z337" t="n">
        <v>644</v>
      </c>
      <c r="AA337" t="n">
        <v>648</v>
      </c>
      <c r="AB337" t="n">
        <v>6</v>
      </c>
      <c r="AC337" t="n">
        <v>6</v>
      </c>
      <c r="AD337" t="n">
        <v>13</v>
      </c>
      <c r="AE337" t="n">
        <v>13</v>
      </c>
      <c r="AF337" t="n">
        <v>6</v>
      </c>
      <c r="AG337" t="n">
        <v>6</v>
      </c>
      <c r="AH337" t="n">
        <v>1</v>
      </c>
      <c r="AI337" t="n">
        <v>1</v>
      </c>
      <c r="AJ337" t="n">
        <v>6</v>
      </c>
      <c r="AK337" t="n">
        <v>6</v>
      </c>
      <c r="AL337" t="n">
        <v>2</v>
      </c>
      <c r="AM337" t="n">
        <v>2</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HYPERLINK("https://creighton-primo.hosted.exlibrisgroup.com/primo-explore/search?tab=default_tab&amp;search_scope=EVERYTHING&amp;vid=01CRU&amp;lang=en_US&amp;offset=0&amp;query=any,contains,991002432629702656","Catalog Record")</f>
        <v/>
      </c>
      <c r="AT337">
        <f>HYPERLINK("http://www.worldcat.org/oclc/31710610","WorldCat Record")</f>
        <v/>
      </c>
      <c r="AU337" t="inlineStr">
        <is>
          <t>1151757993:eng</t>
        </is>
      </c>
      <c r="AV337" t="inlineStr">
        <is>
          <t>31710610</t>
        </is>
      </c>
      <c r="AW337" t="inlineStr">
        <is>
          <t>991002432629702656</t>
        </is>
      </c>
      <c r="AX337" t="inlineStr">
        <is>
          <t>991002432629702656</t>
        </is>
      </c>
      <c r="AY337" t="inlineStr">
        <is>
          <t>2256803750002656</t>
        </is>
      </c>
      <c r="AZ337" t="inlineStr">
        <is>
          <t>BOOK</t>
        </is>
      </c>
      <c r="BB337" t="inlineStr">
        <is>
          <t>9780786880874</t>
        </is>
      </c>
      <c r="BC337" t="inlineStr">
        <is>
          <t>32285002101383</t>
        </is>
      </c>
      <c r="BD337" t="inlineStr">
        <is>
          <t>893779804</t>
        </is>
      </c>
    </row>
    <row r="338">
      <c r="A338" t="inlineStr">
        <is>
          <t>No</t>
        </is>
      </c>
      <c r="B338" t="inlineStr">
        <is>
          <t>RC394.A85 R63 1997</t>
        </is>
      </c>
      <c r="C338" t="inlineStr">
        <is>
          <t>0                      RC 0394000A  85                 R  63          1997</t>
        </is>
      </c>
      <c r="D338" t="inlineStr">
        <is>
          <t>Living with ADD : a workbook for adults with Attention Deficit Disorder / M. Susan Roberts, Gerard J. Jansen.</t>
        </is>
      </c>
      <c r="F338" t="inlineStr">
        <is>
          <t>No</t>
        </is>
      </c>
      <c r="G338" t="inlineStr">
        <is>
          <t>1</t>
        </is>
      </c>
      <c r="H338" t="inlineStr">
        <is>
          <t>No</t>
        </is>
      </c>
      <c r="I338" t="inlineStr">
        <is>
          <t>No</t>
        </is>
      </c>
      <c r="J338" t="inlineStr">
        <is>
          <t>0</t>
        </is>
      </c>
      <c r="K338" t="inlineStr">
        <is>
          <t>Roberts, M. Susan.</t>
        </is>
      </c>
      <c r="L338" t="inlineStr">
        <is>
          <t>Oakland, CA : New Harbinger Pub., c1997.</t>
        </is>
      </c>
      <c r="M338" t="inlineStr">
        <is>
          <t>1997</t>
        </is>
      </c>
      <c r="O338" t="inlineStr">
        <is>
          <t>eng</t>
        </is>
      </c>
      <c r="P338" t="inlineStr">
        <is>
          <t>cau</t>
        </is>
      </c>
      <c r="R338" t="inlineStr">
        <is>
          <t xml:space="preserve">RC </t>
        </is>
      </c>
      <c r="S338" t="n">
        <v>2</v>
      </c>
      <c r="T338" t="n">
        <v>2</v>
      </c>
      <c r="U338" t="inlineStr">
        <is>
          <t>2006-11-07</t>
        </is>
      </c>
      <c r="V338" t="inlineStr">
        <is>
          <t>2006-11-07</t>
        </is>
      </c>
      <c r="W338" t="inlineStr">
        <is>
          <t>2006-11-07</t>
        </is>
      </c>
      <c r="X338" t="inlineStr">
        <is>
          <t>2006-11-07</t>
        </is>
      </c>
      <c r="Y338" t="n">
        <v>122</v>
      </c>
      <c r="Z338" t="n">
        <v>109</v>
      </c>
      <c r="AA338" t="n">
        <v>114</v>
      </c>
      <c r="AB338" t="n">
        <v>2</v>
      </c>
      <c r="AC338" t="n">
        <v>2</v>
      </c>
      <c r="AD338" t="n">
        <v>2</v>
      </c>
      <c r="AE338" t="n">
        <v>2</v>
      </c>
      <c r="AF338" t="n">
        <v>1</v>
      </c>
      <c r="AG338" t="n">
        <v>1</v>
      </c>
      <c r="AH338" t="n">
        <v>0</v>
      </c>
      <c r="AI338" t="n">
        <v>0</v>
      </c>
      <c r="AJ338" t="n">
        <v>1</v>
      </c>
      <c r="AK338" t="n">
        <v>1</v>
      </c>
      <c r="AL338" t="n">
        <v>1</v>
      </c>
      <c r="AM338" t="n">
        <v>1</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HYPERLINK("https://creighton-primo.hosted.exlibrisgroup.com/primo-explore/search?tab=default_tab&amp;search_scope=EVERYTHING&amp;vid=01CRU&amp;lang=en_US&amp;offset=0&amp;query=any,contains,991004946219702656","Catalog Record")</f>
        <v/>
      </c>
      <c r="AT338">
        <f>HYPERLINK("http://www.worldcat.org/oclc/37022512","WorldCat Record")</f>
        <v/>
      </c>
      <c r="AU338" t="inlineStr">
        <is>
          <t>683915:eng</t>
        </is>
      </c>
      <c r="AV338" t="inlineStr">
        <is>
          <t>37022512</t>
        </is>
      </c>
      <c r="AW338" t="inlineStr">
        <is>
          <t>991004946219702656</t>
        </is>
      </c>
      <c r="AX338" t="inlineStr">
        <is>
          <t>991004946219702656</t>
        </is>
      </c>
      <c r="AY338" t="inlineStr">
        <is>
          <t>2260167460002656</t>
        </is>
      </c>
      <c r="AZ338" t="inlineStr">
        <is>
          <t>BOOK</t>
        </is>
      </c>
      <c r="BB338" t="inlineStr">
        <is>
          <t>9781572240636</t>
        </is>
      </c>
      <c r="BC338" t="inlineStr">
        <is>
          <t>32285005235535</t>
        </is>
      </c>
      <c r="BD338" t="inlineStr">
        <is>
          <t>893625270</t>
        </is>
      </c>
    </row>
    <row r="339">
      <c r="A339" t="inlineStr">
        <is>
          <t>No</t>
        </is>
      </c>
      <c r="B339" t="inlineStr">
        <is>
          <t>RC394.A85 T75 1999</t>
        </is>
      </c>
      <c r="C339" t="inlineStr">
        <is>
          <t>0                      RC 0394000A  85                 T  75          1999</t>
        </is>
      </c>
      <c r="D339" t="inlineStr">
        <is>
          <t>Attention deficit hyperactivity disorder in adulthood : a practitioner's handbook / Santo J. Triolo.</t>
        </is>
      </c>
      <c r="F339" t="inlineStr">
        <is>
          <t>No</t>
        </is>
      </c>
      <c r="G339" t="inlineStr">
        <is>
          <t>1</t>
        </is>
      </c>
      <c r="H339" t="inlineStr">
        <is>
          <t>No</t>
        </is>
      </c>
      <c r="I339" t="inlineStr">
        <is>
          <t>No</t>
        </is>
      </c>
      <c r="J339" t="inlineStr">
        <is>
          <t>0</t>
        </is>
      </c>
      <c r="K339" t="inlineStr">
        <is>
          <t>Triolo, Santo J., 1954-</t>
        </is>
      </c>
      <c r="L339" t="inlineStr">
        <is>
          <t>Philadelphia, PA : Brunner/Mazel, c1999.</t>
        </is>
      </c>
      <c r="M339" t="inlineStr">
        <is>
          <t>1999</t>
        </is>
      </c>
      <c r="O339" t="inlineStr">
        <is>
          <t>eng</t>
        </is>
      </c>
      <c r="P339" t="inlineStr">
        <is>
          <t>pau</t>
        </is>
      </c>
      <c r="R339" t="inlineStr">
        <is>
          <t xml:space="preserve">RC </t>
        </is>
      </c>
      <c r="S339" t="n">
        <v>21</v>
      </c>
      <c r="T339" t="n">
        <v>21</v>
      </c>
      <c r="U339" t="inlineStr">
        <is>
          <t>2007-05-07</t>
        </is>
      </c>
      <c r="V339" t="inlineStr">
        <is>
          <t>2007-05-07</t>
        </is>
      </c>
      <c r="W339" t="inlineStr">
        <is>
          <t>1999-04-22</t>
        </is>
      </c>
      <c r="X339" t="inlineStr">
        <is>
          <t>1999-04-22</t>
        </is>
      </c>
      <c r="Y339" t="n">
        <v>161</v>
      </c>
      <c r="Z339" t="n">
        <v>133</v>
      </c>
      <c r="AA339" t="n">
        <v>163</v>
      </c>
      <c r="AB339" t="n">
        <v>3</v>
      </c>
      <c r="AC339" t="n">
        <v>3</v>
      </c>
      <c r="AD339" t="n">
        <v>7</v>
      </c>
      <c r="AE339" t="n">
        <v>7</v>
      </c>
      <c r="AF339" t="n">
        <v>2</v>
      </c>
      <c r="AG339" t="n">
        <v>2</v>
      </c>
      <c r="AH339" t="n">
        <v>1</v>
      </c>
      <c r="AI339" t="n">
        <v>1</v>
      </c>
      <c r="AJ339" t="n">
        <v>3</v>
      </c>
      <c r="AK339" t="n">
        <v>3</v>
      </c>
      <c r="AL339" t="n">
        <v>2</v>
      </c>
      <c r="AM339" t="n">
        <v>2</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HYPERLINK("https://creighton-primo.hosted.exlibrisgroup.com/primo-explore/search?tab=default_tab&amp;search_scope=EVERYTHING&amp;vid=01CRU&amp;lang=en_US&amp;offset=0&amp;query=any,contains,991002938929702656","Catalog Record")</f>
        <v/>
      </c>
      <c r="AT339">
        <f>HYPERLINK("http://www.worldcat.org/oclc/39093676","WorldCat Record")</f>
        <v/>
      </c>
      <c r="AU339" t="inlineStr">
        <is>
          <t>836925681:eng</t>
        </is>
      </c>
      <c r="AV339" t="inlineStr">
        <is>
          <t>39093676</t>
        </is>
      </c>
      <c r="AW339" t="inlineStr">
        <is>
          <t>991002938929702656</t>
        </is>
      </c>
      <c r="AX339" t="inlineStr">
        <is>
          <t>991002938929702656</t>
        </is>
      </c>
      <c r="AY339" t="inlineStr">
        <is>
          <t>2272748960002656</t>
        </is>
      </c>
      <c r="AZ339" t="inlineStr">
        <is>
          <t>BOOK</t>
        </is>
      </c>
      <c r="BB339" t="inlineStr">
        <is>
          <t>9780876308905</t>
        </is>
      </c>
      <c r="BC339" t="inlineStr">
        <is>
          <t>32285003554747</t>
        </is>
      </c>
      <c r="BD339" t="inlineStr">
        <is>
          <t>893227469</t>
        </is>
      </c>
    </row>
    <row r="340">
      <c r="A340" t="inlineStr">
        <is>
          <t>No</t>
        </is>
      </c>
      <c r="B340" t="inlineStr">
        <is>
          <t>RC394.C64 F76 1991</t>
        </is>
      </c>
      <c r="C340" t="inlineStr">
        <is>
          <t>0                      RC 0394000C  64                 F  76          1991</t>
        </is>
      </c>
      <c r="D340" t="inlineStr">
        <is>
          <t>Frontal lobe function and dysfunction / edited by Harvey S. Levin, Howard M. Eisenberg, Arthur L. Benton.</t>
        </is>
      </c>
      <c r="F340" t="inlineStr">
        <is>
          <t>No</t>
        </is>
      </c>
      <c r="G340" t="inlineStr">
        <is>
          <t>1</t>
        </is>
      </c>
      <c r="H340" t="inlineStr">
        <is>
          <t>No</t>
        </is>
      </c>
      <c r="I340" t="inlineStr">
        <is>
          <t>No</t>
        </is>
      </c>
      <c r="J340" t="inlineStr">
        <is>
          <t>0</t>
        </is>
      </c>
      <c r="L340" t="inlineStr">
        <is>
          <t>New York : Oxford University Press, 1991.</t>
        </is>
      </c>
      <c r="M340" t="inlineStr">
        <is>
          <t>1991</t>
        </is>
      </c>
      <c r="O340" t="inlineStr">
        <is>
          <t>eng</t>
        </is>
      </c>
      <c r="P340" t="inlineStr">
        <is>
          <t>nyu</t>
        </is>
      </c>
      <c r="R340" t="inlineStr">
        <is>
          <t xml:space="preserve">RC </t>
        </is>
      </c>
      <c r="S340" t="n">
        <v>15</v>
      </c>
      <c r="T340" t="n">
        <v>15</v>
      </c>
      <c r="U340" t="inlineStr">
        <is>
          <t>2006-11-02</t>
        </is>
      </c>
      <c r="V340" t="inlineStr">
        <is>
          <t>2006-11-02</t>
        </is>
      </c>
      <c r="W340" t="inlineStr">
        <is>
          <t>1992-08-04</t>
        </is>
      </c>
      <c r="X340" t="inlineStr">
        <is>
          <t>1992-08-04</t>
        </is>
      </c>
      <c r="Y340" t="n">
        <v>292</v>
      </c>
      <c r="Z340" t="n">
        <v>199</v>
      </c>
      <c r="AA340" t="n">
        <v>200</v>
      </c>
      <c r="AB340" t="n">
        <v>1</v>
      </c>
      <c r="AC340" t="n">
        <v>1</v>
      </c>
      <c r="AD340" t="n">
        <v>13</v>
      </c>
      <c r="AE340" t="n">
        <v>13</v>
      </c>
      <c r="AF340" t="n">
        <v>5</v>
      </c>
      <c r="AG340" t="n">
        <v>5</v>
      </c>
      <c r="AH340" t="n">
        <v>3</v>
      </c>
      <c r="AI340" t="n">
        <v>3</v>
      </c>
      <c r="AJ340" t="n">
        <v>9</v>
      </c>
      <c r="AK340" t="n">
        <v>9</v>
      </c>
      <c r="AL340" t="n">
        <v>0</v>
      </c>
      <c r="AM340" t="n">
        <v>0</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HYPERLINK("https://creighton-primo.hosted.exlibrisgroup.com/primo-explore/search?tab=default_tab&amp;search_scope=EVERYTHING&amp;vid=01CRU&amp;lang=en_US&amp;offset=0&amp;query=any,contains,991001850419702656","Catalog Record")</f>
        <v/>
      </c>
      <c r="AT340">
        <f>HYPERLINK("http://www.worldcat.org/oclc/23218950","WorldCat Record")</f>
        <v/>
      </c>
      <c r="AU340" t="inlineStr">
        <is>
          <t>365310400:eng</t>
        </is>
      </c>
      <c r="AV340" t="inlineStr">
        <is>
          <t>23218950</t>
        </is>
      </c>
      <c r="AW340" t="inlineStr">
        <is>
          <t>991001850419702656</t>
        </is>
      </c>
      <c r="AX340" t="inlineStr">
        <is>
          <t>991001850419702656</t>
        </is>
      </c>
      <c r="AY340" t="inlineStr">
        <is>
          <t>2260225330002656</t>
        </is>
      </c>
      <c r="AZ340" t="inlineStr">
        <is>
          <t>BOOK</t>
        </is>
      </c>
      <c r="BB340" t="inlineStr">
        <is>
          <t>9780195062847</t>
        </is>
      </c>
      <c r="BC340" t="inlineStr">
        <is>
          <t>32285001196210</t>
        </is>
      </c>
      <c r="BD340" t="inlineStr">
        <is>
          <t>893256565</t>
        </is>
      </c>
    </row>
    <row r="341">
      <c r="A341" t="inlineStr">
        <is>
          <t>No</t>
        </is>
      </c>
      <c r="B341" t="inlineStr">
        <is>
          <t>RC394.H85 F64 1989</t>
        </is>
      </c>
      <c r="C341" t="inlineStr">
        <is>
          <t>0                      RC 0394000H  85                 F  64          1989</t>
        </is>
      </c>
      <c r="D341" t="inlineStr">
        <is>
          <t>Huntington's disease : a disorder of families / Susan E. Folstein.</t>
        </is>
      </c>
      <c r="F341" t="inlineStr">
        <is>
          <t>No</t>
        </is>
      </c>
      <c r="G341" t="inlineStr">
        <is>
          <t>1</t>
        </is>
      </c>
      <c r="H341" t="inlineStr">
        <is>
          <t>No</t>
        </is>
      </c>
      <c r="I341" t="inlineStr">
        <is>
          <t>No</t>
        </is>
      </c>
      <c r="J341" t="inlineStr">
        <is>
          <t>0</t>
        </is>
      </c>
      <c r="K341" t="inlineStr">
        <is>
          <t>Folstein, Susan E., 1944-</t>
        </is>
      </c>
      <c r="L341" t="inlineStr">
        <is>
          <t>Baltimore : Johns Hopkins University Press, c1989.</t>
        </is>
      </c>
      <c r="M341" t="inlineStr">
        <is>
          <t>1989</t>
        </is>
      </c>
      <c r="O341" t="inlineStr">
        <is>
          <t>eng</t>
        </is>
      </c>
      <c r="P341" t="inlineStr">
        <is>
          <t>mdu</t>
        </is>
      </c>
      <c r="Q341" t="inlineStr">
        <is>
          <t>The Johns Hopkins series in contemporary medicine and public health</t>
        </is>
      </c>
      <c r="R341" t="inlineStr">
        <is>
          <t xml:space="preserve">RC </t>
        </is>
      </c>
      <c r="S341" t="n">
        <v>11</v>
      </c>
      <c r="T341" t="n">
        <v>11</v>
      </c>
      <c r="U341" t="inlineStr">
        <is>
          <t>2006-03-27</t>
        </is>
      </c>
      <c r="V341" t="inlineStr">
        <is>
          <t>2006-03-27</t>
        </is>
      </c>
      <c r="W341" t="inlineStr">
        <is>
          <t>1991-06-20</t>
        </is>
      </c>
      <c r="X341" t="inlineStr">
        <is>
          <t>1991-06-20</t>
        </is>
      </c>
      <c r="Y341" t="n">
        <v>272</v>
      </c>
      <c r="Z341" t="n">
        <v>217</v>
      </c>
      <c r="AA341" t="n">
        <v>224</v>
      </c>
      <c r="AB341" t="n">
        <v>2</v>
      </c>
      <c r="AC341" t="n">
        <v>2</v>
      </c>
      <c r="AD341" t="n">
        <v>6</v>
      </c>
      <c r="AE341" t="n">
        <v>6</v>
      </c>
      <c r="AF341" t="n">
        <v>3</v>
      </c>
      <c r="AG341" t="n">
        <v>3</v>
      </c>
      <c r="AH341" t="n">
        <v>1</v>
      </c>
      <c r="AI341" t="n">
        <v>1</v>
      </c>
      <c r="AJ341" t="n">
        <v>3</v>
      </c>
      <c r="AK341" t="n">
        <v>3</v>
      </c>
      <c r="AL341" t="n">
        <v>1</v>
      </c>
      <c r="AM341" t="n">
        <v>1</v>
      </c>
      <c r="AN341" t="n">
        <v>0</v>
      </c>
      <c r="AO341" t="n">
        <v>0</v>
      </c>
      <c r="AP341" t="inlineStr">
        <is>
          <t>No</t>
        </is>
      </c>
      <c r="AQ341" t="inlineStr">
        <is>
          <t>Yes</t>
        </is>
      </c>
      <c r="AR341">
        <f>HYPERLINK("http://catalog.hathitrust.org/Record/001948850","HathiTrust Record")</f>
        <v/>
      </c>
      <c r="AS341">
        <f>HYPERLINK("https://creighton-primo.hosted.exlibrisgroup.com/primo-explore/search?tab=default_tab&amp;search_scope=EVERYTHING&amp;vid=01CRU&amp;lang=en_US&amp;offset=0&amp;query=any,contains,991001494249702656","Catalog Record")</f>
        <v/>
      </c>
      <c r="AT341">
        <f>HYPERLINK("http://www.worldcat.org/oclc/19741397","WorldCat Record")</f>
        <v/>
      </c>
      <c r="AU341" t="inlineStr">
        <is>
          <t>905781239:eng</t>
        </is>
      </c>
      <c r="AV341" t="inlineStr">
        <is>
          <t>19741397</t>
        </is>
      </c>
      <c r="AW341" t="inlineStr">
        <is>
          <t>991001494249702656</t>
        </is>
      </c>
      <c r="AX341" t="inlineStr">
        <is>
          <t>991001494249702656</t>
        </is>
      </c>
      <c r="AY341" t="inlineStr">
        <is>
          <t>2266170300002656</t>
        </is>
      </c>
      <c r="AZ341" t="inlineStr">
        <is>
          <t>BOOK</t>
        </is>
      </c>
      <c r="BB341" t="inlineStr">
        <is>
          <t>9780801838606</t>
        </is>
      </c>
      <c r="BC341" t="inlineStr">
        <is>
          <t>32285000657931</t>
        </is>
      </c>
      <c r="BD341" t="inlineStr">
        <is>
          <t>893238153</t>
        </is>
      </c>
    </row>
    <row r="342">
      <c r="A342" t="inlineStr">
        <is>
          <t>No</t>
        </is>
      </c>
      <c r="B342" t="inlineStr">
        <is>
          <t>RC394.M46 H38 1995</t>
        </is>
      </c>
      <c r="C342" t="inlineStr">
        <is>
          <t>0                      RC 0394000M  46                 H  38          1995</t>
        </is>
      </c>
      <c r="D342" t="inlineStr">
        <is>
          <t>Handbook of memory disorders / edited by Alan D. Baddeley, Barbara A. Wilson, Fraser N. Watts.</t>
        </is>
      </c>
      <c r="F342" t="inlineStr">
        <is>
          <t>No</t>
        </is>
      </c>
      <c r="G342" t="inlineStr">
        <is>
          <t>1</t>
        </is>
      </c>
      <c r="H342" t="inlineStr">
        <is>
          <t>No</t>
        </is>
      </c>
      <c r="I342" t="inlineStr">
        <is>
          <t>No</t>
        </is>
      </c>
      <c r="J342" t="inlineStr">
        <is>
          <t>0</t>
        </is>
      </c>
      <c r="L342" t="inlineStr">
        <is>
          <t>Chichester [England] ; New York : Wiley &amp; Sons, c1995.</t>
        </is>
      </c>
      <c r="M342" t="inlineStr">
        <is>
          <t>1995</t>
        </is>
      </c>
      <c r="O342" t="inlineStr">
        <is>
          <t>eng</t>
        </is>
      </c>
      <c r="P342" t="inlineStr">
        <is>
          <t>enk</t>
        </is>
      </c>
      <c r="R342" t="inlineStr">
        <is>
          <t xml:space="preserve">RC </t>
        </is>
      </c>
      <c r="S342" t="n">
        <v>12</v>
      </c>
      <c r="T342" t="n">
        <v>12</v>
      </c>
      <c r="U342" t="inlineStr">
        <is>
          <t>2004-06-11</t>
        </is>
      </c>
      <c r="V342" t="inlineStr">
        <is>
          <t>2004-06-11</t>
        </is>
      </c>
      <c r="W342" t="inlineStr">
        <is>
          <t>1996-11-20</t>
        </is>
      </c>
      <c r="X342" t="inlineStr">
        <is>
          <t>1996-11-20</t>
        </is>
      </c>
      <c r="Y342" t="n">
        <v>358</v>
      </c>
      <c r="Z342" t="n">
        <v>210</v>
      </c>
      <c r="AA342" t="n">
        <v>984</v>
      </c>
      <c r="AB342" t="n">
        <v>2</v>
      </c>
      <c r="AC342" t="n">
        <v>29</v>
      </c>
      <c r="AD342" t="n">
        <v>9</v>
      </c>
      <c r="AE342" t="n">
        <v>37</v>
      </c>
      <c r="AF342" t="n">
        <v>4</v>
      </c>
      <c r="AG342" t="n">
        <v>10</v>
      </c>
      <c r="AH342" t="n">
        <v>2</v>
      </c>
      <c r="AI342" t="n">
        <v>7</v>
      </c>
      <c r="AJ342" t="n">
        <v>6</v>
      </c>
      <c r="AK342" t="n">
        <v>14</v>
      </c>
      <c r="AL342" t="n">
        <v>1</v>
      </c>
      <c r="AM342" t="n">
        <v>14</v>
      </c>
      <c r="AN342" t="n">
        <v>0</v>
      </c>
      <c r="AO342" t="n">
        <v>0</v>
      </c>
      <c r="AP342" t="inlineStr">
        <is>
          <t>No</t>
        </is>
      </c>
      <c r="AQ342" t="inlineStr">
        <is>
          <t>Yes</t>
        </is>
      </c>
      <c r="AR342">
        <f>HYPERLINK("http://catalog.hathitrust.org/Record/002993989","HathiTrust Record")</f>
        <v/>
      </c>
      <c r="AS342">
        <f>HYPERLINK("https://creighton-primo.hosted.exlibrisgroup.com/primo-explore/search?tab=default_tab&amp;search_scope=EVERYTHING&amp;vid=01CRU&amp;lang=en_US&amp;offset=0&amp;query=any,contains,991002376759702656","Catalog Record")</f>
        <v/>
      </c>
      <c r="AT342">
        <f>HYPERLINK("http://www.worldcat.org/oclc/30895405","WorldCat Record")</f>
        <v/>
      </c>
      <c r="AU342" t="inlineStr">
        <is>
          <t>896260811:eng</t>
        </is>
      </c>
      <c r="AV342" t="inlineStr">
        <is>
          <t>30895405</t>
        </is>
      </c>
      <c r="AW342" t="inlineStr">
        <is>
          <t>991002376759702656</t>
        </is>
      </c>
      <c r="AX342" t="inlineStr">
        <is>
          <t>991002376759702656</t>
        </is>
      </c>
      <c r="AY342" t="inlineStr">
        <is>
          <t>2270944110002656</t>
        </is>
      </c>
      <c r="AZ342" t="inlineStr">
        <is>
          <t>BOOK</t>
        </is>
      </c>
      <c r="BB342" t="inlineStr">
        <is>
          <t>9780471950783</t>
        </is>
      </c>
      <c r="BC342" t="inlineStr">
        <is>
          <t>32285002374642</t>
        </is>
      </c>
      <c r="BD342" t="inlineStr">
        <is>
          <t>893691545</t>
        </is>
      </c>
    </row>
    <row r="343">
      <c r="A343" t="inlineStr">
        <is>
          <t>No</t>
        </is>
      </c>
      <c r="B343" t="inlineStr">
        <is>
          <t>RC394.M46 M39 1988</t>
        </is>
      </c>
      <c r="C343" t="inlineStr">
        <is>
          <t>0                      RC 0394000M  46                 M  39          1988</t>
        </is>
      </c>
      <c r="D343" t="inlineStr">
        <is>
          <t>Human organic memory disorders / Andrew R. Mayes.</t>
        </is>
      </c>
      <c r="F343" t="inlineStr">
        <is>
          <t>No</t>
        </is>
      </c>
      <c r="G343" t="inlineStr">
        <is>
          <t>1</t>
        </is>
      </c>
      <c r="H343" t="inlineStr">
        <is>
          <t>No</t>
        </is>
      </c>
      <c r="I343" t="inlineStr">
        <is>
          <t>No</t>
        </is>
      </c>
      <c r="J343" t="inlineStr">
        <is>
          <t>0</t>
        </is>
      </c>
      <c r="K343" t="inlineStr">
        <is>
          <t>Mayes, A. R. (Andrew Richard)</t>
        </is>
      </c>
      <c r="L343" t="inlineStr">
        <is>
          <t>Cambridge ; New York : Cambridge University Press, 1988.</t>
        </is>
      </c>
      <c r="M343" t="inlineStr">
        <is>
          <t>1988</t>
        </is>
      </c>
      <c r="O343" t="inlineStr">
        <is>
          <t>eng</t>
        </is>
      </c>
      <c r="P343" t="inlineStr">
        <is>
          <t>enk</t>
        </is>
      </c>
      <c r="Q343" t="inlineStr">
        <is>
          <t>Problems in the behavioural sciences ; 7</t>
        </is>
      </c>
      <c r="R343" t="inlineStr">
        <is>
          <t xml:space="preserve">RC </t>
        </is>
      </c>
      <c r="S343" t="n">
        <v>13</v>
      </c>
      <c r="T343" t="n">
        <v>13</v>
      </c>
      <c r="U343" t="inlineStr">
        <is>
          <t>1999-10-14</t>
        </is>
      </c>
      <c r="V343" t="inlineStr">
        <is>
          <t>1999-10-14</t>
        </is>
      </c>
      <c r="W343" t="inlineStr">
        <is>
          <t>1991-05-09</t>
        </is>
      </c>
      <c r="X343" t="inlineStr">
        <is>
          <t>1991-05-09</t>
        </is>
      </c>
      <c r="Y343" t="n">
        <v>334</v>
      </c>
      <c r="Z343" t="n">
        <v>207</v>
      </c>
      <c r="AA343" t="n">
        <v>224</v>
      </c>
      <c r="AB343" t="n">
        <v>1</v>
      </c>
      <c r="AC343" t="n">
        <v>1</v>
      </c>
      <c r="AD343" t="n">
        <v>11</v>
      </c>
      <c r="AE343" t="n">
        <v>11</v>
      </c>
      <c r="AF343" t="n">
        <v>3</v>
      </c>
      <c r="AG343" t="n">
        <v>3</v>
      </c>
      <c r="AH343" t="n">
        <v>4</v>
      </c>
      <c r="AI343" t="n">
        <v>4</v>
      </c>
      <c r="AJ343" t="n">
        <v>9</v>
      </c>
      <c r="AK343" t="n">
        <v>9</v>
      </c>
      <c r="AL343" t="n">
        <v>0</v>
      </c>
      <c r="AM343" t="n">
        <v>0</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HYPERLINK("https://creighton-primo.hosted.exlibrisgroup.com/primo-explore/search?tab=default_tab&amp;search_scope=EVERYTHING&amp;vid=01CRU&amp;lang=en_US&amp;offset=0&amp;query=any,contains,991001164469702656","Catalog Record")</f>
        <v/>
      </c>
      <c r="AT343">
        <f>HYPERLINK("http://www.worldcat.org/oclc/16921566","WorldCat Record")</f>
        <v/>
      </c>
      <c r="AU343" t="inlineStr">
        <is>
          <t>887879:eng</t>
        </is>
      </c>
      <c r="AV343" t="inlineStr">
        <is>
          <t>16921566</t>
        </is>
      </c>
      <c r="AW343" t="inlineStr">
        <is>
          <t>991001164469702656</t>
        </is>
      </c>
      <c r="AX343" t="inlineStr">
        <is>
          <t>991001164469702656</t>
        </is>
      </c>
      <c r="AY343" t="inlineStr">
        <is>
          <t>2272339930002656</t>
        </is>
      </c>
      <c r="AZ343" t="inlineStr">
        <is>
          <t>BOOK</t>
        </is>
      </c>
      <c r="BB343" t="inlineStr">
        <is>
          <t>9780521348799</t>
        </is>
      </c>
      <c r="BC343" t="inlineStr">
        <is>
          <t>32285000572528</t>
        </is>
      </c>
      <c r="BD343" t="inlineStr">
        <is>
          <t>893503153</t>
        </is>
      </c>
    </row>
    <row r="344">
      <c r="A344" t="inlineStr">
        <is>
          <t>No</t>
        </is>
      </c>
      <c r="B344" t="inlineStr">
        <is>
          <t>RC394.M46 R44 1994</t>
        </is>
      </c>
      <c r="C344" t="inlineStr">
        <is>
          <t>0                      RC 0394000M  46                 R  44          1994</t>
        </is>
      </c>
      <c r="D344" t="inlineStr">
        <is>
          <t>The clinical assessment of memory : a practical guide / Dennis Reeves, Danny Wedding.</t>
        </is>
      </c>
      <c r="F344" t="inlineStr">
        <is>
          <t>No</t>
        </is>
      </c>
      <c r="G344" t="inlineStr">
        <is>
          <t>1</t>
        </is>
      </c>
      <c r="H344" t="inlineStr">
        <is>
          <t>No</t>
        </is>
      </c>
      <c r="I344" t="inlineStr">
        <is>
          <t>No</t>
        </is>
      </c>
      <c r="J344" t="inlineStr">
        <is>
          <t>0</t>
        </is>
      </c>
      <c r="K344" t="inlineStr">
        <is>
          <t>Reeves, Dennis.</t>
        </is>
      </c>
      <c r="L344" t="inlineStr">
        <is>
          <t>New York : Springer Pub. Co., c1994.</t>
        </is>
      </c>
      <c r="M344" t="inlineStr">
        <is>
          <t>1994</t>
        </is>
      </c>
      <c r="O344" t="inlineStr">
        <is>
          <t>eng</t>
        </is>
      </c>
      <c r="P344" t="inlineStr">
        <is>
          <t>nyu</t>
        </is>
      </c>
      <c r="R344" t="inlineStr">
        <is>
          <t xml:space="preserve">RC </t>
        </is>
      </c>
      <c r="S344" t="n">
        <v>18</v>
      </c>
      <c r="T344" t="n">
        <v>18</v>
      </c>
      <c r="U344" t="inlineStr">
        <is>
          <t>2004-06-11</t>
        </is>
      </c>
      <c r="V344" t="inlineStr">
        <is>
          <t>2004-06-11</t>
        </is>
      </c>
      <c r="W344" t="inlineStr">
        <is>
          <t>1994-11-29</t>
        </is>
      </c>
      <c r="X344" t="inlineStr">
        <is>
          <t>1994-11-29</t>
        </is>
      </c>
      <c r="Y344" t="n">
        <v>203</v>
      </c>
      <c r="Z344" t="n">
        <v>177</v>
      </c>
      <c r="AA344" t="n">
        <v>180</v>
      </c>
      <c r="AB344" t="n">
        <v>1</v>
      </c>
      <c r="AC344" t="n">
        <v>1</v>
      </c>
      <c r="AD344" t="n">
        <v>5</v>
      </c>
      <c r="AE344" t="n">
        <v>5</v>
      </c>
      <c r="AF344" t="n">
        <v>2</v>
      </c>
      <c r="AG344" t="n">
        <v>2</v>
      </c>
      <c r="AH344" t="n">
        <v>3</v>
      </c>
      <c r="AI344" t="n">
        <v>3</v>
      </c>
      <c r="AJ344" t="n">
        <v>4</v>
      </c>
      <c r="AK344" t="n">
        <v>4</v>
      </c>
      <c r="AL344" t="n">
        <v>0</v>
      </c>
      <c r="AM344" t="n">
        <v>0</v>
      </c>
      <c r="AN344" t="n">
        <v>0</v>
      </c>
      <c r="AO344" t="n">
        <v>0</v>
      </c>
      <c r="AP344" t="inlineStr">
        <is>
          <t>No</t>
        </is>
      </c>
      <c r="AQ344" t="inlineStr">
        <is>
          <t>Yes</t>
        </is>
      </c>
      <c r="AR344">
        <f>HYPERLINK("http://catalog.hathitrust.org/Record/002802059","HathiTrust Record")</f>
        <v/>
      </c>
      <c r="AS344">
        <f>HYPERLINK("https://creighton-primo.hosted.exlibrisgroup.com/primo-explore/search?tab=default_tab&amp;search_scope=EVERYTHING&amp;vid=01CRU&amp;lang=en_US&amp;offset=0&amp;query=any,contains,991002245349702656","Catalog Record")</f>
        <v/>
      </c>
      <c r="AT344">
        <f>HYPERLINK("http://www.worldcat.org/oclc/28964164","WorldCat Record")</f>
        <v/>
      </c>
      <c r="AU344" t="inlineStr">
        <is>
          <t>967971:eng</t>
        </is>
      </c>
      <c r="AV344" t="inlineStr">
        <is>
          <t>28964164</t>
        </is>
      </c>
      <c r="AW344" t="inlineStr">
        <is>
          <t>991002245349702656</t>
        </is>
      </c>
      <c r="AX344" t="inlineStr">
        <is>
          <t>991002245349702656</t>
        </is>
      </c>
      <c r="AY344" t="inlineStr">
        <is>
          <t>2255226650002656</t>
        </is>
      </c>
      <c r="AZ344" t="inlineStr">
        <is>
          <t>BOOK</t>
        </is>
      </c>
      <c r="BB344" t="inlineStr">
        <is>
          <t>9780826179203</t>
        </is>
      </c>
      <c r="BC344" t="inlineStr">
        <is>
          <t>32285001959948</t>
        </is>
      </c>
      <c r="BD344" t="inlineStr">
        <is>
          <t>893421106</t>
        </is>
      </c>
    </row>
    <row r="345">
      <c r="A345" t="inlineStr">
        <is>
          <t>No</t>
        </is>
      </c>
      <c r="B345" t="inlineStr">
        <is>
          <t>RC394.W6 C7 1970</t>
        </is>
      </c>
      <c r="C345" t="inlineStr">
        <is>
          <t>0                      RC 0394000W  6                  C  7           1970</t>
        </is>
      </c>
      <c r="D345" t="inlineStr">
        <is>
          <t>The dyslexic child.</t>
        </is>
      </c>
      <c r="F345" t="inlineStr">
        <is>
          <t>No</t>
        </is>
      </c>
      <c r="G345" t="inlineStr">
        <is>
          <t>1</t>
        </is>
      </c>
      <c r="H345" t="inlineStr">
        <is>
          <t>No</t>
        </is>
      </c>
      <c r="I345" t="inlineStr">
        <is>
          <t>No</t>
        </is>
      </c>
      <c r="J345" t="inlineStr">
        <is>
          <t>0</t>
        </is>
      </c>
      <c r="K345" t="inlineStr">
        <is>
          <t>Critchley, Macdonald.</t>
        </is>
      </c>
      <c r="L345" t="inlineStr">
        <is>
          <t>London : Heinemann Medical, 1970.</t>
        </is>
      </c>
      <c r="M345" t="inlineStr">
        <is>
          <t>1970</t>
        </is>
      </c>
      <c r="N345" t="inlineStr">
        <is>
          <t>2nd ed.</t>
        </is>
      </c>
      <c r="O345" t="inlineStr">
        <is>
          <t>eng</t>
        </is>
      </c>
      <c r="P345" t="inlineStr">
        <is>
          <t>enk</t>
        </is>
      </c>
      <c r="R345" t="inlineStr">
        <is>
          <t xml:space="preserve">RC </t>
        </is>
      </c>
      <c r="S345" t="n">
        <v>15</v>
      </c>
      <c r="T345" t="n">
        <v>15</v>
      </c>
      <c r="U345" t="inlineStr">
        <is>
          <t>1998-05-27</t>
        </is>
      </c>
      <c r="V345" t="inlineStr">
        <is>
          <t>1998-05-27</t>
        </is>
      </c>
      <c r="W345" t="inlineStr">
        <is>
          <t>1991-10-17</t>
        </is>
      </c>
      <c r="X345" t="inlineStr">
        <is>
          <t>1991-10-17</t>
        </is>
      </c>
      <c r="Y345" t="n">
        <v>375</v>
      </c>
      <c r="Z345" t="n">
        <v>253</v>
      </c>
      <c r="AA345" t="n">
        <v>416</v>
      </c>
      <c r="AB345" t="n">
        <v>4</v>
      </c>
      <c r="AC345" t="n">
        <v>5</v>
      </c>
      <c r="AD345" t="n">
        <v>12</v>
      </c>
      <c r="AE345" t="n">
        <v>20</v>
      </c>
      <c r="AF345" t="n">
        <v>3</v>
      </c>
      <c r="AG345" t="n">
        <v>8</v>
      </c>
      <c r="AH345" t="n">
        <v>3</v>
      </c>
      <c r="AI345" t="n">
        <v>4</v>
      </c>
      <c r="AJ345" t="n">
        <v>6</v>
      </c>
      <c r="AK345" t="n">
        <v>11</v>
      </c>
      <c r="AL345" t="n">
        <v>3</v>
      </c>
      <c r="AM345" t="n">
        <v>4</v>
      </c>
      <c r="AN345" t="n">
        <v>0</v>
      </c>
      <c r="AO345" t="n">
        <v>0</v>
      </c>
      <c r="AP345" t="inlineStr">
        <is>
          <t>No</t>
        </is>
      </c>
      <c r="AQ345" t="inlineStr">
        <is>
          <t>Yes</t>
        </is>
      </c>
      <c r="AR345">
        <f>HYPERLINK("http://catalog.hathitrust.org/Record/000001405","HathiTrust Record")</f>
        <v/>
      </c>
      <c r="AS345">
        <f>HYPERLINK("https://creighton-primo.hosted.exlibrisgroup.com/primo-explore/search?tab=default_tab&amp;search_scope=EVERYTHING&amp;vid=01CRU&amp;lang=en_US&amp;offset=0&amp;query=any,contains,991000615999702656","Catalog Record")</f>
        <v/>
      </c>
      <c r="AT345">
        <f>HYPERLINK("http://www.worldcat.org/oclc/101705","WorldCat Record")</f>
        <v/>
      </c>
      <c r="AU345" t="inlineStr">
        <is>
          <t>1172440:eng</t>
        </is>
      </c>
      <c r="AV345" t="inlineStr">
        <is>
          <t>101705</t>
        </is>
      </c>
      <c r="AW345" t="inlineStr">
        <is>
          <t>991000615999702656</t>
        </is>
      </c>
      <c r="AX345" t="inlineStr">
        <is>
          <t>991000615999702656</t>
        </is>
      </c>
      <c r="AY345" t="inlineStr">
        <is>
          <t>2261361580002656</t>
        </is>
      </c>
      <c r="AZ345" t="inlineStr">
        <is>
          <t>BOOK</t>
        </is>
      </c>
      <c r="BB345" t="inlineStr">
        <is>
          <t>9780433067016</t>
        </is>
      </c>
      <c r="BC345" t="inlineStr">
        <is>
          <t>32285000773878</t>
        </is>
      </c>
      <c r="BD345" t="inlineStr">
        <is>
          <t>893339725</t>
        </is>
      </c>
    </row>
    <row r="346">
      <c r="A346" t="inlineStr">
        <is>
          <t>No</t>
        </is>
      </c>
      <c r="B346" t="inlineStr">
        <is>
          <t>RC394.W6 D36</t>
        </is>
      </c>
      <c r="C346" t="inlineStr">
        <is>
          <t>0                      RC 0394000W  6                  D  36</t>
        </is>
      </c>
      <c r="D346" t="inlineStr">
        <is>
          <t>Deep dyslexia / edited by Max Coltheart, Karalyn Patterson, and John C. Marshall.</t>
        </is>
      </c>
      <c r="F346" t="inlineStr">
        <is>
          <t>No</t>
        </is>
      </c>
      <c r="G346" t="inlineStr">
        <is>
          <t>1</t>
        </is>
      </c>
      <c r="H346" t="inlineStr">
        <is>
          <t>No</t>
        </is>
      </c>
      <c r="I346" t="inlineStr">
        <is>
          <t>No</t>
        </is>
      </c>
      <c r="J346" t="inlineStr">
        <is>
          <t>0</t>
        </is>
      </c>
      <c r="L346" t="inlineStr">
        <is>
          <t>London ; Boston : Routledge &amp; Kegan Paul, 1980.</t>
        </is>
      </c>
      <c r="M346" t="inlineStr">
        <is>
          <t>1980</t>
        </is>
      </c>
      <c r="O346" t="inlineStr">
        <is>
          <t>eng</t>
        </is>
      </c>
      <c r="P346" t="inlineStr">
        <is>
          <t>enk</t>
        </is>
      </c>
      <c r="Q346" t="inlineStr">
        <is>
          <t>International library of psychology</t>
        </is>
      </c>
      <c r="R346" t="inlineStr">
        <is>
          <t xml:space="preserve">RC </t>
        </is>
      </c>
      <c r="S346" t="n">
        <v>4</v>
      </c>
      <c r="T346" t="n">
        <v>4</v>
      </c>
      <c r="U346" t="inlineStr">
        <is>
          <t>1998-11-13</t>
        </is>
      </c>
      <c r="V346" t="inlineStr">
        <is>
          <t>1998-11-13</t>
        </is>
      </c>
      <c r="W346" t="inlineStr">
        <is>
          <t>1992-03-20</t>
        </is>
      </c>
      <c r="X346" t="inlineStr">
        <is>
          <t>1992-03-20</t>
        </is>
      </c>
      <c r="Y346" t="n">
        <v>388</v>
      </c>
      <c r="Z346" t="n">
        <v>241</v>
      </c>
      <c r="AA346" t="n">
        <v>287</v>
      </c>
      <c r="AB346" t="n">
        <v>1</v>
      </c>
      <c r="AC346" t="n">
        <v>1</v>
      </c>
      <c r="AD346" t="n">
        <v>11</v>
      </c>
      <c r="AE346" t="n">
        <v>12</v>
      </c>
      <c r="AF346" t="n">
        <v>2</v>
      </c>
      <c r="AG346" t="n">
        <v>2</v>
      </c>
      <c r="AH346" t="n">
        <v>3</v>
      </c>
      <c r="AI346" t="n">
        <v>3</v>
      </c>
      <c r="AJ346" t="n">
        <v>9</v>
      </c>
      <c r="AK346" t="n">
        <v>10</v>
      </c>
      <c r="AL346" t="n">
        <v>0</v>
      </c>
      <c r="AM346" t="n">
        <v>0</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HYPERLINK("https://creighton-primo.hosted.exlibrisgroup.com/primo-explore/search?tab=default_tab&amp;search_scope=EVERYTHING&amp;vid=01CRU&amp;lang=en_US&amp;offset=0&amp;query=any,contains,991005038379702656","Catalog Record")</f>
        <v/>
      </c>
      <c r="AT346">
        <f>HYPERLINK("http://www.worldcat.org/oclc/6770927","WorldCat Record")</f>
        <v/>
      </c>
      <c r="AU346" t="inlineStr">
        <is>
          <t>348880484:eng</t>
        </is>
      </c>
      <c r="AV346" t="inlineStr">
        <is>
          <t>6770927</t>
        </is>
      </c>
      <c r="AW346" t="inlineStr">
        <is>
          <t>991005038379702656</t>
        </is>
      </c>
      <c r="AX346" t="inlineStr">
        <is>
          <t>991005038379702656</t>
        </is>
      </c>
      <c r="AY346" t="inlineStr">
        <is>
          <t>2260607100002656</t>
        </is>
      </c>
      <c r="AZ346" t="inlineStr">
        <is>
          <t>BOOK</t>
        </is>
      </c>
      <c r="BB346" t="inlineStr">
        <is>
          <t>9780710004567</t>
        </is>
      </c>
      <c r="BC346" t="inlineStr">
        <is>
          <t>32285001025351</t>
        </is>
      </c>
      <c r="BD346" t="inlineStr">
        <is>
          <t>893437052</t>
        </is>
      </c>
    </row>
    <row r="347">
      <c r="A347" t="inlineStr">
        <is>
          <t>No</t>
        </is>
      </c>
      <c r="B347" t="inlineStr">
        <is>
          <t>RC394.W6 D96 1986</t>
        </is>
      </c>
      <c r="C347" t="inlineStr">
        <is>
          <t>0                      RC 0394000W  6                  D  96          1986</t>
        </is>
      </c>
      <c r="D347" t="inlineStr">
        <is>
          <t>Dyslexia : its neuropsychology and treatment / edited by George Th. Pavlidis and Dennis F. Fisher.</t>
        </is>
      </c>
      <c r="F347" t="inlineStr">
        <is>
          <t>No</t>
        </is>
      </c>
      <c r="G347" t="inlineStr">
        <is>
          <t>1</t>
        </is>
      </c>
      <c r="H347" t="inlineStr">
        <is>
          <t>No</t>
        </is>
      </c>
      <c r="I347" t="inlineStr">
        <is>
          <t>No</t>
        </is>
      </c>
      <c r="J347" t="inlineStr">
        <is>
          <t>0</t>
        </is>
      </c>
      <c r="L347" t="inlineStr">
        <is>
          <t>Chichester ; New York : Wiley, c1986.</t>
        </is>
      </c>
      <c r="M347" t="inlineStr">
        <is>
          <t>1986</t>
        </is>
      </c>
      <c r="O347" t="inlineStr">
        <is>
          <t>eng</t>
        </is>
      </c>
      <c r="P347" t="inlineStr">
        <is>
          <t>enk</t>
        </is>
      </c>
      <c r="R347" t="inlineStr">
        <is>
          <t xml:space="preserve">RC </t>
        </is>
      </c>
      <c r="S347" t="n">
        <v>14</v>
      </c>
      <c r="T347" t="n">
        <v>14</v>
      </c>
      <c r="U347" t="inlineStr">
        <is>
          <t>2000-02-04</t>
        </is>
      </c>
      <c r="V347" t="inlineStr">
        <is>
          <t>2000-02-04</t>
        </is>
      </c>
      <c r="W347" t="inlineStr">
        <is>
          <t>1992-03-20</t>
        </is>
      </c>
      <c r="X347" t="inlineStr">
        <is>
          <t>1992-03-20</t>
        </is>
      </c>
      <c r="Y347" t="n">
        <v>449</v>
      </c>
      <c r="Z347" t="n">
        <v>357</v>
      </c>
      <c r="AA347" t="n">
        <v>361</v>
      </c>
      <c r="AB347" t="n">
        <v>4</v>
      </c>
      <c r="AC347" t="n">
        <v>4</v>
      </c>
      <c r="AD347" t="n">
        <v>20</v>
      </c>
      <c r="AE347" t="n">
        <v>20</v>
      </c>
      <c r="AF347" t="n">
        <v>6</v>
      </c>
      <c r="AG347" t="n">
        <v>6</v>
      </c>
      <c r="AH347" t="n">
        <v>6</v>
      </c>
      <c r="AI347" t="n">
        <v>6</v>
      </c>
      <c r="AJ347" t="n">
        <v>11</v>
      </c>
      <c r="AK347" t="n">
        <v>11</v>
      </c>
      <c r="AL347" t="n">
        <v>3</v>
      </c>
      <c r="AM347" t="n">
        <v>3</v>
      </c>
      <c r="AN347" t="n">
        <v>0</v>
      </c>
      <c r="AO347" t="n">
        <v>0</v>
      </c>
      <c r="AP347" t="inlineStr">
        <is>
          <t>No</t>
        </is>
      </c>
      <c r="AQ347" t="inlineStr">
        <is>
          <t>Yes</t>
        </is>
      </c>
      <c r="AR347">
        <f>HYPERLINK("http://catalog.hathitrust.org/Record/000538323","HathiTrust Record")</f>
        <v/>
      </c>
      <c r="AS347">
        <f>HYPERLINK("https://creighton-primo.hosted.exlibrisgroup.com/primo-explore/search?tab=default_tab&amp;search_scope=EVERYTHING&amp;vid=01CRU&amp;lang=en_US&amp;offset=0&amp;query=any,contains,991000667309702656","Catalog Record")</f>
        <v/>
      </c>
      <c r="AT347">
        <f>HYPERLINK("http://www.worldcat.org/oclc/12286635","WorldCat Record")</f>
        <v/>
      </c>
      <c r="AU347" t="inlineStr">
        <is>
          <t>149620759:eng</t>
        </is>
      </c>
      <c r="AV347" t="inlineStr">
        <is>
          <t>12286635</t>
        </is>
      </c>
      <c r="AW347" t="inlineStr">
        <is>
          <t>991000667309702656</t>
        </is>
      </c>
      <c r="AX347" t="inlineStr">
        <is>
          <t>991000667309702656</t>
        </is>
      </c>
      <c r="AY347" t="inlineStr">
        <is>
          <t>2259227060002656</t>
        </is>
      </c>
      <c r="AZ347" t="inlineStr">
        <is>
          <t>BOOK</t>
        </is>
      </c>
      <c r="BB347" t="inlineStr">
        <is>
          <t>9780471908753</t>
        </is>
      </c>
      <c r="BC347" t="inlineStr">
        <is>
          <t>32285001025344</t>
        </is>
      </c>
      <c r="BD347" t="inlineStr">
        <is>
          <t>893515494</t>
        </is>
      </c>
    </row>
    <row r="348">
      <c r="A348" t="inlineStr">
        <is>
          <t>No</t>
        </is>
      </c>
      <c r="B348" t="inlineStr">
        <is>
          <t>RC394.W6 L478 1994</t>
        </is>
      </c>
      <c r="C348" t="inlineStr">
        <is>
          <t>0                      RC 0394000W  6                  L  478         1994</t>
        </is>
      </c>
      <c r="D348" t="inlineStr">
        <is>
          <t>A scientific Watergate, dyslexia : how and why countless millions are deprived of breakthrough medical treatment / Harold N. Levinson.</t>
        </is>
      </c>
      <c r="F348" t="inlineStr">
        <is>
          <t>No</t>
        </is>
      </c>
      <c r="G348" t="inlineStr">
        <is>
          <t>1</t>
        </is>
      </c>
      <c r="H348" t="inlineStr">
        <is>
          <t>No</t>
        </is>
      </c>
      <c r="I348" t="inlineStr">
        <is>
          <t>No</t>
        </is>
      </c>
      <c r="J348" t="inlineStr">
        <is>
          <t>0</t>
        </is>
      </c>
      <c r="K348" t="inlineStr">
        <is>
          <t>Levinson, Harold N.</t>
        </is>
      </c>
      <c r="L348" t="inlineStr">
        <is>
          <t>Lake Success, NY : Stonebridge Pub., c1994.</t>
        </is>
      </c>
      <c r="M348" t="inlineStr">
        <is>
          <t>1994</t>
        </is>
      </c>
      <c r="O348" t="inlineStr">
        <is>
          <t>eng</t>
        </is>
      </c>
      <c r="P348" t="inlineStr">
        <is>
          <t>nyu</t>
        </is>
      </c>
      <c r="R348" t="inlineStr">
        <is>
          <t xml:space="preserve">RC </t>
        </is>
      </c>
      <c r="S348" t="n">
        <v>5</v>
      </c>
      <c r="T348" t="n">
        <v>5</v>
      </c>
      <c r="U348" t="inlineStr">
        <is>
          <t>1998-05-27</t>
        </is>
      </c>
      <c r="V348" t="inlineStr">
        <is>
          <t>1998-05-27</t>
        </is>
      </c>
      <c r="W348" t="inlineStr">
        <is>
          <t>1995-01-18</t>
        </is>
      </c>
      <c r="X348" t="inlineStr">
        <is>
          <t>1995-01-18</t>
        </is>
      </c>
      <c r="Y348" t="n">
        <v>464</v>
      </c>
      <c r="Z348" t="n">
        <v>437</v>
      </c>
      <c r="AA348" t="n">
        <v>442</v>
      </c>
      <c r="AB348" t="n">
        <v>4</v>
      </c>
      <c r="AC348" t="n">
        <v>4</v>
      </c>
      <c r="AD348" t="n">
        <v>15</v>
      </c>
      <c r="AE348" t="n">
        <v>15</v>
      </c>
      <c r="AF348" t="n">
        <v>3</v>
      </c>
      <c r="AG348" t="n">
        <v>3</v>
      </c>
      <c r="AH348" t="n">
        <v>3</v>
      </c>
      <c r="AI348" t="n">
        <v>3</v>
      </c>
      <c r="AJ348" t="n">
        <v>9</v>
      </c>
      <c r="AK348" t="n">
        <v>9</v>
      </c>
      <c r="AL348" t="n">
        <v>3</v>
      </c>
      <c r="AM348" t="n">
        <v>3</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HYPERLINK("https://creighton-primo.hosted.exlibrisgroup.com/primo-explore/search?tab=default_tab&amp;search_scope=EVERYTHING&amp;vid=01CRU&amp;lang=en_US&amp;offset=0&amp;query=any,contains,991002341979702656","Catalog Record")</f>
        <v/>
      </c>
      <c r="AT348">
        <f>HYPERLINK("http://www.worldcat.org/oclc/30493827","WorldCat Record")</f>
        <v/>
      </c>
      <c r="AU348" t="inlineStr">
        <is>
          <t>355867121:eng</t>
        </is>
      </c>
      <c r="AV348" t="inlineStr">
        <is>
          <t>30493827</t>
        </is>
      </c>
      <c r="AW348" t="inlineStr">
        <is>
          <t>991002341979702656</t>
        </is>
      </c>
      <c r="AX348" t="inlineStr">
        <is>
          <t>991002341979702656</t>
        </is>
      </c>
      <c r="AY348" t="inlineStr">
        <is>
          <t>2256040550002656</t>
        </is>
      </c>
      <c r="AZ348" t="inlineStr">
        <is>
          <t>BOOK</t>
        </is>
      </c>
      <c r="BB348" t="inlineStr">
        <is>
          <t>9780963930309</t>
        </is>
      </c>
      <c r="BC348" t="inlineStr">
        <is>
          <t>32285001993525</t>
        </is>
      </c>
      <c r="BD348" t="inlineStr">
        <is>
          <t>893622175</t>
        </is>
      </c>
    </row>
    <row r="349">
      <c r="A349" t="inlineStr">
        <is>
          <t>No</t>
        </is>
      </c>
      <c r="B349" t="inlineStr">
        <is>
          <t>RC394.W6 L48 1984</t>
        </is>
      </c>
      <c r="C349" t="inlineStr">
        <is>
          <t>0                      RC 0394000W  6                  L  48          1984</t>
        </is>
      </c>
      <c r="D349" t="inlineStr">
        <is>
          <t>Smart but feeling dumb / Harold N. Levinson.</t>
        </is>
      </c>
      <c r="F349" t="inlineStr">
        <is>
          <t>No</t>
        </is>
      </c>
      <c r="G349" t="inlineStr">
        <is>
          <t>1</t>
        </is>
      </c>
      <c r="H349" t="inlineStr">
        <is>
          <t>No</t>
        </is>
      </c>
      <c r="I349" t="inlineStr">
        <is>
          <t>No</t>
        </is>
      </c>
      <c r="J349" t="inlineStr">
        <is>
          <t>0</t>
        </is>
      </c>
      <c r="K349" t="inlineStr">
        <is>
          <t>Levinson, Harold N.</t>
        </is>
      </c>
      <c r="L349" t="inlineStr">
        <is>
          <t>New York, NY : Warner Books, c1984.</t>
        </is>
      </c>
      <c r="M349" t="inlineStr">
        <is>
          <t>1984</t>
        </is>
      </c>
      <c r="O349" t="inlineStr">
        <is>
          <t>eng</t>
        </is>
      </c>
      <c r="P349" t="inlineStr">
        <is>
          <t>nyu</t>
        </is>
      </c>
      <c r="R349" t="inlineStr">
        <is>
          <t xml:space="preserve">RC </t>
        </is>
      </c>
      <c r="S349" t="n">
        <v>12</v>
      </c>
      <c r="T349" t="n">
        <v>12</v>
      </c>
      <c r="U349" t="inlineStr">
        <is>
          <t>2006-11-02</t>
        </is>
      </c>
      <c r="V349" t="inlineStr">
        <is>
          <t>2006-11-02</t>
        </is>
      </c>
      <c r="W349" t="inlineStr">
        <is>
          <t>1992-07-27</t>
        </is>
      </c>
      <c r="X349" t="inlineStr">
        <is>
          <t>1992-07-27</t>
        </is>
      </c>
      <c r="Y349" t="n">
        <v>1194</v>
      </c>
      <c r="Z349" t="n">
        <v>1146</v>
      </c>
      <c r="AA349" t="n">
        <v>1265</v>
      </c>
      <c r="AB349" t="n">
        <v>6</v>
      </c>
      <c r="AC349" t="n">
        <v>7</v>
      </c>
      <c r="AD349" t="n">
        <v>26</v>
      </c>
      <c r="AE349" t="n">
        <v>28</v>
      </c>
      <c r="AF349" t="n">
        <v>8</v>
      </c>
      <c r="AG349" t="n">
        <v>9</v>
      </c>
      <c r="AH349" t="n">
        <v>5</v>
      </c>
      <c r="AI349" t="n">
        <v>5</v>
      </c>
      <c r="AJ349" t="n">
        <v>18</v>
      </c>
      <c r="AK349" t="n">
        <v>18</v>
      </c>
      <c r="AL349" t="n">
        <v>2</v>
      </c>
      <c r="AM349" t="n">
        <v>3</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HYPERLINK("https://creighton-primo.hosted.exlibrisgroup.com/primo-explore/search?tab=default_tab&amp;search_scope=EVERYTHING&amp;vid=01CRU&amp;lang=en_US&amp;offset=0&amp;query=any,contains,991000414759702656","Catalog Record")</f>
        <v/>
      </c>
      <c r="AT349">
        <f>HYPERLINK("http://www.worldcat.org/oclc/10723904","WorldCat Record")</f>
        <v/>
      </c>
      <c r="AU349" t="inlineStr">
        <is>
          <t>701695:eng</t>
        </is>
      </c>
      <c r="AV349" t="inlineStr">
        <is>
          <t>10723904</t>
        </is>
      </c>
      <c r="AW349" t="inlineStr">
        <is>
          <t>991000414759702656</t>
        </is>
      </c>
      <c r="AX349" t="inlineStr">
        <is>
          <t>991000414759702656</t>
        </is>
      </c>
      <c r="AY349" t="inlineStr">
        <is>
          <t>2260803690002656</t>
        </is>
      </c>
      <c r="AZ349" t="inlineStr">
        <is>
          <t>BOOK</t>
        </is>
      </c>
      <c r="BB349" t="inlineStr">
        <is>
          <t>9780446513074</t>
        </is>
      </c>
      <c r="BC349" t="inlineStr">
        <is>
          <t>32285001206449</t>
        </is>
      </c>
      <c r="BD349" t="inlineStr">
        <is>
          <t>893896855</t>
        </is>
      </c>
    </row>
    <row r="350">
      <c r="A350" t="inlineStr">
        <is>
          <t>No</t>
        </is>
      </c>
      <c r="B350" t="inlineStr">
        <is>
          <t>RC394.W6 N67 1997</t>
        </is>
      </c>
      <c r="C350" t="inlineStr">
        <is>
          <t>0                      RC 0394000W  6                  N  67          1997</t>
        </is>
      </c>
      <c r="D350" t="inlineStr">
        <is>
          <t>Dyslexia in adults : take charge of your life / Kathleen Nosek.</t>
        </is>
      </c>
      <c r="F350" t="inlineStr">
        <is>
          <t>No</t>
        </is>
      </c>
      <c r="G350" t="inlineStr">
        <is>
          <t>1</t>
        </is>
      </c>
      <c r="H350" t="inlineStr">
        <is>
          <t>No</t>
        </is>
      </c>
      <c r="I350" t="inlineStr">
        <is>
          <t>No</t>
        </is>
      </c>
      <c r="J350" t="inlineStr">
        <is>
          <t>0</t>
        </is>
      </c>
      <c r="K350" t="inlineStr">
        <is>
          <t>Nosek, Kathleen.</t>
        </is>
      </c>
      <c r="L350" t="inlineStr">
        <is>
          <t>Dallas, Texas : Taylor Pub., 1997.</t>
        </is>
      </c>
      <c r="M350" t="inlineStr">
        <is>
          <t>1997</t>
        </is>
      </c>
      <c r="O350" t="inlineStr">
        <is>
          <t>eng</t>
        </is>
      </c>
      <c r="P350" t="inlineStr">
        <is>
          <t>txu</t>
        </is>
      </c>
      <c r="R350" t="inlineStr">
        <is>
          <t xml:space="preserve">RC </t>
        </is>
      </c>
      <c r="S350" t="n">
        <v>12</v>
      </c>
      <c r="T350" t="n">
        <v>12</v>
      </c>
      <c r="U350" t="inlineStr">
        <is>
          <t>2008-09-13</t>
        </is>
      </c>
      <c r="V350" t="inlineStr">
        <is>
          <t>2008-09-13</t>
        </is>
      </c>
      <c r="W350" t="inlineStr">
        <is>
          <t>1997-07-22</t>
        </is>
      </c>
      <c r="X350" t="inlineStr">
        <is>
          <t>1997-07-22</t>
        </is>
      </c>
      <c r="Y350" t="n">
        <v>244</v>
      </c>
      <c r="Z350" t="n">
        <v>218</v>
      </c>
      <c r="AA350" t="n">
        <v>238</v>
      </c>
      <c r="AB350" t="n">
        <v>2</v>
      </c>
      <c r="AC350" t="n">
        <v>2</v>
      </c>
      <c r="AD350" t="n">
        <v>2</v>
      </c>
      <c r="AE350" t="n">
        <v>3</v>
      </c>
      <c r="AF350" t="n">
        <v>1</v>
      </c>
      <c r="AG350" t="n">
        <v>2</v>
      </c>
      <c r="AH350" t="n">
        <v>0</v>
      </c>
      <c r="AI350" t="n">
        <v>1</v>
      </c>
      <c r="AJ350" t="n">
        <v>0</v>
      </c>
      <c r="AK350" t="n">
        <v>0</v>
      </c>
      <c r="AL350" t="n">
        <v>1</v>
      </c>
      <c r="AM350" t="n">
        <v>1</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HYPERLINK("https://creighton-primo.hosted.exlibrisgroup.com/primo-explore/search?tab=default_tab&amp;search_scope=EVERYTHING&amp;vid=01CRU&amp;lang=en_US&amp;offset=0&amp;query=any,contains,991002745689702656","Catalog Record")</f>
        <v/>
      </c>
      <c r="AT350">
        <f>HYPERLINK("http://www.worldcat.org/oclc/36037771","WorldCat Record")</f>
        <v/>
      </c>
      <c r="AU350" t="inlineStr">
        <is>
          <t>1102619433:eng</t>
        </is>
      </c>
      <c r="AV350" t="inlineStr">
        <is>
          <t>36037771</t>
        </is>
      </c>
      <c r="AW350" t="inlineStr">
        <is>
          <t>991002745689702656</t>
        </is>
      </c>
      <c r="AX350" t="inlineStr">
        <is>
          <t>991002745689702656</t>
        </is>
      </c>
      <c r="AY350" t="inlineStr">
        <is>
          <t>2256761040002656</t>
        </is>
      </c>
      <c r="AZ350" t="inlineStr">
        <is>
          <t>BOOK</t>
        </is>
      </c>
      <c r="BB350" t="inlineStr">
        <is>
          <t>9780878339488</t>
        </is>
      </c>
      <c r="BC350" t="inlineStr">
        <is>
          <t>32285002883535</t>
        </is>
      </c>
      <c r="BD350" t="inlineStr">
        <is>
          <t>893873926</t>
        </is>
      </c>
    </row>
    <row r="351">
      <c r="A351" t="inlineStr">
        <is>
          <t>No</t>
        </is>
      </c>
      <c r="B351" t="inlineStr">
        <is>
          <t>RC394.W6 P47 1990</t>
        </is>
      </c>
      <c r="C351" t="inlineStr">
        <is>
          <t>0                      RC 0394000W  6                  P  47          1990</t>
        </is>
      </c>
      <c r="D351" t="inlineStr">
        <is>
          <t>Perspectives on dyslexia / edited by George Th. Pavlidis.</t>
        </is>
      </c>
      <c r="F351" t="inlineStr">
        <is>
          <t>Yes</t>
        </is>
      </c>
      <c r="G351" t="inlineStr">
        <is>
          <t>1</t>
        </is>
      </c>
      <c r="H351" t="inlineStr">
        <is>
          <t>No</t>
        </is>
      </c>
      <c r="I351" t="inlineStr">
        <is>
          <t>No</t>
        </is>
      </c>
      <c r="J351" t="inlineStr">
        <is>
          <t>0</t>
        </is>
      </c>
      <c r="L351" t="inlineStr">
        <is>
          <t>Chichester ; New York : Wiley, c1990.</t>
        </is>
      </c>
      <c r="M351" t="inlineStr">
        <is>
          <t>1990</t>
        </is>
      </c>
      <c r="O351" t="inlineStr">
        <is>
          <t>eng</t>
        </is>
      </c>
      <c r="P351" t="inlineStr">
        <is>
          <t>enk</t>
        </is>
      </c>
      <c r="R351" t="inlineStr">
        <is>
          <t xml:space="preserve">RC </t>
        </is>
      </c>
      <c r="S351" t="n">
        <v>9</v>
      </c>
      <c r="T351" t="n">
        <v>9</v>
      </c>
      <c r="U351" t="inlineStr">
        <is>
          <t>1998-02-01</t>
        </is>
      </c>
      <c r="V351" t="inlineStr">
        <is>
          <t>1998-02-01</t>
        </is>
      </c>
      <c r="W351" t="inlineStr">
        <is>
          <t>1990-12-07</t>
        </is>
      </c>
      <c r="X351" t="inlineStr">
        <is>
          <t>1990-12-07</t>
        </is>
      </c>
      <c r="Y351" t="n">
        <v>142</v>
      </c>
      <c r="Z351" t="n">
        <v>96</v>
      </c>
      <c r="AA351" t="n">
        <v>98</v>
      </c>
      <c r="AB351" t="n">
        <v>2</v>
      </c>
      <c r="AC351" t="n">
        <v>2</v>
      </c>
      <c r="AD351" t="n">
        <v>4</v>
      </c>
      <c r="AE351" t="n">
        <v>4</v>
      </c>
      <c r="AF351" t="n">
        <v>1</v>
      </c>
      <c r="AG351" t="n">
        <v>1</v>
      </c>
      <c r="AH351" t="n">
        <v>1</v>
      </c>
      <c r="AI351" t="n">
        <v>1</v>
      </c>
      <c r="AJ351" t="n">
        <v>1</v>
      </c>
      <c r="AK351" t="n">
        <v>1</v>
      </c>
      <c r="AL351" t="n">
        <v>1</v>
      </c>
      <c r="AM351" t="n">
        <v>1</v>
      </c>
      <c r="AN351" t="n">
        <v>0</v>
      </c>
      <c r="AO351" t="n">
        <v>0</v>
      </c>
      <c r="AP351" t="inlineStr">
        <is>
          <t>No</t>
        </is>
      </c>
      <c r="AQ351" t="inlineStr">
        <is>
          <t>Yes</t>
        </is>
      </c>
      <c r="AR351">
        <f>HYPERLINK("http://catalog.hathitrust.org/Record/002056921","HathiTrust Record")</f>
        <v/>
      </c>
      <c r="AS351">
        <f>HYPERLINK("https://creighton-primo.hosted.exlibrisgroup.com/primo-explore/search?tab=default_tab&amp;search_scope=EVERYTHING&amp;vid=01CRU&amp;lang=en_US&amp;offset=0&amp;query=any,contains,991001574639702656","Catalog Record")</f>
        <v/>
      </c>
      <c r="AT351">
        <f>HYPERLINK("http://www.worldcat.org/oclc/20421523","WorldCat Record")</f>
        <v/>
      </c>
      <c r="AU351" t="inlineStr">
        <is>
          <t>55252930:eng</t>
        </is>
      </c>
      <c r="AV351" t="inlineStr">
        <is>
          <t>20421523</t>
        </is>
      </c>
      <c r="AW351" t="inlineStr">
        <is>
          <t>991001574639702656</t>
        </is>
      </c>
      <c r="AX351" t="inlineStr">
        <is>
          <t>991001574639702656</t>
        </is>
      </c>
      <c r="AY351" t="inlineStr">
        <is>
          <t>2265468010002656</t>
        </is>
      </c>
      <c r="AZ351" t="inlineStr">
        <is>
          <t>BOOK</t>
        </is>
      </c>
      <c r="BB351" t="inlineStr">
        <is>
          <t>9780471924845</t>
        </is>
      </c>
      <c r="BC351" t="inlineStr">
        <is>
          <t>32285000359009</t>
        </is>
      </c>
      <c r="BD351" t="inlineStr">
        <is>
          <t>893509695</t>
        </is>
      </c>
    </row>
    <row r="352">
      <c r="A352" t="inlineStr">
        <is>
          <t>No</t>
        </is>
      </c>
      <c r="B352" t="inlineStr">
        <is>
          <t>RC394.W6 P57</t>
        </is>
      </c>
      <c r="C352" t="inlineStr">
        <is>
          <t>0                      RC 0394000W  6                  P  57</t>
        </is>
      </c>
      <c r="D352" t="inlineStr">
        <is>
          <t>The neuropsychology of developmental reading disorders / Francis J. Pirozzolo.</t>
        </is>
      </c>
      <c r="F352" t="inlineStr">
        <is>
          <t>No</t>
        </is>
      </c>
      <c r="G352" t="inlineStr">
        <is>
          <t>1</t>
        </is>
      </c>
      <c r="H352" t="inlineStr">
        <is>
          <t>No</t>
        </is>
      </c>
      <c r="I352" t="inlineStr">
        <is>
          <t>No</t>
        </is>
      </c>
      <c r="J352" t="inlineStr">
        <is>
          <t>0</t>
        </is>
      </c>
      <c r="K352" t="inlineStr">
        <is>
          <t>Pirozzolo, Francis J.</t>
        </is>
      </c>
      <c r="L352" t="inlineStr">
        <is>
          <t>New York : Praeger, 1979.</t>
        </is>
      </c>
      <c r="M352" t="inlineStr">
        <is>
          <t>1979</t>
        </is>
      </c>
      <c r="O352" t="inlineStr">
        <is>
          <t>eng</t>
        </is>
      </c>
      <c r="P352" t="inlineStr">
        <is>
          <t>nyu</t>
        </is>
      </c>
      <c r="R352" t="inlineStr">
        <is>
          <t xml:space="preserve">RC </t>
        </is>
      </c>
      <c r="S352" t="n">
        <v>3</v>
      </c>
      <c r="T352" t="n">
        <v>3</v>
      </c>
      <c r="U352" t="inlineStr">
        <is>
          <t>1998-11-13</t>
        </is>
      </c>
      <c r="V352" t="inlineStr">
        <is>
          <t>1998-11-13</t>
        </is>
      </c>
      <c r="W352" t="inlineStr">
        <is>
          <t>1993-03-18</t>
        </is>
      </c>
      <c r="X352" t="inlineStr">
        <is>
          <t>1993-03-18</t>
        </is>
      </c>
      <c r="Y352" t="n">
        <v>311</v>
      </c>
      <c r="Z352" t="n">
        <v>233</v>
      </c>
      <c r="AA352" t="n">
        <v>233</v>
      </c>
      <c r="AB352" t="n">
        <v>2</v>
      </c>
      <c r="AC352" t="n">
        <v>2</v>
      </c>
      <c r="AD352" t="n">
        <v>6</v>
      </c>
      <c r="AE352" t="n">
        <v>6</v>
      </c>
      <c r="AF352" t="n">
        <v>1</v>
      </c>
      <c r="AG352" t="n">
        <v>1</v>
      </c>
      <c r="AH352" t="n">
        <v>2</v>
      </c>
      <c r="AI352" t="n">
        <v>2</v>
      </c>
      <c r="AJ352" t="n">
        <v>4</v>
      </c>
      <c r="AK352" t="n">
        <v>4</v>
      </c>
      <c r="AL352" t="n">
        <v>1</v>
      </c>
      <c r="AM352" t="n">
        <v>1</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HYPERLINK("https://creighton-primo.hosted.exlibrisgroup.com/primo-explore/search?tab=default_tab&amp;search_scope=EVERYTHING&amp;vid=01CRU&amp;lang=en_US&amp;offset=0&amp;query=any,contains,991004657059702656","Catalog Record")</f>
        <v/>
      </c>
      <c r="AT352">
        <f>HYPERLINK("http://www.worldcat.org/oclc/4495631","WorldCat Record")</f>
        <v/>
      </c>
      <c r="AU352" t="inlineStr">
        <is>
          <t>14772617:eng</t>
        </is>
      </c>
      <c r="AV352" t="inlineStr">
        <is>
          <t>4495631</t>
        </is>
      </c>
      <c r="AW352" t="inlineStr">
        <is>
          <t>991004657059702656</t>
        </is>
      </c>
      <c r="AX352" t="inlineStr">
        <is>
          <t>991004657059702656</t>
        </is>
      </c>
      <c r="AY352" t="inlineStr">
        <is>
          <t>2268101370002656</t>
        </is>
      </c>
      <c r="AZ352" t="inlineStr">
        <is>
          <t>BOOK</t>
        </is>
      </c>
      <c r="BB352" t="inlineStr">
        <is>
          <t>9780030461217</t>
        </is>
      </c>
      <c r="BC352" t="inlineStr">
        <is>
          <t>32285001589695</t>
        </is>
      </c>
      <c r="BD352" t="inlineStr">
        <is>
          <t>893526361</t>
        </is>
      </c>
    </row>
    <row r="353">
      <c r="A353" t="inlineStr">
        <is>
          <t>No</t>
        </is>
      </c>
      <c r="B353" t="inlineStr">
        <is>
          <t>RC394.W6 R4 1982</t>
        </is>
      </c>
      <c r="C353" t="inlineStr">
        <is>
          <t>0                      RC 0394000W  6                  R  4           1982</t>
        </is>
      </c>
      <c r="D353" t="inlineStr">
        <is>
          <t>Reading disorders : varieties and treatments / edited by R.N. Malatesha, P.G. Aaron ; with a foreword by O.L. Zangwill.</t>
        </is>
      </c>
      <c r="F353" t="inlineStr">
        <is>
          <t>No</t>
        </is>
      </c>
      <c r="G353" t="inlineStr">
        <is>
          <t>1</t>
        </is>
      </c>
      <c r="H353" t="inlineStr">
        <is>
          <t>No</t>
        </is>
      </c>
      <c r="I353" t="inlineStr">
        <is>
          <t>No</t>
        </is>
      </c>
      <c r="J353" t="inlineStr">
        <is>
          <t>0</t>
        </is>
      </c>
      <c r="L353" t="inlineStr">
        <is>
          <t>New York : Academic Press, 1982.</t>
        </is>
      </c>
      <c r="M353" t="inlineStr">
        <is>
          <t>1982</t>
        </is>
      </c>
      <c r="O353" t="inlineStr">
        <is>
          <t>eng</t>
        </is>
      </c>
      <c r="P353" t="inlineStr">
        <is>
          <t>nyu</t>
        </is>
      </c>
      <c r="Q353" t="inlineStr">
        <is>
          <t>Perspectives in neurolinguistics, neuropsychology, and psycholinguistics</t>
        </is>
      </c>
      <c r="R353" t="inlineStr">
        <is>
          <t xml:space="preserve">RC </t>
        </is>
      </c>
      <c r="S353" t="n">
        <v>4</v>
      </c>
      <c r="T353" t="n">
        <v>4</v>
      </c>
      <c r="U353" t="inlineStr">
        <is>
          <t>1996-10-18</t>
        </is>
      </c>
      <c r="V353" t="inlineStr">
        <is>
          <t>1996-10-18</t>
        </is>
      </c>
      <c r="W353" t="inlineStr">
        <is>
          <t>1993-03-18</t>
        </is>
      </c>
      <c r="X353" t="inlineStr">
        <is>
          <t>1993-03-18</t>
        </is>
      </c>
      <c r="Y353" t="n">
        <v>508</v>
      </c>
      <c r="Z353" t="n">
        <v>392</v>
      </c>
      <c r="AA353" t="n">
        <v>397</v>
      </c>
      <c r="AB353" t="n">
        <v>3</v>
      </c>
      <c r="AC353" t="n">
        <v>3</v>
      </c>
      <c r="AD353" t="n">
        <v>12</v>
      </c>
      <c r="AE353" t="n">
        <v>12</v>
      </c>
      <c r="AF353" t="n">
        <v>2</v>
      </c>
      <c r="AG353" t="n">
        <v>2</v>
      </c>
      <c r="AH353" t="n">
        <v>3</v>
      </c>
      <c r="AI353" t="n">
        <v>3</v>
      </c>
      <c r="AJ353" t="n">
        <v>7</v>
      </c>
      <c r="AK353" t="n">
        <v>7</v>
      </c>
      <c r="AL353" t="n">
        <v>2</v>
      </c>
      <c r="AM353" t="n">
        <v>2</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HYPERLINK("https://creighton-primo.hosted.exlibrisgroup.com/primo-explore/search?tab=default_tab&amp;search_scope=EVERYTHING&amp;vid=01CRU&amp;lang=en_US&amp;offset=0&amp;query=any,contains,991005228999702656","Catalog Record")</f>
        <v/>
      </c>
      <c r="AT353">
        <f>HYPERLINK("http://www.worldcat.org/oclc/8305907","WorldCat Record")</f>
        <v/>
      </c>
      <c r="AU353" t="inlineStr">
        <is>
          <t>889804141:eng</t>
        </is>
      </c>
      <c r="AV353" t="inlineStr">
        <is>
          <t>8305907</t>
        </is>
      </c>
      <c r="AW353" t="inlineStr">
        <is>
          <t>991005228999702656</t>
        </is>
      </c>
      <c r="AX353" t="inlineStr">
        <is>
          <t>991005228999702656</t>
        </is>
      </c>
      <c r="AY353" t="inlineStr">
        <is>
          <t>2269330600002656</t>
        </is>
      </c>
      <c r="AZ353" t="inlineStr">
        <is>
          <t>BOOK</t>
        </is>
      </c>
      <c r="BB353" t="inlineStr">
        <is>
          <t>9780124663206</t>
        </is>
      </c>
      <c r="BC353" t="inlineStr">
        <is>
          <t>32285001589703</t>
        </is>
      </c>
      <c r="BD353" t="inlineStr">
        <is>
          <t>893902328</t>
        </is>
      </c>
    </row>
    <row r="354">
      <c r="A354" t="inlineStr">
        <is>
          <t>No</t>
        </is>
      </c>
      <c r="B354" t="inlineStr">
        <is>
          <t>RC394.W6 S49 1981</t>
        </is>
      </c>
      <c r="C354" t="inlineStr">
        <is>
          <t>0                      RC 0394000W  6                  S  49          1981</t>
        </is>
      </c>
      <c r="D354" t="inlineStr">
        <is>
          <t>Sex differences in dyslexia / edited by Alice Ansara ... [et al.].</t>
        </is>
      </c>
      <c r="F354" t="inlineStr">
        <is>
          <t>No</t>
        </is>
      </c>
      <c r="G354" t="inlineStr">
        <is>
          <t>1</t>
        </is>
      </c>
      <c r="H354" t="inlineStr">
        <is>
          <t>No</t>
        </is>
      </c>
      <c r="I354" t="inlineStr">
        <is>
          <t>No</t>
        </is>
      </c>
      <c r="J354" t="inlineStr">
        <is>
          <t>0</t>
        </is>
      </c>
      <c r="L354" t="inlineStr">
        <is>
          <t>Towson, Md. : Orton Dyslexia Society, 1981.</t>
        </is>
      </c>
      <c r="M354" t="inlineStr">
        <is>
          <t>1981</t>
        </is>
      </c>
      <c r="O354" t="inlineStr">
        <is>
          <t>eng</t>
        </is>
      </c>
      <c r="P354" t="inlineStr">
        <is>
          <t>mdu</t>
        </is>
      </c>
      <c r="R354" t="inlineStr">
        <is>
          <t xml:space="preserve">RC </t>
        </is>
      </c>
      <c r="S354" t="n">
        <v>4</v>
      </c>
      <c r="T354" t="n">
        <v>4</v>
      </c>
      <c r="U354" t="inlineStr">
        <is>
          <t>1995-04-30</t>
        </is>
      </c>
      <c r="V354" t="inlineStr">
        <is>
          <t>1995-04-30</t>
        </is>
      </c>
      <c r="W354" t="inlineStr">
        <is>
          <t>1993-03-23</t>
        </is>
      </c>
      <c r="X354" t="inlineStr">
        <is>
          <t>1993-03-23</t>
        </is>
      </c>
      <c r="Y354" t="n">
        <v>191</v>
      </c>
      <c r="Z354" t="n">
        <v>168</v>
      </c>
      <c r="AA354" t="n">
        <v>170</v>
      </c>
      <c r="AB354" t="n">
        <v>2</v>
      </c>
      <c r="AC354" t="n">
        <v>2</v>
      </c>
      <c r="AD354" t="n">
        <v>3</v>
      </c>
      <c r="AE354" t="n">
        <v>3</v>
      </c>
      <c r="AF354" t="n">
        <v>0</v>
      </c>
      <c r="AG354" t="n">
        <v>0</v>
      </c>
      <c r="AH354" t="n">
        <v>1</v>
      </c>
      <c r="AI354" t="n">
        <v>1</v>
      </c>
      <c r="AJ354" t="n">
        <v>1</v>
      </c>
      <c r="AK354" t="n">
        <v>1</v>
      </c>
      <c r="AL354" t="n">
        <v>1</v>
      </c>
      <c r="AM354" t="n">
        <v>1</v>
      </c>
      <c r="AN354" t="n">
        <v>0</v>
      </c>
      <c r="AO354" t="n">
        <v>0</v>
      </c>
      <c r="AP354" t="inlineStr">
        <is>
          <t>No</t>
        </is>
      </c>
      <c r="AQ354" t="inlineStr">
        <is>
          <t>Yes</t>
        </is>
      </c>
      <c r="AR354">
        <f>HYPERLINK("http://catalog.hathitrust.org/Record/000125788","HathiTrust Record")</f>
        <v/>
      </c>
      <c r="AS354">
        <f>HYPERLINK("https://creighton-primo.hosted.exlibrisgroup.com/primo-explore/search?tab=default_tab&amp;search_scope=EVERYTHING&amp;vid=01CRU&amp;lang=en_US&amp;offset=0&amp;query=any,contains,991000045579702656","Catalog Record")</f>
        <v/>
      </c>
      <c r="AT354">
        <f>HYPERLINK("http://www.worldcat.org/oclc/8668591","WorldCat Record")</f>
        <v/>
      </c>
      <c r="AU354" t="inlineStr">
        <is>
          <t>434034048:eng</t>
        </is>
      </c>
      <c r="AV354" t="inlineStr">
        <is>
          <t>8668591</t>
        </is>
      </c>
      <c r="AW354" t="inlineStr">
        <is>
          <t>991000045579702656</t>
        </is>
      </c>
      <c r="AX354" t="inlineStr">
        <is>
          <t>991000045579702656</t>
        </is>
      </c>
      <c r="AY354" t="inlineStr">
        <is>
          <t>2270310130002656</t>
        </is>
      </c>
      <c r="AZ354" t="inlineStr">
        <is>
          <t>BOOK</t>
        </is>
      </c>
      <c r="BC354" t="inlineStr">
        <is>
          <t>32285001578383</t>
        </is>
      </c>
      <c r="BD354" t="inlineStr">
        <is>
          <t>893890348</t>
        </is>
      </c>
    </row>
    <row r="355">
      <c r="A355" t="inlineStr">
        <is>
          <t>No</t>
        </is>
      </c>
      <c r="B355" t="inlineStr">
        <is>
          <t>RC394.W6 S87 1985</t>
        </is>
      </c>
      <c r="C355" t="inlineStr">
        <is>
          <t>0                      RC 0394000W  6                  S  87          1985</t>
        </is>
      </c>
      <c r="D355" t="inlineStr">
        <is>
          <t>Surface dyslexia : neuropsychological and cognitive studies of phonological reading / edited by K.E. Patterson, J.C. Marshall and M. Coltheart.</t>
        </is>
      </c>
      <c r="F355" t="inlineStr">
        <is>
          <t>No</t>
        </is>
      </c>
      <c r="G355" t="inlineStr">
        <is>
          <t>1</t>
        </is>
      </c>
      <c r="H355" t="inlineStr">
        <is>
          <t>No</t>
        </is>
      </c>
      <c r="I355" t="inlineStr">
        <is>
          <t>No</t>
        </is>
      </c>
      <c r="J355" t="inlineStr">
        <is>
          <t>0</t>
        </is>
      </c>
      <c r="L355" t="inlineStr">
        <is>
          <t>London : Erlbaum, c1985.</t>
        </is>
      </c>
      <c r="M355" t="inlineStr">
        <is>
          <t>1985</t>
        </is>
      </c>
      <c r="O355" t="inlineStr">
        <is>
          <t>eng</t>
        </is>
      </c>
      <c r="P355" t="inlineStr">
        <is>
          <t>enk</t>
        </is>
      </c>
      <c r="R355" t="inlineStr">
        <is>
          <t xml:space="preserve">RC </t>
        </is>
      </c>
      <c r="S355" t="n">
        <v>3</v>
      </c>
      <c r="T355" t="n">
        <v>3</v>
      </c>
      <c r="U355" t="inlineStr">
        <is>
          <t>1995-04-30</t>
        </is>
      </c>
      <c r="V355" t="inlineStr">
        <is>
          <t>1995-04-30</t>
        </is>
      </c>
      <c r="W355" t="inlineStr">
        <is>
          <t>1993-03-18</t>
        </is>
      </c>
      <c r="X355" t="inlineStr">
        <is>
          <t>1993-03-18</t>
        </is>
      </c>
      <c r="Y355" t="n">
        <v>334</v>
      </c>
      <c r="Z355" t="n">
        <v>238</v>
      </c>
      <c r="AA355" t="n">
        <v>260</v>
      </c>
      <c r="AB355" t="n">
        <v>3</v>
      </c>
      <c r="AC355" t="n">
        <v>3</v>
      </c>
      <c r="AD355" t="n">
        <v>12</v>
      </c>
      <c r="AE355" t="n">
        <v>12</v>
      </c>
      <c r="AF355" t="n">
        <v>4</v>
      </c>
      <c r="AG355" t="n">
        <v>4</v>
      </c>
      <c r="AH355" t="n">
        <v>3</v>
      </c>
      <c r="AI355" t="n">
        <v>3</v>
      </c>
      <c r="AJ355" t="n">
        <v>6</v>
      </c>
      <c r="AK355" t="n">
        <v>6</v>
      </c>
      <c r="AL355" t="n">
        <v>2</v>
      </c>
      <c r="AM355" t="n">
        <v>2</v>
      </c>
      <c r="AN355" t="n">
        <v>0</v>
      </c>
      <c r="AO355" t="n">
        <v>0</v>
      </c>
      <c r="AP355" t="inlineStr">
        <is>
          <t>No</t>
        </is>
      </c>
      <c r="AQ355" t="inlineStr">
        <is>
          <t>Yes</t>
        </is>
      </c>
      <c r="AR355">
        <f>HYPERLINK("http://catalog.hathitrust.org/Record/000477342","HathiTrust Record")</f>
        <v/>
      </c>
      <c r="AS355">
        <f>HYPERLINK("https://creighton-primo.hosted.exlibrisgroup.com/primo-explore/search?tab=default_tab&amp;search_scope=EVERYTHING&amp;vid=01CRU&amp;lang=en_US&amp;offset=0&amp;query=any,contains,991000715099702656","Catalog Record")</f>
        <v/>
      </c>
      <c r="AT355">
        <f>HYPERLINK("http://www.worldcat.org/oclc/14905512","WorldCat Record")</f>
        <v/>
      </c>
      <c r="AU355" t="inlineStr">
        <is>
          <t>836694062:eng</t>
        </is>
      </c>
      <c r="AV355" t="inlineStr">
        <is>
          <t>14905512</t>
        </is>
      </c>
      <c r="AW355" t="inlineStr">
        <is>
          <t>991000715099702656</t>
        </is>
      </c>
      <c r="AX355" t="inlineStr">
        <is>
          <t>991000715099702656</t>
        </is>
      </c>
      <c r="AY355" t="inlineStr">
        <is>
          <t>2260028960002656</t>
        </is>
      </c>
      <c r="AZ355" t="inlineStr">
        <is>
          <t>BOOK</t>
        </is>
      </c>
      <c r="BB355" t="inlineStr">
        <is>
          <t>9780863770265</t>
        </is>
      </c>
      <c r="BC355" t="inlineStr">
        <is>
          <t>32285001589711</t>
        </is>
      </c>
      <c r="BD355" t="inlineStr">
        <is>
          <t>893878294</t>
        </is>
      </c>
    </row>
    <row r="356">
      <c r="A356" t="inlineStr">
        <is>
          <t>No</t>
        </is>
      </c>
      <c r="B356" t="inlineStr">
        <is>
          <t>RC406.A24 H36 1979</t>
        </is>
      </c>
      <c r="C356" t="inlineStr">
        <is>
          <t>0                      RC 0406000A  24                 H  36          1979</t>
        </is>
      </c>
      <c r="D356" t="inlineStr">
        <is>
          <t>Autobiography of dying / Archie J. Hanlan ; postscript by Mary S. Hanlan ; edited by Muriel E. Nelson.</t>
        </is>
      </c>
      <c r="F356" t="inlineStr">
        <is>
          <t>No</t>
        </is>
      </c>
      <c r="G356" t="inlineStr">
        <is>
          <t>1</t>
        </is>
      </c>
      <c r="H356" t="inlineStr">
        <is>
          <t>No</t>
        </is>
      </c>
      <c r="I356" t="inlineStr">
        <is>
          <t>No</t>
        </is>
      </c>
      <c r="J356" t="inlineStr">
        <is>
          <t>0</t>
        </is>
      </c>
      <c r="K356" t="inlineStr">
        <is>
          <t>Hanlan, Archie J.</t>
        </is>
      </c>
      <c r="L356" t="inlineStr">
        <is>
          <t>Garden City, N.Y. : Doubleday, 1979.</t>
        </is>
      </c>
      <c r="M356" t="inlineStr">
        <is>
          <t>1979</t>
        </is>
      </c>
      <c r="N356" t="inlineStr">
        <is>
          <t>1st ed.</t>
        </is>
      </c>
      <c r="O356" t="inlineStr">
        <is>
          <t>eng</t>
        </is>
      </c>
      <c r="P356" t="inlineStr">
        <is>
          <t>nyu</t>
        </is>
      </c>
      <c r="R356" t="inlineStr">
        <is>
          <t xml:space="preserve">RC </t>
        </is>
      </c>
      <c r="S356" t="n">
        <v>7</v>
      </c>
      <c r="T356" t="n">
        <v>7</v>
      </c>
      <c r="U356" t="inlineStr">
        <is>
          <t>2000-08-26</t>
        </is>
      </c>
      <c r="V356" t="inlineStr">
        <is>
          <t>2000-08-26</t>
        </is>
      </c>
      <c r="W356" t="inlineStr">
        <is>
          <t>1993-03-18</t>
        </is>
      </c>
      <c r="X356" t="inlineStr">
        <is>
          <t>1993-03-18</t>
        </is>
      </c>
      <c r="Y356" t="n">
        <v>497</v>
      </c>
      <c r="Z356" t="n">
        <v>466</v>
      </c>
      <c r="AA356" t="n">
        <v>471</v>
      </c>
      <c r="AB356" t="n">
        <v>4</v>
      </c>
      <c r="AC356" t="n">
        <v>4</v>
      </c>
      <c r="AD356" t="n">
        <v>9</v>
      </c>
      <c r="AE356" t="n">
        <v>9</v>
      </c>
      <c r="AF356" t="n">
        <v>5</v>
      </c>
      <c r="AG356" t="n">
        <v>5</v>
      </c>
      <c r="AH356" t="n">
        <v>1</v>
      </c>
      <c r="AI356" t="n">
        <v>1</v>
      </c>
      <c r="AJ356" t="n">
        <v>4</v>
      </c>
      <c r="AK356" t="n">
        <v>4</v>
      </c>
      <c r="AL356" t="n">
        <v>1</v>
      </c>
      <c r="AM356" t="n">
        <v>1</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HYPERLINK("https://creighton-primo.hosted.exlibrisgroup.com/primo-explore/search?tab=default_tab&amp;search_scope=EVERYTHING&amp;vid=01CRU&amp;lang=en_US&amp;offset=0&amp;query=any,contains,991004659419702656","Catalog Record")</f>
        <v/>
      </c>
      <c r="AT356">
        <f>HYPERLINK("http://www.worldcat.org/oclc/4496370","WorldCat Record")</f>
        <v/>
      </c>
      <c r="AU356" t="inlineStr">
        <is>
          <t>14775058:eng</t>
        </is>
      </c>
      <c r="AV356" t="inlineStr">
        <is>
          <t>4496370</t>
        </is>
      </c>
      <c r="AW356" t="inlineStr">
        <is>
          <t>991004659419702656</t>
        </is>
      </c>
      <c r="AX356" t="inlineStr">
        <is>
          <t>991004659419702656</t>
        </is>
      </c>
      <c r="AY356" t="inlineStr">
        <is>
          <t>2268713690002656</t>
        </is>
      </c>
      <c r="AZ356" t="inlineStr">
        <is>
          <t>BOOK</t>
        </is>
      </c>
      <c r="BB356" t="inlineStr">
        <is>
          <t>9780385144810</t>
        </is>
      </c>
      <c r="BC356" t="inlineStr">
        <is>
          <t>32285001589729</t>
        </is>
      </c>
      <c r="BD356" t="inlineStr">
        <is>
          <t>893519907</t>
        </is>
      </c>
    </row>
    <row r="357">
      <c r="A357" t="inlineStr">
        <is>
          <t>No</t>
        </is>
      </c>
      <c r="B357" t="inlineStr">
        <is>
          <t>RC406.A24 M33</t>
        </is>
      </c>
      <c r="C357" t="inlineStr">
        <is>
          <t>0                      RC 0406000A  24                 M  33</t>
        </is>
      </c>
      <c r="D357" t="inlineStr">
        <is>
          <t>Go not gently : letters from a patient with amyotrophic lateral sclerosis / Frances McGill ; with the editorial assistance of Lilliam G. Kutscher.</t>
        </is>
      </c>
      <c r="F357" t="inlineStr">
        <is>
          <t>No</t>
        </is>
      </c>
      <c r="G357" t="inlineStr">
        <is>
          <t>1</t>
        </is>
      </c>
      <c r="H357" t="inlineStr">
        <is>
          <t>No</t>
        </is>
      </c>
      <c r="I357" t="inlineStr">
        <is>
          <t>No</t>
        </is>
      </c>
      <c r="J357" t="inlineStr">
        <is>
          <t>0</t>
        </is>
      </c>
      <c r="K357" t="inlineStr">
        <is>
          <t>McGill, Frances, 1920-</t>
        </is>
      </c>
      <c r="L357" t="inlineStr">
        <is>
          <t>New York : Arno Press, 1980.</t>
        </is>
      </c>
      <c r="M357" t="inlineStr">
        <is>
          <t>1980</t>
        </is>
      </c>
      <c r="O357" t="inlineStr">
        <is>
          <t>eng</t>
        </is>
      </c>
      <c r="P357" t="inlineStr">
        <is>
          <t>nyu</t>
        </is>
      </c>
      <c r="Q357" t="inlineStr">
        <is>
          <t>Continuing series on thanatology</t>
        </is>
      </c>
      <c r="R357" t="inlineStr">
        <is>
          <t xml:space="preserve">RC </t>
        </is>
      </c>
      <c r="S357" t="n">
        <v>2</v>
      </c>
      <c r="T357" t="n">
        <v>2</v>
      </c>
      <c r="U357" t="inlineStr">
        <is>
          <t>1998-11-01</t>
        </is>
      </c>
      <c r="V357" t="inlineStr">
        <is>
          <t>1998-11-01</t>
        </is>
      </c>
      <c r="W357" t="inlineStr">
        <is>
          <t>1993-03-18</t>
        </is>
      </c>
      <c r="X357" t="inlineStr">
        <is>
          <t>1993-03-18</t>
        </is>
      </c>
      <c r="Y357" t="n">
        <v>204</v>
      </c>
      <c r="Z357" t="n">
        <v>186</v>
      </c>
      <c r="AA357" t="n">
        <v>187</v>
      </c>
      <c r="AB357" t="n">
        <v>2</v>
      </c>
      <c r="AC357" t="n">
        <v>2</v>
      </c>
      <c r="AD357" t="n">
        <v>7</v>
      </c>
      <c r="AE357" t="n">
        <v>7</v>
      </c>
      <c r="AF357" t="n">
        <v>4</v>
      </c>
      <c r="AG357" t="n">
        <v>4</v>
      </c>
      <c r="AH357" t="n">
        <v>1</v>
      </c>
      <c r="AI357" t="n">
        <v>1</v>
      </c>
      <c r="AJ357" t="n">
        <v>2</v>
      </c>
      <c r="AK357" t="n">
        <v>2</v>
      </c>
      <c r="AL357" t="n">
        <v>1</v>
      </c>
      <c r="AM357" t="n">
        <v>1</v>
      </c>
      <c r="AN357" t="n">
        <v>0</v>
      </c>
      <c r="AO357" t="n">
        <v>0</v>
      </c>
      <c r="AP357" t="inlineStr">
        <is>
          <t>No</t>
        </is>
      </c>
      <c r="AQ357" t="inlineStr">
        <is>
          <t>Yes</t>
        </is>
      </c>
      <c r="AR357">
        <f>HYPERLINK("http://catalog.hathitrust.org/Record/006251090","HathiTrust Record")</f>
        <v/>
      </c>
      <c r="AS357">
        <f>HYPERLINK("https://creighton-primo.hosted.exlibrisgroup.com/primo-explore/search?tab=default_tab&amp;search_scope=EVERYTHING&amp;vid=01CRU&amp;lang=en_US&amp;offset=0&amp;query=any,contains,991004915189702656","Catalog Record")</f>
        <v/>
      </c>
      <c r="AT357">
        <f>HYPERLINK("http://www.worldcat.org/oclc/6015902","WorldCat Record")</f>
        <v/>
      </c>
      <c r="AU357" t="inlineStr">
        <is>
          <t>477655:eng</t>
        </is>
      </c>
      <c r="AV357" t="inlineStr">
        <is>
          <t>6015902</t>
        </is>
      </c>
      <c r="AW357" t="inlineStr">
        <is>
          <t>991004915189702656</t>
        </is>
      </c>
      <c r="AX357" t="inlineStr">
        <is>
          <t>991004915189702656</t>
        </is>
      </c>
      <c r="AY357" t="inlineStr">
        <is>
          <t>2268999190002656</t>
        </is>
      </c>
      <c r="AZ357" t="inlineStr">
        <is>
          <t>BOOK</t>
        </is>
      </c>
      <c r="BB357" t="inlineStr">
        <is>
          <t>9780405126437</t>
        </is>
      </c>
      <c r="BC357" t="inlineStr">
        <is>
          <t>32285001589737</t>
        </is>
      </c>
      <c r="BD357" t="inlineStr">
        <is>
          <t>893446453</t>
        </is>
      </c>
    </row>
    <row r="358">
      <c r="A358" t="inlineStr">
        <is>
          <t>No</t>
        </is>
      </c>
      <c r="B358" t="inlineStr">
        <is>
          <t>RC406.Q33 R687 1995</t>
        </is>
      </c>
      <c r="C358" t="inlineStr">
        <is>
          <t>0                      RC 0406000Q  33                 R  687         1995</t>
        </is>
      </c>
      <c r="D358" t="inlineStr">
        <is>
          <t>Saying goodbye to Daniel : when death is the best choice / Juliet Cassuto Rothman.</t>
        </is>
      </c>
      <c r="F358" t="inlineStr">
        <is>
          <t>No</t>
        </is>
      </c>
      <c r="G358" t="inlineStr">
        <is>
          <t>1</t>
        </is>
      </c>
      <c r="H358" t="inlineStr">
        <is>
          <t>No</t>
        </is>
      </c>
      <c r="I358" t="inlineStr">
        <is>
          <t>No</t>
        </is>
      </c>
      <c r="J358" t="inlineStr">
        <is>
          <t>0</t>
        </is>
      </c>
      <c r="K358" t="inlineStr">
        <is>
          <t>Rothman, Juliet Cassuto, 1942-</t>
        </is>
      </c>
      <c r="L358" t="inlineStr">
        <is>
          <t>New York : Continuum, 1995.</t>
        </is>
      </c>
      <c r="M358" t="inlineStr">
        <is>
          <t>1995</t>
        </is>
      </c>
      <c r="O358" t="inlineStr">
        <is>
          <t>eng</t>
        </is>
      </c>
      <c r="P358" t="inlineStr">
        <is>
          <t>nyu</t>
        </is>
      </c>
      <c r="R358" t="inlineStr">
        <is>
          <t xml:space="preserve">RC </t>
        </is>
      </c>
      <c r="S358" t="n">
        <v>8</v>
      </c>
      <c r="T358" t="n">
        <v>8</v>
      </c>
      <c r="U358" t="inlineStr">
        <is>
          <t>2006-11-27</t>
        </is>
      </c>
      <c r="V358" t="inlineStr">
        <is>
          <t>2006-11-27</t>
        </is>
      </c>
      <c r="W358" t="inlineStr">
        <is>
          <t>1996-08-08</t>
        </is>
      </c>
      <c r="X358" t="inlineStr">
        <is>
          <t>1996-08-08</t>
        </is>
      </c>
      <c r="Y358" t="n">
        <v>350</v>
      </c>
      <c r="Z358" t="n">
        <v>332</v>
      </c>
      <c r="AA358" t="n">
        <v>332</v>
      </c>
      <c r="AB358" t="n">
        <v>2</v>
      </c>
      <c r="AC358" t="n">
        <v>2</v>
      </c>
      <c r="AD358" t="n">
        <v>14</v>
      </c>
      <c r="AE358" t="n">
        <v>14</v>
      </c>
      <c r="AF358" t="n">
        <v>3</v>
      </c>
      <c r="AG358" t="n">
        <v>3</v>
      </c>
      <c r="AH358" t="n">
        <v>3</v>
      </c>
      <c r="AI358" t="n">
        <v>3</v>
      </c>
      <c r="AJ358" t="n">
        <v>9</v>
      </c>
      <c r="AK358" t="n">
        <v>9</v>
      </c>
      <c r="AL358" t="n">
        <v>1</v>
      </c>
      <c r="AM358" t="n">
        <v>1</v>
      </c>
      <c r="AN358" t="n">
        <v>1</v>
      </c>
      <c r="AO358" t="n">
        <v>1</v>
      </c>
      <c r="AP358" t="inlineStr">
        <is>
          <t>No</t>
        </is>
      </c>
      <c r="AQ358" t="inlineStr">
        <is>
          <t>No</t>
        </is>
      </c>
      <c r="AS358">
        <f>HYPERLINK("https://creighton-primo.hosted.exlibrisgroup.com/primo-explore/search?tab=default_tab&amp;search_scope=EVERYTHING&amp;vid=01CRU&amp;lang=en_US&amp;offset=0&amp;query=any,contains,991002519519702656","Catalog Record")</f>
        <v/>
      </c>
      <c r="AT358">
        <f>HYPERLINK("http://www.worldcat.org/oclc/32778648","WorldCat Record")</f>
        <v/>
      </c>
      <c r="AU358" t="inlineStr">
        <is>
          <t>1028195277:eng</t>
        </is>
      </c>
      <c r="AV358" t="inlineStr">
        <is>
          <t>32778648</t>
        </is>
      </c>
      <c r="AW358" t="inlineStr">
        <is>
          <t>991002519519702656</t>
        </is>
      </c>
      <c r="AX358" t="inlineStr">
        <is>
          <t>991002519519702656</t>
        </is>
      </c>
      <c r="AY358" t="inlineStr">
        <is>
          <t>2260115050002656</t>
        </is>
      </c>
      <c r="AZ358" t="inlineStr">
        <is>
          <t>BOOK</t>
        </is>
      </c>
      <c r="BB358" t="inlineStr">
        <is>
          <t>9780826408570</t>
        </is>
      </c>
      <c r="BC358" t="inlineStr">
        <is>
          <t>32285002272085</t>
        </is>
      </c>
      <c r="BD358" t="inlineStr">
        <is>
          <t>893341542</t>
        </is>
      </c>
    </row>
    <row r="359">
      <c r="A359" t="inlineStr">
        <is>
          <t>No</t>
        </is>
      </c>
      <c r="B359" t="inlineStr">
        <is>
          <t>RC406.T4 E18</t>
        </is>
      </c>
      <c r="C359" t="inlineStr">
        <is>
          <t>0                      RC 0406000T  4                  E  18</t>
        </is>
      </c>
      <c r="D359" t="inlineStr">
        <is>
          <t>Joni / by Joni Eareckson, with Joe Musser.</t>
        </is>
      </c>
      <c r="F359" t="inlineStr">
        <is>
          <t>No</t>
        </is>
      </c>
      <c r="G359" t="inlineStr">
        <is>
          <t>1</t>
        </is>
      </c>
      <c r="H359" t="inlineStr">
        <is>
          <t>No</t>
        </is>
      </c>
      <c r="I359" t="inlineStr">
        <is>
          <t>No</t>
        </is>
      </c>
      <c r="J359" t="inlineStr">
        <is>
          <t>0</t>
        </is>
      </c>
      <c r="K359" t="inlineStr">
        <is>
          <t>Tada, Joni Eareckson.</t>
        </is>
      </c>
      <c r="L359" t="inlineStr">
        <is>
          <t>Minneapolis : World Wide Publications, c1976.</t>
        </is>
      </c>
      <c r="M359" t="inlineStr">
        <is>
          <t>1976</t>
        </is>
      </c>
      <c r="O359" t="inlineStr">
        <is>
          <t>eng</t>
        </is>
      </c>
      <c r="P359" t="inlineStr">
        <is>
          <t>mnu</t>
        </is>
      </c>
      <c r="R359" t="inlineStr">
        <is>
          <t xml:space="preserve">RC </t>
        </is>
      </c>
      <c r="S359" t="n">
        <v>5</v>
      </c>
      <c r="T359" t="n">
        <v>5</v>
      </c>
      <c r="U359" t="inlineStr">
        <is>
          <t>2008-04-06</t>
        </is>
      </c>
      <c r="V359" t="inlineStr">
        <is>
          <t>2008-04-06</t>
        </is>
      </c>
      <c r="W359" t="inlineStr">
        <is>
          <t>1993-03-18</t>
        </is>
      </c>
      <c r="X359" t="inlineStr">
        <is>
          <t>1993-03-18</t>
        </is>
      </c>
      <c r="Y359" t="n">
        <v>112</v>
      </c>
      <c r="Z359" t="n">
        <v>111</v>
      </c>
      <c r="AA359" t="n">
        <v>1639</v>
      </c>
      <c r="AB359" t="n">
        <v>1</v>
      </c>
      <c r="AC359" t="n">
        <v>21</v>
      </c>
      <c r="AD359" t="n">
        <v>1</v>
      </c>
      <c r="AE359" t="n">
        <v>12</v>
      </c>
      <c r="AF359" t="n">
        <v>1</v>
      </c>
      <c r="AG359" t="n">
        <v>6</v>
      </c>
      <c r="AH359" t="n">
        <v>1</v>
      </c>
      <c r="AI359" t="n">
        <v>1</v>
      </c>
      <c r="AJ359" t="n">
        <v>0</v>
      </c>
      <c r="AK359" t="n">
        <v>2</v>
      </c>
      <c r="AL359" t="n">
        <v>0</v>
      </c>
      <c r="AM359" t="n">
        <v>5</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HYPERLINK("https://creighton-primo.hosted.exlibrisgroup.com/primo-explore/search?tab=default_tab&amp;search_scope=EVERYTHING&amp;vid=01CRU&amp;lang=en_US&amp;offset=0&amp;query=any,contains,991004876259702656","Catalog Record")</f>
        <v/>
      </c>
      <c r="AT359">
        <f>HYPERLINK("http://www.worldcat.org/oclc/5793059","WorldCat Record")</f>
        <v/>
      </c>
      <c r="AU359" t="inlineStr">
        <is>
          <t>572060:eng</t>
        </is>
      </c>
      <c r="AV359" t="inlineStr">
        <is>
          <t>5793059</t>
        </is>
      </c>
      <c r="AW359" t="inlineStr">
        <is>
          <t>991004876259702656</t>
        </is>
      </c>
      <c r="AX359" t="inlineStr">
        <is>
          <t>991004876259702656</t>
        </is>
      </c>
      <c r="AY359" t="inlineStr">
        <is>
          <t>2272216990002656</t>
        </is>
      </c>
      <c r="AZ359" t="inlineStr">
        <is>
          <t>BOOK</t>
        </is>
      </c>
      <c r="BC359" t="inlineStr">
        <is>
          <t>32285001589745</t>
        </is>
      </c>
      <c r="BD359" t="inlineStr">
        <is>
          <t>893241935</t>
        </is>
      </c>
    </row>
    <row r="360">
      <c r="A360" t="inlineStr">
        <is>
          <t>No</t>
        </is>
      </c>
      <c r="B360" t="inlineStr">
        <is>
          <t>RC423 .B35 1987</t>
        </is>
      </c>
      <c r="C360" t="inlineStr">
        <is>
          <t>0                      RC 0423000B  35          1987</t>
        </is>
      </c>
      <c r="D360" t="inlineStr">
        <is>
          <t>Communication and cognition in normal aging and dementia / Kathryn A. Bayles, Alfred W. Kaszniak ; with the assistance of Cheryl K. Tomoeda.</t>
        </is>
      </c>
      <c r="F360" t="inlineStr">
        <is>
          <t>No</t>
        </is>
      </c>
      <c r="G360" t="inlineStr">
        <is>
          <t>1</t>
        </is>
      </c>
      <c r="H360" t="inlineStr">
        <is>
          <t>Yes</t>
        </is>
      </c>
      <c r="I360" t="inlineStr">
        <is>
          <t>No</t>
        </is>
      </c>
      <c r="J360" t="inlineStr">
        <is>
          <t>0</t>
        </is>
      </c>
      <c r="K360" t="inlineStr">
        <is>
          <t>Bayles, Kathryn A., 1942-</t>
        </is>
      </c>
      <c r="L360" t="inlineStr">
        <is>
          <t>Boston : Little, Brown, c1987.</t>
        </is>
      </c>
      <c r="M360" t="inlineStr">
        <is>
          <t>1987</t>
        </is>
      </c>
      <c r="O360" t="inlineStr">
        <is>
          <t>eng</t>
        </is>
      </c>
      <c r="P360" t="inlineStr">
        <is>
          <t>mau</t>
        </is>
      </c>
      <c r="R360" t="inlineStr">
        <is>
          <t xml:space="preserve">RC </t>
        </is>
      </c>
      <c r="S360" t="n">
        <v>5</v>
      </c>
      <c r="T360" t="n">
        <v>5</v>
      </c>
      <c r="U360" t="inlineStr">
        <is>
          <t>2009-04-19</t>
        </is>
      </c>
      <c r="V360" t="inlineStr">
        <is>
          <t>2009-04-19</t>
        </is>
      </c>
      <c r="W360" t="inlineStr">
        <is>
          <t>1991-05-29</t>
        </is>
      </c>
      <c r="X360" t="inlineStr">
        <is>
          <t>1991-05-29</t>
        </is>
      </c>
      <c r="Y360" t="n">
        <v>371</v>
      </c>
      <c r="Z360" t="n">
        <v>295</v>
      </c>
      <c r="AA360" t="n">
        <v>349</v>
      </c>
      <c r="AB360" t="n">
        <v>4</v>
      </c>
      <c r="AC360" t="n">
        <v>5</v>
      </c>
      <c r="AD360" t="n">
        <v>9</v>
      </c>
      <c r="AE360" t="n">
        <v>14</v>
      </c>
      <c r="AF360" t="n">
        <v>3</v>
      </c>
      <c r="AG360" t="n">
        <v>5</v>
      </c>
      <c r="AH360" t="n">
        <v>2</v>
      </c>
      <c r="AI360" t="n">
        <v>3</v>
      </c>
      <c r="AJ360" t="n">
        <v>5</v>
      </c>
      <c r="AK360" t="n">
        <v>8</v>
      </c>
      <c r="AL360" t="n">
        <v>2</v>
      </c>
      <c r="AM360" t="n">
        <v>3</v>
      </c>
      <c r="AN360" t="n">
        <v>0</v>
      </c>
      <c r="AO360" t="n">
        <v>0</v>
      </c>
      <c r="AP360" t="inlineStr">
        <is>
          <t>No</t>
        </is>
      </c>
      <c r="AQ360" t="inlineStr">
        <is>
          <t>Yes</t>
        </is>
      </c>
      <c r="AR360">
        <f>HYPERLINK("http://catalog.hathitrust.org/Record/000807984","HathiTrust Record")</f>
        <v/>
      </c>
      <c r="AS360">
        <f>HYPERLINK("https://creighton-primo.hosted.exlibrisgroup.com/primo-explore/search?tab=default_tab&amp;search_scope=EVERYTHING&amp;vid=01CRU&amp;lang=en_US&amp;offset=0&amp;query=any,contains,991000909279702656","Catalog Record")</f>
        <v/>
      </c>
      <c r="AT360">
        <f>HYPERLINK("http://www.worldcat.org/oclc/14129862","WorldCat Record")</f>
        <v/>
      </c>
      <c r="AU360" t="inlineStr">
        <is>
          <t>7511531:eng</t>
        </is>
      </c>
      <c r="AV360" t="inlineStr">
        <is>
          <t>14129862</t>
        </is>
      </c>
      <c r="AW360" t="inlineStr">
        <is>
          <t>991000909279702656</t>
        </is>
      </c>
      <c r="AX360" t="inlineStr">
        <is>
          <t>991000909279702656</t>
        </is>
      </c>
      <c r="AY360" t="inlineStr">
        <is>
          <t>2261611640002656</t>
        </is>
      </c>
      <c r="AZ360" t="inlineStr">
        <is>
          <t>BOOK</t>
        </is>
      </c>
      <c r="BB360" t="inlineStr">
        <is>
          <t>9780316083973</t>
        </is>
      </c>
      <c r="BC360" t="inlineStr">
        <is>
          <t>32285000590215</t>
        </is>
      </c>
      <c r="BD360" t="inlineStr">
        <is>
          <t>893589853</t>
        </is>
      </c>
    </row>
    <row r="361">
      <c r="A361" t="inlineStr">
        <is>
          <t>No</t>
        </is>
      </c>
      <c r="B361" t="inlineStr">
        <is>
          <t>RC423 .B45 1956</t>
        </is>
      </c>
      <c r="C361" t="inlineStr">
        <is>
          <t>0                      RC 0423000B  45          1956</t>
        </is>
      </c>
      <c r="D361" t="inlineStr">
        <is>
          <t>Speech disorders; principles and practices of therapy / [by] Mildred Freburg Berry [and] Jon Eisenson.</t>
        </is>
      </c>
      <c r="F361" t="inlineStr">
        <is>
          <t>No</t>
        </is>
      </c>
      <c r="G361" t="inlineStr">
        <is>
          <t>1</t>
        </is>
      </c>
      <c r="H361" t="inlineStr">
        <is>
          <t>Yes</t>
        </is>
      </c>
      <c r="I361" t="inlineStr">
        <is>
          <t>No</t>
        </is>
      </c>
      <c r="J361" t="inlineStr">
        <is>
          <t>0</t>
        </is>
      </c>
      <c r="K361" t="inlineStr">
        <is>
          <t>Berry, Mildred Freburg.</t>
        </is>
      </c>
      <c r="L361" t="inlineStr">
        <is>
          <t>New York : Appleton-Century-Crofts, [1956]</t>
        </is>
      </c>
      <c r="M361" t="inlineStr">
        <is>
          <t>1956</t>
        </is>
      </c>
      <c r="O361" t="inlineStr">
        <is>
          <t>eng</t>
        </is>
      </c>
      <c r="P361" t="inlineStr">
        <is>
          <t>nyu</t>
        </is>
      </c>
      <c r="R361" t="inlineStr">
        <is>
          <t xml:space="preserve">RC </t>
        </is>
      </c>
      <c r="S361" t="n">
        <v>1</v>
      </c>
      <c r="T361" t="n">
        <v>4</v>
      </c>
      <c r="V361" t="inlineStr">
        <is>
          <t>1997-04-27</t>
        </is>
      </c>
      <c r="W361" t="inlineStr">
        <is>
          <t>1992-03-11</t>
        </is>
      </c>
      <c r="X361" t="inlineStr">
        <is>
          <t>1992-03-11</t>
        </is>
      </c>
      <c r="Y361" t="n">
        <v>463</v>
      </c>
      <c r="Z361" t="n">
        <v>417</v>
      </c>
      <c r="AA361" t="n">
        <v>435</v>
      </c>
      <c r="AB361" t="n">
        <v>4</v>
      </c>
      <c r="AC361" t="n">
        <v>4</v>
      </c>
      <c r="AD361" t="n">
        <v>8</v>
      </c>
      <c r="AE361" t="n">
        <v>8</v>
      </c>
      <c r="AF361" t="n">
        <v>2</v>
      </c>
      <c r="AG361" t="n">
        <v>2</v>
      </c>
      <c r="AH361" t="n">
        <v>2</v>
      </c>
      <c r="AI361" t="n">
        <v>2</v>
      </c>
      <c r="AJ361" t="n">
        <v>3</v>
      </c>
      <c r="AK361" t="n">
        <v>3</v>
      </c>
      <c r="AL361" t="n">
        <v>2</v>
      </c>
      <c r="AM361" t="n">
        <v>2</v>
      </c>
      <c r="AN361" t="n">
        <v>0</v>
      </c>
      <c r="AO361" t="n">
        <v>0</v>
      </c>
      <c r="AP361" t="inlineStr">
        <is>
          <t>No</t>
        </is>
      </c>
      <c r="AQ361" t="inlineStr">
        <is>
          <t>No</t>
        </is>
      </c>
      <c r="AR361">
        <f>HYPERLINK("http://catalog.hathitrust.org/Record/001438382","HathiTrust Record")</f>
        <v/>
      </c>
      <c r="AS361">
        <f>HYPERLINK("https://creighton-primo.hosted.exlibrisgroup.com/primo-explore/search?tab=default_tab&amp;search_scope=EVERYTHING&amp;vid=01CRU&amp;lang=en_US&amp;offset=0&amp;query=any,contains,991001787259702656","Catalog Record")</f>
        <v/>
      </c>
      <c r="AT361">
        <f>HYPERLINK("http://www.worldcat.org/oclc/171447","WorldCat Record")</f>
        <v/>
      </c>
      <c r="AU361" t="inlineStr">
        <is>
          <t>1297917:eng</t>
        </is>
      </c>
      <c r="AV361" t="inlineStr">
        <is>
          <t>171447</t>
        </is>
      </c>
      <c r="AW361" t="inlineStr">
        <is>
          <t>991001787259702656</t>
        </is>
      </c>
      <c r="AX361" t="inlineStr">
        <is>
          <t>991001787259702656</t>
        </is>
      </c>
      <c r="AY361" t="inlineStr">
        <is>
          <t>2267265620002656</t>
        </is>
      </c>
      <c r="AZ361" t="inlineStr">
        <is>
          <t>BOOK</t>
        </is>
      </c>
      <c r="BC361" t="inlineStr">
        <is>
          <t>32285000996396</t>
        </is>
      </c>
      <c r="BD361" t="inlineStr">
        <is>
          <t>893522847</t>
        </is>
      </c>
    </row>
    <row r="362">
      <c r="A362" t="inlineStr">
        <is>
          <t>No</t>
        </is>
      </c>
      <c r="B362" t="inlineStr">
        <is>
          <t>RC423 .B48 1985</t>
        </is>
      </c>
      <c r="C362" t="inlineStr">
        <is>
          <t>0                      RC 0423000B  48          1985</t>
        </is>
      </c>
      <c r="D362" t="inlineStr">
        <is>
          <t>Communication augmentation : a casebook of clinical management / David R. Beukelman, Kathryn M. Yorkston, Patricia A. Dowden.</t>
        </is>
      </c>
      <c r="F362" t="inlineStr">
        <is>
          <t>No</t>
        </is>
      </c>
      <c r="G362" t="inlineStr">
        <is>
          <t>1</t>
        </is>
      </c>
      <c r="H362" t="inlineStr">
        <is>
          <t>No</t>
        </is>
      </c>
      <c r="I362" t="inlineStr">
        <is>
          <t>No</t>
        </is>
      </c>
      <c r="J362" t="inlineStr">
        <is>
          <t>0</t>
        </is>
      </c>
      <c r="K362" t="inlineStr">
        <is>
          <t>Beukelman, David R., 1943-</t>
        </is>
      </c>
      <c r="L362" t="inlineStr">
        <is>
          <t>San Diego, Calif. : College Hill Press, c1985.</t>
        </is>
      </c>
      <c r="M362" t="inlineStr">
        <is>
          <t>1985</t>
        </is>
      </c>
      <c r="O362" t="inlineStr">
        <is>
          <t>eng</t>
        </is>
      </c>
      <c r="P362" t="inlineStr">
        <is>
          <t>cau</t>
        </is>
      </c>
      <c r="R362" t="inlineStr">
        <is>
          <t xml:space="preserve">RC </t>
        </is>
      </c>
      <c r="S362" t="n">
        <v>3</v>
      </c>
      <c r="T362" t="n">
        <v>3</v>
      </c>
      <c r="U362" t="inlineStr">
        <is>
          <t>1995-09-05</t>
        </is>
      </c>
      <c r="V362" t="inlineStr">
        <is>
          <t>1995-09-05</t>
        </is>
      </c>
      <c r="W362" t="inlineStr">
        <is>
          <t>1992-06-03</t>
        </is>
      </c>
      <c r="X362" t="inlineStr">
        <is>
          <t>1992-06-03</t>
        </is>
      </c>
      <c r="Y362" t="n">
        <v>249</v>
      </c>
      <c r="Z362" t="n">
        <v>218</v>
      </c>
      <c r="AA362" t="n">
        <v>220</v>
      </c>
      <c r="AB362" t="n">
        <v>2</v>
      </c>
      <c r="AC362" t="n">
        <v>2</v>
      </c>
      <c r="AD362" t="n">
        <v>7</v>
      </c>
      <c r="AE362" t="n">
        <v>7</v>
      </c>
      <c r="AF362" t="n">
        <v>2</v>
      </c>
      <c r="AG362" t="n">
        <v>2</v>
      </c>
      <c r="AH362" t="n">
        <v>2</v>
      </c>
      <c r="AI362" t="n">
        <v>2</v>
      </c>
      <c r="AJ362" t="n">
        <v>4</v>
      </c>
      <c r="AK362" t="n">
        <v>4</v>
      </c>
      <c r="AL362" t="n">
        <v>1</v>
      </c>
      <c r="AM362" t="n">
        <v>1</v>
      </c>
      <c r="AN362" t="n">
        <v>0</v>
      </c>
      <c r="AO362" t="n">
        <v>0</v>
      </c>
      <c r="AP362" t="inlineStr">
        <is>
          <t>No</t>
        </is>
      </c>
      <c r="AQ362" t="inlineStr">
        <is>
          <t>Yes</t>
        </is>
      </c>
      <c r="AR362">
        <f>HYPERLINK("http://catalog.hathitrust.org/Record/000409576","HathiTrust Record")</f>
        <v/>
      </c>
      <c r="AS362">
        <f>HYPERLINK("https://creighton-primo.hosted.exlibrisgroup.com/primo-explore/search?tab=default_tab&amp;search_scope=EVERYTHING&amp;vid=01CRU&amp;lang=en_US&amp;offset=0&amp;query=any,contains,991000538719702656","Catalog Record")</f>
        <v/>
      </c>
      <c r="AT362">
        <f>HYPERLINK("http://www.worldcat.org/oclc/11468727","WorldCat Record")</f>
        <v/>
      </c>
      <c r="AU362" t="inlineStr">
        <is>
          <t>3939703:eng</t>
        </is>
      </c>
      <c r="AV362" t="inlineStr">
        <is>
          <t>11468727</t>
        </is>
      </c>
      <c r="AW362" t="inlineStr">
        <is>
          <t>991000538719702656</t>
        </is>
      </c>
      <c r="AX362" t="inlineStr">
        <is>
          <t>991000538719702656</t>
        </is>
      </c>
      <c r="AY362" t="inlineStr">
        <is>
          <t>2264766790002656</t>
        </is>
      </c>
      <c r="AZ362" t="inlineStr">
        <is>
          <t>BOOK</t>
        </is>
      </c>
      <c r="BB362" t="inlineStr">
        <is>
          <t>9780887441028</t>
        </is>
      </c>
      <c r="BC362" t="inlineStr">
        <is>
          <t>32285001114973</t>
        </is>
      </c>
      <c r="BD362" t="inlineStr">
        <is>
          <t>893237396</t>
        </is>
      </c>
    </row>
    <row r="363">
      <c r="A363" t="inlineStr">
        <is>
          <t>No</t>
        </is>
      </c>
      <c r="B363" t="inlineStr">
        <is>
          <t>RC423 .D4</t>
        </is>
      </c>
      <c r="C363" t="inlineStr">
        <is>
          <t>0                      RC 0423000D  4</t>
        </is>
      </c>
      <c r="D363" t="inlineStr">
        <is>
          <t>The diagnosis and treatment of speech and reading problems / illus. by Mary Lee Lowry.</t>
        </is>
      </c>
      <c r="F363" t="inlineStr">
        <is>
          <t>No</t>
        </is>
      </c>
      <c r="G363" t="inlineStr">
        <is>
          <t>1</t>
        </is>
      </c>
      <c r="H363" t="inlineStr">
        <is>
          <t>No</t>
        </is>
      </c>
      <c r="I363" t="inlineStr">
        <is>
          <t>No</t>
        </is>
      </c>
      <c r="J363" t="inlineStr">
        <is>
          <t>0</t>
        </is>
      </c>
      <c r="K363" t="inlineStr">
        <is>
          <t>Delacato, Carl H.</t>
        </is>
      </c>
      <c r="L363" t="inlineStr">
        <is>
          <t>Springfield, Ill. : Thomas, [1963]</t>
        </is>
      </c>
      <c r="M363" t="inlineStr">
        <is>
          <t>1963</t>
        </is>
      </c>
      <c r="O363" t="inlineStr">
        <is>
          <t>eng</t>
        </is>
      </c>
      <c r="P363" t="inlineStr">
        <is>
          <t>ilu</t>
        </is>
      </c>
      <c r="R363" t="inlineStr">
        <is>
          <t xml:space="preserve">RC </t>
        </is>
      </c>
      <c r="S363" t="n">
        <v>3</v>
      </c>
      <c r="T363" t="n">
        <v>3</v>
      </c>
      <c r="U363" t="inlineStr">
        <is>
          <t>1992-01-22</t>
        </is>
      </c>
      <c r="V363" t="inlineStr">
        <is>
          <t>1992-01-22</t>
        </is>
      </c>
      <c r="W363" t="inlineStr">
        <is>
          <t>1990-03-01</t>
        </is>
      </c>
      <c r="X363" t="inlineStr">
        <is>
          <t>1990-03-01</t>
        </is>
      </c>
      <c r="Y363" t="n">
        <v>604</v>
      </c>
      <c r="Z363" t="n">
        <v>519</v>
      </c>
      <c r="AA363" t="n">
        <v>548</v>
      </c>
      <c r="AB363" t="n">
        <v>7</v>
      </c>
      <c r="AC363" t="n">
        <v>7</v>
      </c>
      <c r="AD363" t="n">
        <v>19</v>
      </c>
      <c r="AE363" t="n">
        <v>19</v>
      </c>
      <c r="AF363" t="n">
        <v>6</v>
      </c>
      <c r="AG363" t="n">
        <v>6</v>
      </c>
      <c r="AH363" t="n">
        <v>4</v>
      </c>
      <c r="AI363" t="n">
        <v>4</v>
      </c>
      <c r="AJ363" t="n">
        <v>10</v>
      </c>
      <c r="AK363" t="n">
        <v>10</v>
      </c>
      <c r="AL363" t="n">
        <v>4</v>
      </c>
      <c r="AM363" t="n">
        <v>4</v>
      </c>
      <c r="AN363" t="n">
        <v>0</v>
      </c>
      <c r="AO363" t="n">
        <v>0</v>
      </c>
      <c r="AP363" t="inlineStr">
        <is>
          <t>No</t>
        </is>
      </c>
      <c r="AQ363" t="inlineStr">
        <is>
          <t>No</t>
        </is>
      </c>
      <c r="AR363">
        <f>HYPERLINK("http://catalog.hathitrust.org/Record/001563373","HathiTrust Record")</f>
        <v/>
      </c>
      <c r="AS363">
        <f>HYPERLINK("https://creighton-primo.hosted.exlibrisgroup.com/primo-explore/search?tab=default_tab&amp;search_scope=EVERYTHING&amp;vid=01CRU&amp;lang=en_US&amp;offset=0&amp;query=any,contains,991005265849702656","Catalog Record")</f>
        <v/>
      </c>
      <c r="AT363">
        <f>HYPERLINK("http://www.worldcat.org/oclc/347246","WorldCat Record")</f>
        <v/>
      </c>
      <c r="AU363" t="inlineStr">
        <is>
          <t>150504:eng</t>
        </is>
      </c>
      <c r="AV363" t="inlineStr">
        <is>
          <t>347246</t>
        </is>
      </c>
      <c r="AW363" t="inlineStr">
        <is>
          <t>991005265849702656</t>
        </is>
      </c>
      <c r="AX363" t="inlineStr">
        <is>
          <t>991005265849702656</t>
        </is>
      </c>
      <c r="AY363" t="inlineStr">
        <is>
          <t>2272338310002656</t>
        </is>
      </c>
      <c r="AZ363" t="inlineStr">
        <is>
          <t>BOOK</t>
        </is>
      </c>
      <c r="BC363" t="inlineStr">
        <is>
          <t>32285000063429</t>
        </is>
      </c>
      <c r="BD363" t="inlineStr">
        <is>
          <t>893236564</t>
        </is>
      </c>
    </row>
    <row r="364">
      <c r="A364" t="inlineStr">
        <is>
          <t>No</t>
        </is>
      </c>
      <c r="B364" t="inlineStr">
        <is>
          <t>RC423 .G45 1983</t>
        </is>
      </c>
      <c r="C364" t="inlineStr">
        <is>
          <t>0                      RC 0423000G  45          1983</t>
        </is>
      </c>
      <c r="D364" t="inlineStr">
        <is>
          <t>Genetic aspects of speech and language disorders / edited by Christy L. Ludlow, Judith A. Cooper.</t>
        </is>
      </c>
      <c r="F364" t="inlineStr">
        <is>
          <t>No</t>
        </is>
      </c>
      <c r="G364" t="inlineStr">
        <is>
          <t>1</t>
        </is>
      </c>
      <c r="H364" t="inlineStr">
        <is>
          <t>No</t>
        </is>
      </c>
      <c r="I364" t="inlineStr">
        <is>
          <t>No</t>
        </is>
      </c>
      <c r="J364" t="inlineStr">
        <is>
          <t>0</t>
        </is>
      </c>
      <c r="L364" t="inlineStr">
        <is>
          <t>New York : Academic Press, 1983.</t>
        </is>
      </c>
      <c r="M364" t="inlineStr">
        <is>
          <t>1983</t>
        </is>
      </c>
      <c r="O364" t="inlineStr">
        <is>
          <t>eng</t>
        </is>
      </c>
      <c r="P364" t="inlineStr">
        <is>
          <t>nyu</t>
        </is>
      </c>
      <c r="R364" t="inlineStr">
        <is>
          <t xml:space="preserve">RC </t>
        </is>
      </c>
      <c r="S364" t="n">
        <v>2</v>
      </c>
      <c r="T364" t="n">
        <v>2</v>
      </c>
      <c r="U364" t="inlineStr">
        <is>
          <t>1993-03-23</t>
        </is>
      </c>
      <c r="V364" t="inlineStr">
        <is>
          <t>1993-03-23</t>
        </is>
      </c>
      <c r="W364" t="inlineStr">
        <is>
          <t>1992-06-03</t>
        </is>
      </c>
      <c r="X364" t="inlineStr">
        <is>
          <t>1992-06-03</t>
        </is>
      </c>
      <c r="Y364" t="n">
        <v>294</v>
      </c>
      <c r="Z364" t="n">
        <v>236</v>
      </c>
      <c r="AA364" t="n">
        <v>243</v>
      </c>
      <c r="AB364" t="n">
        <v>2</v>
      </c>
      <c r="AC364" t="n">
        <v>2</v>
      </c>
      <c r="AD364" t="n">
        <v>9</v>
      </c>
      <c r="AE364" t="n">
        <v>9</v>
      </c>
      <c r="AF364" t="n">
        <v>1</v>
      </c>
      <c r="AG364" t="n">
        <v>1</v>
      </c>
      <c r="AH364" t="n">
        <v>3</v>
      </c>
      <c r="AI364" t="n">
        <v>3</v>
      </c>
      <c r="AJ364" t="n">
        <v>7</v>
      </c>
      <c r="AK364" t="n">
        <v>7</v>
      </c>
      <c r="AL364" t="n">
        <v>1</v>
      </c>
      <c r="AM364" t="n">
        <v>1</v>
      </c>
      <c r="AN364" t="n">
        <v>0</v>
      </c>
      <c r="AO364" t="n">
        <v>0</v>
      </c>
      <c r="AP364" t="inlineStr">
        <is>
          <t>No</t>
        </is>
      </c>
      <c r="AQ364" t="inlineStr">
        <is>
          <t>Yes</t>
        </is>
      </c>
      <c r="AR364">
        <f>HYPERLINK("http://catalog.hathitrust.org/Record/000283589","HathiTrust Record")</f>
        <v/>
      </c>
      <c r="AS364">
        <f>HYPERLINK("https://creighton-primo.hosted.exlibrisgroup.com/primo-explore/search?tab=default_tab&amp;search_scope=EVERYTHING&amp;vid=01CRU&amp;lang=en_US&amp;offset=0&amp;query=any,contains,991000221439702656","Catalog Record")</f>
        <v/>
      </c>
      <c r="AT364">
        <f>HYPERLINK("http://www.worldcat.org/oclc/9576514","WorldCat Record")</f>
        <v/>
      </c>
      <c r="AU364" t="inlineStr">
        <is>
          <t>350106214:eng</t>
        </is>
      </c>
      <c r="AV364" t="inlineStr">
        <is>
          <t>9576514</t>
        </is>
      </c>
      <c r="AW364" t="inlineStr">
        <is>
          <t>991000221439702656</t>
        </is>
      </c>
      <c r="AX364" t="inlineStr">
        <is>
          <t>991000221439702656</t>
        </is>
      </c>
      <c r="AY364" t="inlineStr">
        <is>
          <t>2267568400002656</t>
        </is>
      </c>
      <c r="AZ364" t="inlineStr">
        <is>
          <t>BOOK</t>
        </is>
      </c>
      <c r="BB364" t="inlineStr">
        <is>
          <t>9780124593503</t>
        </is>
      </c>
      <c r="BC364" t="inlineStr">
        <is>
          <t>32285001114965</t>
        </is>
      </c>
      <c r="BD364" t="inlineStr">
        <is>
          <t>893419308</t>
        </is>
      </c>
    </row>
    <row r="365">
      <c r="A365" t="inlineStr">
        <is>
          <t>No</t>
        </is>
      </c>
      <c r="B365" t="inlineStr">
        <is>
          <t>RC423 .I55</t>
        </is>
      </c>
      <c r="C365" t="inlineStr">
        <is>
          <t>0                      RC 0423000I  55</t>
        </is>
      </c>
      <c r="D365" t="inlineStr">
        <is>
          <t>Introduction to communication disorders / edited by Thomas J. Hixon, Lawrence D. Shriberg, John H. Saxman.</t>
        </is>
      </c>
      <c r="F365" t="inlineStr">
        <is>
          <t>No</t>
        </is>
      </c>
      <c r="G365" t="inlineStr">
        <is>
          <t>1</t>
        </is>
      </c>
      <c r="H365" t="inlineStr">
        <is>
          <t>No</t>
        </is>
      </c>
      <c r="I365" t="inlineStr">
        <is>
          <t>No</t>
        </is>
      </c>
      <c r="J365" t="inlineStr">
        <is>
          <t>0</t>
        </is>
      </c>
      <c r="L365" t="inlineStr">
        <is>
          <t>Englewood Cliffs, N.J. : Prentice-Hall, c1980.</t>
        </is>
      </c>
      <c r="M365" t="inlineStr">
        <is>
          <t>1980</t>
        </is>
      </c>
      <c r="O365" t="inlineStr">
        <is>
          <t>eng</t>
        </is>
      </c>
      <c r="P365" t="inlineStr">
        <is>
          <t>nju</t>
        </is>
      </c>
      <c r="R365" t="inlineStr">
        <is>
          <t xml:space="preserve">RC </t>
        </is>
      </c>
      <c r="S365" t="n">
        <v>5</v>
      </c>
      <c r="T365" t="n">
        <v>5</v>
      </c>
      <c r="U365" t="inlineStr">
        <is>
          <t>1998-12-05</t>
        </is>
      </c>
      <c r="V365" t="inlineStr">
        <is>
          <t>1998-12-05</t>
        </is>
      </c>
      <c r="W365" t="inlineStr">
        <is>
          <t>1992-04-29</t>
        </is>
      </c>
      <c r="X365" t="inlineStr">
        <is>
          <t>1992-04-29</t>
        </is>
      </c>
      <c r="Y365" t="n">
        <v>279</v>
      </c>
      <c r="Z365" t="n">
        <v>220</v>
      </c>
      <c r="AA365" t="n">
        <v>227</v>
      </c>
      <c r="AB365" t="n">
        <v>2</v>
      </c>
      <c r="AC365" t="n">
        <v>2</v>
      </c>
      <c r="AD365" t="n">
        <v>6</v>
      </c>
      <c r="AE365" t="n">
        <v>6</v>
      </c>
      <c r="AF365" t="n">
        <v>1</v>
      </c>
      <c r="AG365" t="n">
        <v>1</v>
      </c>
      <c r="AH365" t="n">
        <v>2</v>
      </c>
      <c r="AI365" t="n">
        <v>2</v>
      </c>
      <c r="AJ365" t="n">
        <v>3</v>
      </c>
      <c r="AK365" t="n">
        <v>3</v>
      </c>
      <c r="AL365" t="n">
        <v>1</v>
      </c>
      <c r="AM365" t="n">
        <v>1</v>
      </c>
      <c r="AN365" t="n">
        <v>0</v>
      </c>
      <c r="AO365" t="n">
        <v>0</v>
      </c>
      <c r="AP365" t="inlineStr">
        <is>
          <t>No</t>
        </is>
      </c>
      <c r="AQ365" t="inlineStr">
        <is>
          <t>Yes</t>
        </is>
      </c>
      <c r="AR365">
        <f>HYPERLINK("http://catalog.hathitrust.org/Record/000741156","HathiTrust Record")</f>
        <v/>
      </c>
      <c r="AS365">
        <f>HYPERLINK("https://creighton-primo.hosted.exlibrisgroup.com/primo-explore/search?tab=default_tab&amp;search_scope=EVERYTHING&amp;vid=01CRU&amp;lang=en_US&amp;offset=0&amp;query=any,contains,991004722089702656","Catalog Record")</f>
        <v/>
      </c>
      <c r="AT365">
        <f>HYPERLINK("http://www.worldcat.org/oclc/4804718","WorldCat Record")</f>
        <v/>
      </c>
      <c r="AU365" t="inlineStr">
        <is>
          <t>363908172:eng</t>
        </is>
      </c>
      <c r="AV365" t="inlineStr">
        <is>
          <t>4804718</t>
        </is>
      </c>
      <c r="AW365" t="inlineStr">
        <is>
          <t>991004722089702656</t>
        </is>
      </c>
      <c r="AX365" t="inlineStr">
        <is>
          <t>991004722089702656</t>
        </is>
      </c>
      <c r="AY365" t="inlineStr">
        <is>
          <t>2270340000002656</t>
        </is>
      </c>
      <c r="AZ365" t="inlineStr">
        <is>
          <t>BOOK</t>
        </is>
      </c>
      <c r="BC365" t="inlineStr">
        <is>
          <t>32285001103190</t>
        </is>
      </c>
      <c r="BD365" t="inlineStr">
        <is>
          <t>893532726</t>
        </is>
      </c>
    </row>
    <row r="366">
      <c r="A366" t="inlineStr">
        <is>
          <t>No</t>
        </is>
      </c>
      <c r="B366" t="inlineStr">
        <is>
          <t>RC423 .M62 1982</t>
        </is>
      </c>
      <c r="C366" t="inlineStr">
        <is>
          <t>0                      RC 0423000M  62          1982</t>
        </is>
      </c>
      <c r="D366" t="inlineStr">
        <is>
          <t>Methods of modifying speech behaviors : learning theory in speech pathology / Donald E. Mowrer.</t>
        </is>
      </c>
      <c r="F366" t="inlineStr">
        <is>
          <t>No</t>
        </is>
      </c>
      <c r="G366" t="inlineStr">
        <is>
          <t>1</t>
        </is>
      </c>
      <c r="H366" t="inlineStr">
        <is>
          <t>No</t>
        </is>
      </c>
      <c r="I366" t="inlineStr">
        <is>
          <t>No</t>
        </is>
      </c>
      <c r="J366" t="inlineStr">
        <is>
          <t>0</t>
        </is>
      </c>
      <c r="K366" t="inlineStr">
        <is>
          <t>Mowrer, Donald E.</t>
        </is>
      </c>
      <c r="L366" t="inlineStr">
        <is>
          <t>Columbus, Ohio : C. E. Merrill Pub. Co., c1982.</t>
        </is>
      </c>
      <c r="M366" t="inlineStr">
        <is>
          <t>1982</t>
        </is>
      </c>
      <c r="N366" t="inlineStr">
        <is>
          <t>2nd ed.</t>
        </is>
      </c>
      <c r="O366" t="inlineStr">
        <is>
          <t>eng</t>
        </is>
      </c>
      <c r="P366" t="inlineStr">
        <is>
          <t>ohu</t>
        </is>
      </c>
      <c r="R366" t="inlineStr">
        <is>
          <t xml:space="preserve">RC </t>
        </is>
      </c>
      <c r="S366" t="n">
        <v>5</v>
      </c>
      <c r="T366" t="n">
        <v>5</v>
      </c>
      <c r="U366" t="inlineStr">
        <is>
          <t>1998-10-30</t>
        </is>
      </c>
      <c r="V366" t="inlineStr">
        <is>
          <t>1998-10-30</t>
        </is>
      </c>
      <c r="W366" t="inlineStr">
        <is>
          <t>1991-11-19</t>
        </is>
      </c>
      <c r="X366" t="inlineStr">
        <is>
          <t>1991-11-19</t>
        </is>
      </c>
      <c r="Y366" t="n">
        <v>164</v>
      </c>
      <c r="Z366" t="n">
        <v>131</v>
      </c>
      <c r="AA366" t="n">
        <v>270</v>
      </c>
      <c r="AB366" t="n">
        <v>2</v>
      </c>
      <c r="AC366" t="n">
        <v>4</v>
      </c>
      <c r="AD366" t="n">
        <v>3</v>
      </c>
      <c r="AE366" t="n">
        <v>10</v>
      </c>
      <c r="AF366" t="n">
        <v>1</v>
      </c>
      <c r="AG366" t="n">
        <v>2</v>
      </c>
      <c r="AH366" t="n">
        <v>0</v>
      </c>
      <c r="AI366" t="n">
        <v>1</v>
      </c>
      <c r="AJ366" t="n">
        <v>2</v>
      </c>
      <c r="AK366" t="n">
        <v>7</v>
      </c>
      <c r="AL366" t="n">
        <v>1</v>
      </c>
      <c r="AM366" t="n">
        <v>3</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HYPERLINK("https://creighton-primo.hosted.exlibrisgroup.com/primo-explore/search?tab=default_tab&amp;search_scope=EVERYTHING&amp;vid=01CRU&amp;lang=en_US&amp;offset=0&amp;query=any,contains,991005244039702656","Catalog Record")</f>
        <v/>
      </c>
      <c r="AT366">
        <f>HYPERLINK("http://www.worldcat.org/oclc/8443074","WorldCat Record")</f>
        <v/>
      </c>
      <c r="AU366" t="inlineStr">
        <is>
          <t>2564860355:eng</t>
        </is>
      </c>
      <c r="AV366" t="inlineStr">
        <is>
          <t>8443074</t>
        </is>
      </c>
      <c r="AW366" t="inlineStr">
        <is>
          <t>991005244039702656</t>
        </is>
      </c>
      <c r="AX366" t="inlineStr">
        <is>
          <t>991005244039702656</t>
        </is>
      </c>
      <c r="AY366" t="inlineStr">
        <is>
          <t>2259941050002656</t>
        </is>
      </c>
      <c r="AZ366" t="inlineStr">
        <is>
          <t>BOOK</t>
        </is>
      </c>
      <c r="BB366" t="inlineStr">
        <is>
          <t>9780675098885</t>
        </is>
      </c>
      <c r="BC366" t="inlineStr">
        <is>
          <t>32285000824994</t>
        </is>
      </c>
      <c r="BD366" t="inlineStr">
        <is>
          <t>893248599</t>
        </is>
      </c>
    </row>
    <row r="367">
      <c r="A367" t="inlineStr">
        <is>
          <t>No</t>
        </is>
      </c>
      <c r="B367" t="inlineStr">
        <is>
          <t>RC423 .M76</t>
        </is>
      </c>
      <c r="C367" t="inlineStr">
        <is>
          <t>0                      RC 0423000M  76</t>
        </is>
      </c>
      <c r="D367" t="inlineStr">
        <is>
          <t>Communication programming for the severely handicapped : vocal and non-vocal strategies / Caroline Ramsey Musselwhite, Karen Waterman St. Louis.</t>
        </is>
      </c>
      <c r="F367" t="inlineStr">
        <is>
          <t>No</t>
        </is>
      </c>
      <c r="G367" t="inlineStr">
        <is>
          <t>1</t>
        </is>
      </c>
      <c r="H367" t="inlineStr">
        <is>
          <t>No</t>
        </is>
      </c>
      <c r="I367" t="inlineStr">
        <is>
          <t>No</t>
        </is>
      </c>
      <c r="J367" t="inlineStr">
        <is>
          <t>0</t>
        </is>
      </c>
      <c r="K367" t="inlineStr">
        <is>
          <t>Musselwhite, Caroline Ramsey.</t>
        </is>
      </c>
      <c r="L367" t="inlineStr">
        <is>
          <t>Houston, Tex. : College-Hill Press, 1982.</t>
        </is>
      </c>
      <c r="M367" t="inlineStr">
        <is>
          <t>1981</t>
        </is>
      </c>
      <c r="O367" t="inlineStr">
        <is>
          <t>eng</t>
        </is>
      </c>
      <c r="P367" t="inlineStr">
        <is>
          <t>txu</t>
        </is>
      </c>
      <c r="R367" t="inlineStr">
        <is>
          <t xml:space="preserve">RC </t>
        </is>
      </c>
      <c r="S367" t="n">
        <v>2</v>
      </c>
      <c r="T367" t="n">
        <v>2</v>
      </c>
      <c r="U367" t="inlineStr">
        <is>
          <t>1997-04-26</t>
        </is>
      </c>
      <c r="V367" t="inlineStr">
        <is>
          <t>1997-04-26</t>
        </is>
      </c>
      <c r="W367" t="inlineStr">
        <is>
          <t>1992-06-03</t>
        </is>
      </c>
      <c r="X367" t="inlineStr">
        <is>
          <t>1992-06-03</t>
        </is>
      </c>
      <c r="Y367" t="n">
        <v>374</v>
      </c>
      <c r="Z367" t="n">
        <v>303</v>
      </c>
      <c r="AA367" t="n">
        <v>308</v>
      </c>
      <c r="AB367" t="n">
        <v>4</v>
      </c>
      <c r="AC367" t="n">
        <v>4</v>
      </c>
      <c r="AD367" t="n">
        <v>15</v>
      </c>
      <c r="AE367" t="n">
        <v>15</v>
      </c>
      <c r="AF367" t="n">
        <v>5</v>
      </c>
      <c r="AG367" t="n">
        <v>5</v>
      </c>
      <c r="AH367" t="n">
        <v>3</v>
      </c>
      <c r="AI367" t="n">
        <v>3</v>
      </c>
      <c r="AJ367" t="n">
        <v>8</v>
      </c>
      <c r="AK367" t="n">
        <v>8</v>
      </c>
      <c r="AL367" t="n">
        <v>3</v>
      </c>
      <c r="AM367" t="n">
        <v>3</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HYPERLINK("https://creighton-primo.hosted.exlibrisgroup.com/primo-explore/search?tab=default_tab&amp;search_scope=EVERYTHING&amp;vid=01CRU&amp;lang=en_US&amp;offset=0&amp;query=any,contains,991005097659702656","Catalog Record")</f>
        <v/>
      </c>
      <c r="AT367">
        <f>HYPERLINK("http://www.worldcat.org/oclc/7276543","WorldCat Record")</f>
        <v/>
      </c>
      <c r="AU367" t="inlineStr">
        <is>
          <t>1103799081:eng</t>
        </is>
      </c>
      <c r="AV367" t="inlineStr">
        <is>
          <t>7276543</t>
        </is>
      </c>
      <c r="AW367" t="inlineStr">
        <is>
          <t>991005097659702656</t>
        </is>
      </c>
      <c r="AX367" t="inlineStr">
        <is>
          <t>991005097659702656</t>
        </is>
      </c>
      <c r="AY367" t="inlineStr">
        <is>
          <t>2260002660002656</t>
        </is>
      </c>
      <c r="AZ367" t="inlineStr">
        <is>
          <t>BOOK</t>
        </is>
      </c>
      <c r="BB367" t="inlineStr">
        <is>
          <t>9780933014640</t>
        </is>
      </c>
      <c r="BC367" t="inlineStr">
        <is>
          <t>32285001114940</t>
        </is>
      </c>
      <c r="BD367" t="inlineStr">
        <is>
          <t>893230202</t>
        </is>
      </c>
    </row>
    <row r="368">
      <c r="A368" t="inlineStr">
        <is>
          <t>No</t>
        </is>
      </c>
      <c r="B368" t="inlineStr">
        <is>
          <t>RC423 .M86</t>
        </is>
      </c>
      <c r="C368" t="inlineStr">
        <is>
          <t>0                      RC 0423000M  86</t>
        </is>
      </c>
      <c r="D368" t="inlineStr">
        <is>
          <t>Speech pathology and feedback theory, by Edward D. Mysak.</t>
        </is>
      </c>
      <c r="F368" t="inlineStr">
        <is>
          <t>No</t>
        </is>
      </c>
      <c r="G368" t="inlineStr">
        <is>
          <t>1</t>
        </is>
      </c>
      <c r="H368" t="inlineStr">
        <is>
          <t>No</t>
        </is>
      </c>
      <c r="I368" t="inlineStr">
        <is>
          <t>No</t>
        </is>
      </c>
      <c r="J368" t="inlineStr">
        <is>
          <t>0</t>
        </is>
      </c>
      <c r="K368" t="inlineStr">
        <is>
          <t>Mysak, Edward Damien, 1930-</t>
        </is>
      </c>
      <c r="L368" t="inlineStr">
        <is>
          <t>Springfield, Ill., Thomas [1966]</t>
        </is>
      </c>
      <c r="M368" t="inlineStr">
        <is>
          <t>1966</t>
        </is>
      </c>
      <c r="O368" t="inlineStr">
        <is>
          <t>eng</t>
        </is>
      </c>
      <c r="P368" t="inlineStr">
        <is>
          <t>ilu</t>
        </is>
      </c>
      <c r="R368" t="inlineStr">
        <is>
          <t xml:space="preserve">RC </t>
        </is>
      </c>
      <c r="S368" t="n">
        <v>4</v>
      </c>
      <c r="T368" t="n">
        <v>4</v>
      </c>
      <c r="U368" t="inlineStr">
        <is>
          <t>1998-10-30</t>
        </is>
      </c>
      <c r="V368" t="inlineStr">
        <is>
          <t>1998-10-30</t>
        </is>
      </c>
      <c r="W368" t="inlineStr">
        <is>
          <t>1997-08-11</t>
        </is>
      </c>
      <c r="X368" t="inlineStr">
        <is>
          <t>1997-08-11</t>
        </is>
      </c>
      <c r="Y368" t="n">
        <v>293</v>
      </c>
      <c r="Z368" t="n">
        <v>261</v>
      </c>
      <c r="AA368" t="n">
        <v>263</v>
      </c>
      <c r="AB368" t="n">
        <v>3</v>
      </c>
      <c r="AC368" t="n">
        <v>3</v>
      </c>
      <c r="AD368" t="n">
        <v>9</v>
      </c>
      <c r="AE368" t="n">
        <v>9</v>
      </c>
      <c r="AF368" t="n">
        <v>2</v>
      </c>
      <c r="AG368" t="n">
        <v>2</v>
      </c>
      <c r="AH368" t="n">
        <v>3</v>
      </c>
      <c r="AI368" t="n">
        <v>3</v>
      </c>
      <c r="AJ368" t="n">
        <v>4</v>
      </c>
      <c r="AK368" t="n">
        <v>4</v>
      </c>
      <c r="AL368" t="n">
        <v>2</v>
      </c>
      <c r="AM368" t="n">
        <v>2</v>
      </c>
      <c r="AN368" t="n">
        <v>0</v>
      </c>
      <c r="AO368" t="n">
        <v>0</v>
      </c>
      <c r="AP368" t="inlineStr">
        <is>
          <t>No</t>
        </is>
      </c>
      <c r="AQ368" t="inlineStr">
        <is>
          <t>Yes</t>
        </is>
      </c>
      <c r="AR368">
        <f>HYPERLINK("http://catalog.hathitrust.org/Record/001563409","HathiTrust Record")</f>
        <v/>
      </c>
      <c r="AS368">
        <f>HYPERLINK("https://creighton-primo.hosted.exlibrisgroup.com/primo-explore/search?tab=default_tab&amp;search_scope=EVERYTHING&amp;vid=01CRU&amp;lang=en_US&amp;offset=0&amp;query=any,contains,991002001789702656","Catalog Record")</f>
        <v/>
      </c>
      <c r="AT368">
        <f>HYPERLINK("http://www.worldcat.org/oclc/256642","WorldCat Record")</f>
        <v/>
      </c>
      <c r="AU368" t="inlineStr">
        <is>
          <t>150499070:eng</t>
        </is>
      </c>
      <c r="AV368" t="inlineStr">
        <is>
          <t>256642</t>
        </is>
      </c>
      <c r="AW368" t="inlineStr">
        <is>
          <t>991002001789702656</t>
        </is>
      </c>
      <c r="AX368" t="inlineStr">
        <is>
          <t>991002001789702656</t>
        </is>
      </c>
      <c r="AY368" t="inlineStr">
        <is>
          <t>2272273640002656</t>
        </is>
      </c>
      <c r="AZ368" t="inlineStr">
        <is>
          <t>BOOK</t>
        </is>
      </c>
      <c r="BC368" t="inlineStr">
        <is>
          <t>32285003090031</t>
        </is>
      </c>
      <c r="BD368" t="inlineStr">
        <is>
          <t>893898274</t>
        </is>
      </c>
    </row>
    <row r="369">
      <c r="A369" t="inlineStr">
        <is>
          <t>No</t>
        </is>
      </c>
      <c r="B369" t="inlineStr">
        <is>
          <t>RC423 .N25</t>
        </is>
      </c>
      <c r="C369" t="inlineStr">
        <is>
          <t>0                      RC 0423000N  25</t>
        </is>
      </c>
      <c r="D369" t="inlineStr">
        <is>
          <t>Diagnosis of speech and language disorders / James E. Nation, Dorothy M. Aram.</t>
        </is>
      </c>
      <c r="F369" t="inlineStr">
        <is>
          <t>No</t>
        </is>
      </c>
      <c r="G369" t="inlineStr">
        <is>
          <t>1</t>
        </is>
      </c>
      <c r="H369" t="inlineStr">
        <is>
          <t>No</t>
        </is>
      </c>
      <c r="I369" t="inlineStr">
        <is>
          <t>No</t>
        </is>
      </c>
      <c r="J369" t="inlineStr">
        <is>
          <t>0</t>
        </is>
      </c>
      <c r="K369" t="inlineStr">
        <is>
          <t>Nation, James E., 1933-</t>
        </is>
      </c>
      <c r="L369" t="inlineStr">
        <is>
          <t>Saint Louis : Mosby, 1977.</t>
        </is>
      </c>
      <c r="M369" t="inlineStr">
        <is>
          <t>1977</t>
        </is>
      </c>
      <c r="O369" t="inlineStr">
        <is>
          <t>eng</t>
        </is>
      </c>
      <c r="P369" t="inlineStr">
        <is>
          <t>mou</t>
        </is>
      </c>
      <c r="R369" t="inlineStr">
        <is>
          <t xml:space="preserve">RC </t>
        </is>
      </c>
      <c r="S369" t="n">
        <v>2</v>
      </c>
      <c r="T369" t="n">
        <v>2</v>
      </c>
      <c r="U369" t="inlineStr">
        <is>
          <t>1994-02-22</t>
        </is>
      </c>
      <c r="V369" t="inlineStr">
        <is>
          <t>1994-02-22</t>
        </is>
      </c>
      <c r="W369" t="inlineStr">
        <is>
          <t>1992-04-07</t>
        </is>
      </c>
      <c r="X369" t="inlineStr">
        <is>
          <t>1992-04-07</t>
        </is>
      </c>
      <c r="Y369" t="n">
        <v>262</v>
      </c>
      <c r="Z369" t="n">
        <v>205</v>
      </c>
      <c r="AA369" t="n">
        <v>343</v>
      </c>
      <c r="AB369" t="n">
        <v>5</v>
      </c>
      <c r="AC369" t="n">
        <v>5</v>
      </c>
      <c r="AD369" t="n">
        <v>10</v>
      </c>
      <c r="AE369" t="n">
        <v>15</v>
      </c>
      <c r="AF369" t="n">
        <v>2</v>
      </c>
      <c r="AG369" t="n">
        <v>5</v>
      </c>
      <c r="AH369" t="n">
        <v>2</v>
      </c>
      <c r="AI369" t="n">
        <v>3</v>
      </c>
      <c r="AJ369" t="n">
        <v>5</v>
      </c>
      <c r="AK369" t="n">
        <v>7</v>
      </c>
      <c r="AL369" t="n">
        <v>4</v>
      </c>
      <c r="AM369" t="n">
        <v>4</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HYPERLINK("https://creighton-primo.hosted.exlibrisgroup.com/primo-explore/search?tab=default_tab&amp;search_scope=EVERYTHING&amp;vid=01CRU&amp;lang=en_US&amp;offset=0&amp;query=any,contains,991005265869702656","Catalog Record")</f>
        <v/>
      </c>
      <c r="AT369">
        <f>HYPERLINK("http://www.worldcat.org/oclc/2388191","WorldCat Record")</f>
        <v/>
      </c>
      <c r="AU369" t="inlineStr">
        <is>
          <t>3578633:eng</t>
        </is>
      </c>
      <c r="AV369" t="inlineStr">
        <is>
          <t>2388191</t>
        </is>
      </c>
      <c r="AW369" t="inlineStr">
        <is>
          <t>991005265869702656</t>
        </is>
      </c>
      <c r="AX369" t="inlineStr">
        <is>
          <t>991005265869702656</t>
        </is>
      </c>
      <c r="AY369" t="inlineStr">
        <is>
          <t>2259222450002656</t>
        </is>
      </c>
      <c r="AZ369" t="inlineStr">
        <is>
          <t>BOOK</t>
        </is>
      </c>
      <c r="BB369" t="inlineStr">
        <is>
          <t>9780801636318</t>
        </is>
      </c>
      <c r="BC369" t="inlineStr">
        <is>
          <t>32285001055614</t>
        </is>
      </c>
      <c r="BD369" t="inlineStr">
        <is>
          <t>893808101</t>
        </is>
      </c>
    </row>
    <row r="370">
      <c r="A370" t="inlineStr">
        <is>
          <t>No</t>
        </is>
      </c>
      <c r="B370" t="inlineStr">
        <is>
          <t>RC423 .P43 1977</t>
        </is>
      </c>
      <c r="C370" t="inlineStr">
        <is>
          <t>0                      RC 0423000P  43          1977</t>
        </is>
      </c>
      <c r="D370" t="inlineStr">
        <is>
          <t>Speech pathology : an applied behavioral science / William H. Perkins.</t>
        </is>
      </c>
      <c r="F370" t="inlineStr">
        <is>
          <t>No</t>
        </is>
      </c>
      <c r="G370" t="inlineStr">
        <is>
          <t>1</t>
        </is>
      </c>
      <c r="H370" t="inlineStr">
        <is>
          <t>No</t>
        </is>
      </c>
      <c r="I370" t="inlineStr">
        <is>
          <t>No</t>
        </is>
      </c>
      <c r="J370" t="inlineStr">
        <is>
          <t>0</t>
        </is>
      </c>
      <c r="K370" t="inlineStr">
        <is>
          <t>Perkins, William H. (William Hughes), 1923-</t>
        </is>
      </c>
      <c r="L370" t="inlineStr">
        <is>
          <t>Saint Louis : C. V. Mosby Co., 1977.</t>
        </is>
      </c>
      <c r="M370" t="inlineStr">
        <is>
          <t>1977</t>
        </is>
      </c>
      <c r="N370" t="inlineStr">
        <is>
          <t>2d ed.</t>
        </is>
      </c>
      <c r="O370" t="inlineStr">
        <is>
          <t>eng</t>
        </is>
      </c>
      <c r="P370" t="inlineStr">
        <is>
          <t>mou</t>
        </is>
      </c>
      <c r="R370" t="inlineStr">
        <is>
          <t xml:space="preserve">RC </t>
        </is>
      </c>
      <c r="S370" t="n">
        <v>4</v>
      </c>
      <c r="T370" t="n">
        <v>4</v>
      </c>
      <c r="U370" t="inlineStr">
        <is>
          <t>1994-02-28</t>
        </is>
      </c>
      <c r="V370" t="inlineStr">
        <is>
          <t>1994-02-28</t>
        </is>
      </c>
      <c r="W370" t="inlineStr">
        <is>
          <t>1991-11-19</t>
        </is>
      </c>
      <c r="X370" t="inlineStr">
        <is>
          <t>1991-11-19</t>
        </is>
      </c>
      <c r="Y370" t="n">
        <v>274</v>
      </c>
      <c r="Z370" t="n">
        <v>217</v>
      </c>
      <c r="AA370" t="n">
        <v>409</v>
      </c>
      <c r="AB370" t="n">
        <v>3</v>
      </c>
      <c r="AC370" t="n">
        <v>5</v>
      </c>
      <c r="AD370" t="n">
        <v>8</v>
      </c>
      <c r="AE370" t="n">
        <v>19</v>
      </c>
      <c r="AF370" t="n">
        <v>1</v>
      </c>
      <c r="AG370" t="n">
        <v>6</v>
      </c>
      <c r="AH370" t="n">
        <v>3</v>
      </c>
      <c r="AI370" t="n">
        <v>4</v>
      </c>
      <c r="AJ370" t="n">
        <v>4</v>
      </c>
      <c r="AK370" t="n">
        <v>8</v>
      </c>
      <c r="AL370" t="n">
        <v>2</v>
      </c>
      <c r="AM370" t="n">
        <v>4</v>
      </c>
      <c r="AN370" t="n">
        <v>0</v>
      </c>
      <c r="AO370" t="n">
        <v>0</v>
      </c>
      <c r="AP370" t="inlineStr">
        <is>
          <t>No</t>
        </is>
      </c>
      <c r="AQ370" t="inlineStr">
        <is>
          <t>Yes</t>
        </is>
      </c>
      <c r="AR370">
        <f>HYPERLINK("http://catalog.hathitrust.org/Record/000727652","HathiTrust Record")</f>
        <v/>
      </c>
      <c r="AS370">
        <f>HYPERLINK("https://creighton-primo.hosted.exlibrisgroup.com/primo-explore/search?tab=default_tab&amp;search_scope=EVERYTHING&amp;vid=01CRU&amp;lang=en_US&amp;offset=0&amp;query=any,contains,991004092959702656","Catalog Record")</f>
        <v/>
      </c>
      <c r="AT370">
        <f>HYPERLINK("http://www.worldcat.org/oclc/2347006","WorldCat Record")</f>
        <v/>
      </c>
      <c r="AU370" t="inlineStr">
        <is>
          <t>1277441:eng</t>
        </is>
      </c>
      <c r="AV370" t="inlineStr">
        <is>
          <t>2347006</t>
        </is>
      </c>
      <c r="AW370" t="inlineStr">
        <is>
          <t>991004092959702656</t>
        </is>
      </c>
      <c r="AX370" t="inlineStr">
        <is>
          <t>991004092959702656</t>
        </is>
      </c>
      <c r="AY370" t="inlineStr">
        <is>
          <t>2263616160002656</t>
        </is>
      </c>
      <c r="AZ370" t="inlineStr">
        <is>
          <t>BOOK</t>
        </is>
      </c>
      <c r="BB370" t="inlineStr">
        <is>
          <t>9780801637858</t>
        </is>
      </c>
      <c r="BC370" t="inlineStr">
        <is>
          <t>32285000824986</t>
        </is>
      </c>
      <c r="BD370" t="inlineStr">
        <is>
          <t>893253232</t>
        </is>
      </c>
    </row>
    <row r="371">
      <c r="A371" t="inlineStr">
        <is>
          <t>No</t>
        </is>
      </c>
      <c r="B371" t="inlineStr">
        <is>
          <t>RC423 .P47</t>
        </is>
      </c>
      <c r="C371" t="inlineStr">
        <is>
          <t>0                      RC 0423000P  47</t>
        </is>
      </c>
      <c r="D371" t="inlineStr">
        <is>
          <t>Appraisal and diagnosis of speech and language disorders / Harold A. Peterson, Thomas P. Marquardt.</t>
        </is>
      </c>
      <c r="F371" t="inlineStr">
        <is>
          <t>No</t>
        </is>
      </c>
      <c r="G371" t="inlineStr">
        <is>
          <t>1</t>
        </is>
      </c>
      <c r="H371" t="inlineStr">
        <is>
          <t>No</t>
        </is>
      </c>
      <c r="I371" t="inlineStr">
        <is>
          <t>No</t>
        </is>
      </c>
      <c r="J371" t="inlineStr">
        <is>
          <t>0</t>
        </is>
      </c>
      <c r="K371" t="inlineStr">
        <is>
          <t>Peterson, Harold A., 1926-</t>
        </is>
      </c>
      <c r="L371" t="inlineStr">
        <is>
          <t>Englewood Cliffs, N.J. : Prentice-Hall, c1981.</t>
        </is>
      </c>
      <c r="M371" t="inlineStr">
        <is>
          <t>1981</t>
        </is>
      </c>
      <c r="O371" t="inlineStr">
        <is>
          <t>eng</t>
        </is>
      </c>
      <c r="P371" t="inlineStr">
        <is>
          <t>nju</t>
        </is>
      </c>
      <c r="R371" t="inlineStr">
        <is>
          <t xml:space="preserve">RC </t>
        </is>
      </c>
      <c r="S371" t="n">
        <v>5</v>
      </c>
      <c r="T371" t="n">
        <v>5</v>
      </c>
      <c r="U371" t="inlineStr">
        <is>
          <t>1994-02-22</t>
        </is>
      </c>
      <c r="V371" t="inlineStr">
        <is>
          <t>1994-02-22</t>
        </is>
      </c>
      <c r="W371" t="inlineStr">
        <is>
          <t>1992-11-11</t>
        </is>
      </c>
      <c r="X371" t="inlineStr">
        <is>
          <t>1992-11-11</t>
        </is>
      </c>
      <c r="Y371" t="n">
        <v>304</v>
      </c>
      <c r="Z371" t="n">
        <v>253</v>
      </c>
      <c r="AA371" t="n">
        <v>414</v>
      </c>
      <c r="AB371" t="n">
        <v>3</v>
      </c>
      <c r="AC371" t="n">
        <v>4</v>
      </c>
      <c r="AD371" t="n">
        <v>12</v>
      </c>
      <c r="AE371" t="n">
        <v>14</v>
      </c>
      <c r="AF371" t="n">
        <v>6</v>
      </c>
      <c r="AG371" t="n">
        <v>7</v>
      </c>
      <c r="AH371" t="n">
        <v>1</v>
      </c>
      <c r="AI371" t="n">
        <v>1</v>
      </c>
      <c r="AJ371" t="n">
        <v>5</v>
      </c>
      <c r="AK371" t="n">
        <v>6</v>
      </c>
      <c r="AL371" t="n">
        <v>2</v>
      </c>
      <c r="AM371" t="n">
        <v>3</v>
      </c>
      <c r="AN371" t="n">
        <v>0</v>
      </c>
      <c r="AO371" t="n">
        <v>0</v>
      </c>
      <c r="AP371" t="inlineStr">
        <is>
          <t>No</t>
        </is>
      </c>
      <c r="AQ371" t="inlineStr">
        <is>
          <t>Yes</t>
        </is>
      </c>
      <c r="AR371">
        <f>HYPERLINK("http://catalog.hathitrust.org/Record/000144031","HathiTrust Record")</f>
        <v/>
      </c>
      <c r="AS371">
        <f>HYPERLINK("https://creighton-primo.hosted.exlibrisgroup.com/primo-explore/search?tab=default_tab&amp;search_scope=EVERYTHING&amp;vid=01CRU&amp;lang=en_US&amp;offset=0&amp;query=any,contains,991004974609702656","Catalog Record")</f>
        <v/>
      </c>
      <c r="AT371">
        <f>HYPERLINK("http://www.worldcat.org/oclc/6379058","WorldCat Record")</f>
        <v/>
      </c>
      <c r="AU371" t="inlineStr">
        <is>
          <t>21508855:eng</t>
        </is>
      </c>
      <c r="AV371" t="inlineStr">
        <is>
          <t>6379058</t>
        </is>
      </c>
      <c r="AW371" t="inlineStr">
        <is>
          <t>991004974609702656</t>
        </is>
      </c>
      <c r="AX371" t="inlineStr">
        <is>
          <t>991004974609702656</t>
        </is>
      </c>
      <c r="AY371" t="inlineStr">
        <is>
          <t>2270746630002656</t>
        </is>
      </c>
      <c r="AZ371" t="inlineStr">
        <is>
          <t>BOOK</t>
        </is>
      </c>
      <c r="BB371" t="inlineStr">
        <is>
          <t>9780130435057</t>
        </is>
      </c>
      <c r="BC371" t="inlineStr">
        <is>
          <t>32285001425718</t>
        </is>
      </c>
      <c r="BD371" t="inlineStr">
        <is>
          <t>893230059</t>
        </is>
      </c>
    </row>
    <row r="372">
      <c r="A372" t="inlineStr">
        <is>
          <t>No</t>
        </is>
      </c>
      <c r="B372" t="inlineStr">
        <is>
          <t>RC423 .S638</t>
        </is>
      </c>
      <c r="C372" t="inlineStr">
        <is>
          <t>0                      RC 0423000S  638</t>
        </is>
      </c>
      <c r="D372" t="inlineStr">
        <is>
          <t>Speech and language problems : an overview / edited by Morris Val Jones ; with a foreword by Virgil A. Anderson.</t>
        </is>
      </c>
      <c r="F372" t="inlineStr">
        <is>
          <t>No</t>
        </is>
      </c>
      <c r="G372" t="inlineStr">
        <is>
          <t>1</t>
        </is>
      </c>
      <c r="H372" t="inlineStr">
        <is>
          <t>No</t>
        </is>
      </c>
      <c r="I372" t="inlineStr">
        <is>
          <t>No</t>
        </is>
      </c>
      <c r="J372" t="inlineStr">
        <is>
          <t>0</t>
        </is>
      </c>
      <c r="L372" t="inlineStr">
        <is>
          <t>Springfield, Ill. : Thomas, c1979.</t>
        </is>
      </c>
      <c r="M372" t="inlineStr">
        <is>
          <t>1979</t>
        </is>
      </c>
      <c r="O372" t="inlineStr">
        <is>
          <t>eng</t>
        </is>
      </c>
      <c r="P372" t="inlineStr">
        <is>
          <t>ilu</t>
        </is>
      </c>
      <c r="Q372" t="inlineStr">
        <is>
          <t>American lecture series ; publication no. 1022</t>
        </is>
      </c>
      <c r="R372" t="inlineStr">
        <is>
          <t xml:space="preserve">RC </t>
        </is>
      </c>
      <c r="S372" t="n">
        <v>1</v>
      </c>
      <c r="T372" t="n">
        <v>1</v>
      </c>
      <c r="U372" t="inlineStr">
        <is>
          <t>1992-01-22</t>
        </is>
      </c>
      <c r="V372" t="inlineStr">
        <is>
          <t>1992-01-22</t>
        </is>
      </c>
      <c r="W372" t="inlineStr">
        <is>
          <t>1990-03-20</t>
        </is>
      </c>
      <c r="X372" t="inlineStr">
        <is>
          <t>1990-03-20</t>
        </is>
      </c>
      <c r="Y372" t="n">
        <v>200</v>
      </c>
      <c r="Z372" t="n">
        <v>172</v>
      </c>
      <c r="AA372" t="n">
        <v>174</v>
      </c>
      <c r="AB372" t="n">
        <v>4</v>
      </c>
      <c r="AC372" t="n">
        <v>4</v>
      </c>
      <c r="AD372" t="n">
        <v>8</v>
      </c>
      <c r="AE372" t="n">
        <v>8</v>
      </c>
      <c r="AF372" t="n">
        <v>1</v>
      </c>
      <c r="AG372" t="n">
        <v>1</v>
      </c>
      <c r="AH372" t="n">
        <v>1</v>
      </c>
      <c r="AI372" t="n">
        <v>1</v>
      </c>
      <c r="AJ372" t="n">
        <v>5</v>
      </c>
      <c r="AK372" t="n">
        <v>5</v>
      </c>
      <c r="AL372" t="n">
        <v>3</v>
      </c>
      <c r="AM372" t="n">
        <v>3</v>
      </c>
      <c r="AN372" t="n">
        <v>0</v>
      </c>
      <c r="AO372" t="n">
        <v>0</v>
      </c>
      <c r="AP372" t="inlineStr">
        <is>
          <t>No</t>
        </is>
      </c>
      <c r="AQ372" t="inlineStr">
        <is>
          <t>Yes</t>
        </is>
      </c>
      <c r="AR372">
        <f>HYPERLINK("http://catalog.hathitrust.org/Record/000700048","HathiTrust Record")</f>
        <v/>
      </c>
      <c r="AS372">
        <f>HYPERLINK("https://creighton-primo.hosted.exlibrisgroup.com/primo-explore/search?tab=default_tab&amp;search_scope=EVERYTHING&amp;vid=01CRU&amp;lang=en_US&amp;offset=0&amp;query=any,contains,991004487589702656","Catalog Record")</f>
        <v/>
      </c>
      <c r="AT372">
        <f>HYPERLINK("http://www.worldcat.org/oclc/3649910","WorldCat Record")</f>
        <v/>
      </c>
      <c r="AU372" t="inlineStr">
        <is>
          <t>471918:eng</t>
        </is>
      </c>
      <c r="AV372" t="inlineStr">
        <is>
          <t>3649910</t>
        </is>
      </c>
      <c r="AW372" t="inlineStr">
        <is>
          <t>991004487589702656</t>
        </is>
      </c>
      <c r="AX372" t="inlineStr">
        <is>
          <t>991004487589702656</t>
        </is>
      </c>
      <c r="AY372" t="inlineStr">
        <is>
          <t>2255899920002656</t>
        </is>
      </c>
      <c r="AZ372" t="inlineStr">
        <is>
          <t>BOOK</t>
        </is>
      </c>
      <c r="BB372" t="inlineStr">
        <is>
          <t>9780398037901</t>
        </is>
      </c>
      <c r="BC372" t="inlineStr">
        <is>
          <t>32285000088509</t>
        </is>
      </c>
      <c r="BD372" t="inlineStr">
        <is>
          <t>893876174</t>
        </is>
      </c>
    </row>
    <row r="373">
      <c r="A373" t="inlineStr">
        <is>
          <t>No</t>
        </is>
      </c>
      <c r="B373" t="inlineStr">
        <is>
          <t>RC424 .A3</t>
        </is>
      </c>
      <c r="C373" t="inlineStr">
        <is>
          <t>0                      RC 0424000A  3</t>
        </is>
      </c>
      <c r="D373" t="inlineStr">
        <is>
          <t>A clinician's guide to stuttering.</t>
        </is>
      </c>
      <c r="F373" t="inlineStr">
        <is>
          <t>No</t>
        </is>
      </c>
      <c r="G373" t="inlineStr">
        <is>
          <t>1</t>
        </is>
      </c>
      <c r="H373" t="inlineStr">
        <is>
          <t>No</t>
        </is>
      </c>
      <c r="I373" t="inlineStr">
        <is>
          <t>No</t>
        </is>
      </c>
      <c r="J373" t="inlineStr">
        <is>
          <t>0</t>
        </is>
      </c>
      <c r="K373" t="inlineStr">
        <is>
          <t>Adler, Sol, 1925-</t>
        </is>
      </c>
      <c r="L373" t="inlineStr">
        <is>
          <t>Springfield, Ill., C. C. Thomas [c1966]</t>
        </is>
      </c>
      <c r="M373" t="inlineStr">
        <is>
          <t>1966</t>
        </is>
      </c>
      <c r="O373" t="inlineStr">
        <is>
          <t>eng</t>
        </is>
      </c>
      <c r="P373" t="inlineStr">
        <is>
          <t>ilu</t>
        </is>
      </c>
      <c r="R373" t="inlineStr">
        <is>
          <t xml:space="preserve">RC </t>
        </is>
      </c>
      <c r="S373" t="n">
        <v>1</v>
      </c>
      <c r="T373" t="n">
        <v>1</v>
      </c>
      <c r="U373" t="inlineStr">
        <is>
          <t>2004-11-14</t>
        </is>
      </c>
      <c r="V373" t="inlineStr">
        <is>
          <t>2004-11-14</t>
        </is>
      </c>
      <c r="W373" t="inlineStr">
        <is>
          <t>1997-08-11</t>
        </is>
      </c>
      <c r="X373" t="inlineStr">
        <is>
          <t>1997-08-11</t>
        </is>
      </c>
      <c r="Y373" t="n">
        <v>270</v>
      </c>
      <c r="Z373" t="n">
        <v>253</v>
      </c>
      <c r="AA373" t="n">
        <v>255</v>
      </c>
      <c r="AB373" t="n">
        <v>5</v>
      </c>
      <c r="AC373" t="n">
        <v>5</v>
      </c>
      <c r="AD373" t="n">
        <v>13</v>
      </c>
      <c r="AE373" t="n">
        <v>13</v>
      </c>
      <c r="AF373" t="n">
        <v>5</v>
      </c>
      <c r="AG373" t="n">
        <v>5</v>
      </c>
      <c r="AH373" t="n">
        <v>2</v>
      </c>
      <c r="AI373" t="n">
        <v>2</v>
      </c>
      <c r="AJ373" t="n">
        <v>4</v>
      </c>
      <c r="AK373" t="n">
        <v>4</v>
      </c>
      <c r="AL373" t="n">
        <v>4</v>
      </c>
      <c r="AM373" t="n">
        <v>4</v>
      </c>
      <c r="AN373" t="n">
        <v>0</v>
      </c>
      <c r="AO373" t="n">
        <v>0</v>
      </c>
      <c r="AP373" t="inlineStr">
        <is>
          <t>No</t>
        </is>
      </c>
      <c r="AQ373" t="inlineStr">
        <is>
          <t>Yes</t>
        </is>
      </c>
      <c r="AR373">
        <f>HYPERLINK("http://catalog.hathitrust.org/Record/002066118","HathiTrust Record")</f>
        <v/>
      </c>
      <c r="AS373">
        <f>HYPERLINK("https://creighton-primo.hosted.exlibrisgroup.com/primo-explore/search?tab=default_tab&amp;search_scope=EVERYTHING&amp;vid=01CRU&amp;lang=en_US&amp;offset=0&amp;query=any,contains,991003048069702656","Catalog Record")</f>
        <v/>
      </c>
      <c r="AT373">
        <f>HYPERLINK("http://www.worldcat.org/oclc/608765","WorldCat Record")</f>
        <v/>
      </c>
      <c r="AU373" t="inlineStr">
        <is>
          <t>1633240:eng</t>
        </is>
      </c>
      <c r="AV373" t="inlineStr">
        <is>
          <t>608765</t>
        </is>
      </c>
      <c r="AW373" t="inlineStr">
        <is>
          <t>991003048069702656</t>
        </is>
      </c>
      <c r="AX373" t="inlineStr">
        <is>
          <t>991003048069702656</t>
        </is>
      </c>
      <c r="AY373" t="inlineStr">
        <is>
          <t>2254750560002656</t>
        </is>
      </c>
      <c r="AZ373" t="inlineStr">
        <is>
          <t>BOOK</t>
        </is>
      </c>
      <c r="BC373" t="inlineStr">
        <is>
          <t>32285003090098</t>
        </is>
      </c>
      <c r="BD373" t="inlineStr">
        <is>
          <t>893428383</t>
        </is>
      </c>
    </row>
    <row r="374">
      <c r="A374" t="inlineStr">
        <is>
          <t>No</t>
        </is>
      </c>
      <c r="B374" t="inlineStr">
        <is>
          <t>RC424 .F3</t>
        </is>
      </c>
      <c r="C374" t="inlineStr">
        <is>
          <t>0                      RC 0424000F  3</t>
        </is>
      </c>
      <c r="D374" t="inlineStr">
        <is>
          <t>Stuttering : learned and unlearned / by Frank J. Falck. With a foreword by Jane Beasley Raph.</t>
        </is>
      </c>
      <c r="F374" t="inlineStr">
        <is>
          <t>No</t>
        </is>
      </c>
      <c r="G374" t="inlineStr">
        <is>
          <t>1</t>
        </is>
      </c>
      <c r="H374" t="inlineStr">
        <is>
          <t>No</t>
        </is>
      </c>
      <c r="I374" t="inlineStr">
        <is>
          <t>No</t>
        </is>
      </c>
      <c r="J374" t="inlineStr">
        <is>
          <t>0</t>
        </is>
      </c>
      <c r="K374" t="inlineStr">
        <is>
          <t>Falck, Frank J. (Frank James), 1925-</t>
        </is>
      </c>
      <c r="L374" t="inlineStr">
        <is>
          <t>Springfield, Ill. : Thomas, [1969]</t>
        </is>
      </c>
      <c r="M374" t="inlineStr">
        <is>
          <t>1969</t>
        </is>
      </c>
      <c r="O374" t="inlineStr">
        <is>
          <t>eng</t>
        </is>
      </c>
      <c r="P374" t="inlineStr">
        <is>
          <t>ilu</t>
        </is>
      </c>
      <c r="R374" t="inlineStr">
        <is>
          <t xml:space="preserve">RC </t>
        </is>
      </c>
      <c r="S374" t="n">
        <v>8</v>
      </c>
      <c r="T374" t="n">
        <v>8</v>
      </c>
      <c r="U374" t="inlineStr">
        <is>
          <t>2002-12-02</t>
        </is>
      </c>
      <c r="V374" t="inlineStr">
        <is>
          <t>2002-12-02</t>
        </is>
      </c>
      <c r="W374" t="inlineStr">
        <is>
          <t>1990-12-28</t>
        </is>
      </c>
      <c r="X374" t="inlineStr">
        <is>
          <t>1990-12-28</t>
        </is>
      </c>
      <c r="Y374" t="n">
        <v>349</v>
      </c>
      <c r="Z374" t="n">
        <v>309</v>
      </c>
      <c r="AA374" t="n">
        <v>312</v>
      </c>
      <c r="AB374" t="n">
        <v>5</v>
      </c>
      <c r="AC374" t="n">
        <v>5</v>
      </c>
      <c r="AD374" t="n">
        <v>13</v>
      </c>
      <c r="AE374" t="n">
        <v>13</v>
      </c>
      <c r="AF374" t="n">
        <v>6</v>
      </c>
      <c r="AG374" t="n">
        <v>6</v>
      </c>
      <c r="AH374" t="n">
        <v>3</v>
      </c>
      <c r="AI374" t="n">
        <v>3</v>
      </c>
      <c r="AJ374" t="n">
        <v>4</v>
      </c>
      <c r="AK374" t="n">
        <v>4</v>
      </c>
      <c r="AL374" t="n">
        <v>3</v>
      </c>
      <c r="AM374" t="n">
        <v>3</v>
      </c>
      <c r="AN374" t="n">
        <v>0</v>
      </c>
      <c r="AO374" t="n">
        <v>0</v>
      </c>
      <c r="AP374" t="inlineStr">
        <is>
          <t>No</t>
        </is>
      </c>
      <c r="AQ374" t="inlineStr">
        <is>
          <t>Yes</t>
        </is>
      </c>
      <c r="AR374">
        <f>HYPERLINK("http://catalog.hathitrust.org/Record/001563456","HathiTrust Record")</f>
        <v/>
      </c>
      <c r="AS374">
        <f>HYPERLINK("https://creighton-primo.hosted.exlibrisgroup.com/primo-explore/search?tab=default_tab&amp;search_scope=EVERYTHING&amp;vid=01CRU&amp;lang=en_US&amp;offset=0&amp;query=any,contains,991005434749702656","Catalog Record")</f>
        <v/>
      </c>
      <c r="AT374">
        <f>HYPERLINK("http://www.worldcat.org/oclc/2546","WorldCat Record")</f>
        <v/>
      </c>
      <c r="AU374" t="inlineStr">
        <is>
          <t>422155635:eng</t>
        </is>
      </c>
      <c r="AV374" t="inlineStr">
        <is>
          <t>2546</t>
        </is>
      </c>
      <c r="AW374" t="inlineStr">
        <is>
          <t>991005434749702656</t>
        </is>
      </c>
      <c r="AX374" t="inlineStr">
        <is>
          <t>991005434749702656</t>
        </is>
      </c>
      <c r="AY374" t="inlineStr">
        <is>
          <t>2262650960002656</t>
        </is>
      </c>
      <c r="AZ374" t="inlineStr">
        <is>
          <t>BOOK</t>
        </is>
      </c>
      <c r="BC374" t="inlineStr">
        <is>
          <t>32285000426618</t>
        </is>
      </c>
      <c r="BD374" t="inlineStr">
        <is>
          <t>893263845</t>
        </is>
      </c>
    </row>
    <row r="375">
      <c r="A375" t="inlineStr">
        <is>
          <t>No</t>
        </is>
      </c>
      <c r="B375" t="inlineStr">
        <is>
          <t>RC424 .F69 1984</t>
        </is>
      </c>
      <c r="C375" t="inlineStr">
        <is>
          <t>0                      RC 0424000F  69          1984</t>
        </is>
      </c>
      <c r="D375" t="inlineStr">
        <is>
          <t>Self-therapy for the stutterer / Malcolm Fraser.</t>
        </is>
      </c>
      <c r="F375" t="inlineStr">
        <is>
          <t>No</t>
        </is>
      </c>
      <c r="G375" t="inlineStr">
        <is>
          <t>1</t>
        </is>
      </c>
      <c r="H375" t="inlineStr">
        <is>
          <t>No</t>
        </is>
      </c>
      <c r="I375" t="inlineStr">
        <is>
          <t>No</t>
        </is>
      </c>
      <c r="J375" t="inlineStr">
        <is>
          <t>0</t>
        </is>
      </c>
      <c r="K375" t="inlineStr">
        <is>
          <t>Fraser, Malcolm.</t>
        </is>
      </c>
      <c r="L375" t="inlineStr">
        <is>
          <t>Memphis : Speech Foundation of America, [1984?]</t>
        </is>
      </c>
      <c r="M375" t="inlineStr">
        <is>
          <t>1984</t>
        </is>
      </c>
      <c r="N375" t="inlineStr">
        <is>
          <t>5th ed.</t>
        </is>
      </c>
      <c r="O375" t="inlineStr">
        <is>
          <t>eng</t>
        </is>
      </c>
      <c r="P375" t="inlineStr">
        <is>
          <t>tnu</t>
        </is>
      </c>
      <c r="Q375" t="inlineStr">
        <is>
          <t>Publication (Speech Foundation of America) ; no. 12</t>
        </is>
      </c>
      <c r="R375" t="inlineStr">
        <is>
          <t xml:space="preserve">RC </t>
        </is>
      </c>
      <c r="S375" t="n">
        <v>10</v>
      </c>
      <c r="T375" t="n">
        <v>10</v>
      </c>
      <c r="U375" t="inlineStr">
        <is>
          <t>2007-12-14</t>
        </is>
      </c>
      <c r="V375" t="inlineStr">
        <is>
          <t>2007-12-14</t>
        </is>
      </c>
      <c r="W375" t="inlineStr">
        <is>
          <t>1993-03-19</t>
        </is>
      </c>
      <c r="X375" t="inlineStr">
        <is>
          <t>1993-03-19</t>
        </is>
      </c>
      <c r="Y375" t="n">
        <v>1119</v>
      </c>
      <c r="Z375" t="n">
        <v>1116</v>
      </c>
      <c r="AA375" t="n">
        <v>2946</v>
      </c>
      <c r="AB375" t="n">
        <v>14</v>
      </c>
      <c r="AC375" t="n">
        <v>43</v>
      </c>
      <c r="AD375" t="n">
        <v>32</v>
      </c>
      <c r="AE375" t="n">
        <v>42</v>
      </c>
      <c r="AF375" t="n">
        <v>14</v>
      </c>
      <c r="AG375" t="n">
        <v>18</v>
      </c>
      <c r="AH375" t="n">
        <v>4</v>
      </c>
      <c r="AI375" t="n">
        <v>5</v>
      </c>
      <c r="AJ375" t="n">
        <v>17</v>
      </c>
      <c r="AK375" t="n">
        <v>23</v>
      </c>
      <c r="AL375" t="n">
        <v>6</v>
      </c>
      <c r="AM375" t="n">
        <v>7</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HYPERLINK("https://creighton-primo.hosted.exlibrisgroup.com/primo-explore/search?tab=default_tab&amp;search_scope=EVERYTHING&amp;vid=01CRU&amp;lang=en_US&amp;offset=0&amp;query=any,contains,991000665879702656","Catalog Record")</f>
        <v/>
      </c>
      <c r="AT375">
        <f>HYPERLINK("http://www.worldcat.org/oclc/12278454","WorldCat Record")</f>
        <v/>
      </c>
      <c r="AU375" t="inlineStr">
        <is>
          <t>3062822:eng</t>
        </is>
      </c>
      <c r="AV375" t="inlineStr">
        <is>
          <t>12278454</t>
        </is>
      </c>
      <c r="AW375" t="inlineStr">
        <is>
          <t>991000665879702656</t>
        </is>
      </c>
      <c r="AX375" t="inlineStr">
        <is>
          <t>991000665879702656</t>
        </is>
      </c>
      <c r="AY375" t="inlineStr">
        <is>
          <t>2270345120002656</t>
        </is>
      </c>
      <c r="AZ375" t="inlineStr">
        <is>
          <t>BOOK</t>
        </is>
      </c>
      <c r="BB375" t="inlineStr">
        <is>
          <t>9780933388246</t>
        </is>
      </c>
      <c r="BC375" t="inlineStr">
        <is>
          <t>32285001605046</t>
        </is>
      </c>
      <c r="BD375" t="inlineStr">
        <is>
          <t>893903114</t>
        </is>
      </c>
    </row>
    <row r="376">
      <c r="A376" t="inlineStr">
        <is>
          <t>No</t>
        </is>
      </c>
      <c r="B376" t="inlineStr">
        <is>
          <t>RC424 .F7</t>
        </is>
      </c>
      <c r="C376" t="inlineStr">
        <is>
          <t>0                      RC 0424000F  7</t>
        </is>
      </c>
      <c r="D376" t="inlineStr">
        <is>
          <t>Psychopathology and the problems of stuttering, with special consideration of clinical and historical aspects. With a foreword by Charles Van Riper.</t>
        </is>
      </c>
      <c r="F376" t="inlineStr">
        <is>
          <t>No</t>
        </is>
      </c>
      <c r="G376" t="inlineStr">
        <is>
          <t>1</t>
        </is>
      </c>
      <c r="H376" t="inlineStr">
        <is>
          <t>No</t>
        </is>
      </c>
      <c r="I376" t="inlineStr">
        <is>
          <t>No</t>
        </is>
      </c>
      <c r="J376" t="inlineStr">
        <is>
          <t>0</t>
        </is>
      </c>
      <c r="K376" t="inlineStr">
        <is>
          <t>Freund, Henry.</t>
        </is>
      </c>
      <c r="L376" t="inlineStr">
        <is>
          <t>Springfield, Ill., C.C. Thomas [1966]</t>
        </is>
      </c>
      <c r="M376" t="inlineStr">
        <is>
          <t>1966</t>
        </is>
      </c>
      <c r="O376" t="inlineStr">
        <is>
          <t>eng</t>
        </is>
      </c>
      <c r="P376" t="inlineStr">
        <is>
          <t>ilu</t>
        </is>
      </c>
      <c r="Q376" t="inlineStr">
        <is>
          <t>American lecture series ; publication no. 641. American lectures in speech and hearing</t>
        </is>
      </c>
      <c r="R376" t="inlineStr">
        <is>
          <t xml:space="preserve">RC </t>
        </is>
      </c>
      <c r="S376" t="n">
        <v>4</v>
      </c>
      <c r="T376" t="n">
        <v>4</v>
      </c>
      <c r="U376" t="inlineStr">
        <is>
          <t>2002-12-02</t>
        </is>
      </c>
      <c r="V376" t="inlineStr">
        <is>
          <t>2002-12-02</t>
        </is>
      </c>
      <c r="W376" t="inlineStr">
        <is>
          <t>1997-08-11</t>
        </is>
      </c>
      <c r="X376" t="inlineStr">
        <is>
          <t>1997-08-11</t>
        </is>
      </c>
      <c r="Y376" t="n">
        <v>321</v>
      </c>
      <c r="Z376" t="n">
        <v>269</v>
      </c>
      <c r="AA376" t="n">
        <v>272</v>
      </c>
      <c r="AB376" t="n">
        <v>3</v>
      </c>
      <c r="AC376" t="n">
        <v>3</v>
      </c>
      <c r="AD376" t="n">
        <v>11</v>
      </c>
      <c r="AE376" t="n">
        <v>11</v>
      </c>
      <c r="AF376" t="n">
        <v>4</v>
      </c>
      <c r="AG376" t="n">
        <v>4</v>
      </c>
      <c r="AH376" t="n">
        <v>2</v>
      </c>
      <c r="AI376" t="n">
        <v>2</v>
      </c>
      <c r="AJ376" t="n">
        <v>5</v>
      </c>
      <c r="AK376" t="n">
        <v>5</v>
      </c>
      <c r="AL376" t="n">
        <v>2</v>
      </c>
      <c r="AM376" t="n">
        <v>2</v>
      </c>
      <c r="AN376" t="n">
        <v>0</v>
      </c>
      <c r="AO376" t="n">
        <v>0</v>
      </c>
      <c r="AP376" t="inlineStr">
        <is>
          <t>No</t>
        </is>
      </c>
      <c r="AQ376" t="inlineStr">
        <is>
          <t>Yes</t>
        </is>
      </c>
      <c r="AR376">
        <f>HYPERLINK("http://catalog.hathitrust.org/Record/000879705","HathiTrust Record")</f>
        <v/>
      </c>
      <c r="AS376">
        <f>HYPERLINK("https://creighton-primo.hosted.exlibrisgroup.com/primo-explore/search?tab=default_tab&amp;search_scope=EVERYTHING&amp;vid=01CRU&amp;lang=en_US&amp;offset=0&amp;query=any,contains,991003050889702656","Catalog Record")</f>
        <v/>
      </c>
      <c r="AT376">
        <f>HYPERLINK("http://www.worldcat.org/oclc/610702","WorldCat Record")</f>
        <v/>
      </c>
      <c r="AU376" t="inlineStr">
        <is>
          <t>289178:eng</t>
        </is>
      </c>
      <c r="AV376" t="inlineStr">
        <is>
          <t>610702</t>
        </is>
      </c>
      <c r="AW376" t="inlineStr">
        <is>
          <t>991003050889702656</t>
        </is>
      </c>
      <c r="AX376" t="inlineStr">
        <is>
          <t>991003050889702656</t>
        </is>
      </c>
      <c r="AY376" t="inlineStr">
        <is>
          <t>2267995410002656</t>
        </is>
      </c>
      <c r="AZ376" t="inlineStr">
        <is>
          <t>BOOK</t>
        </is>
      </c>
      <c r="BC376" t="inlineStr">
        <is>
          <t>32285003090130</t>
        </is>
      </c>
      <c r="BD376" t="inlineStr">
        <is>
          <t>893698626</t>
        </is>
      </c>
    </row>
    <row r="377">
      <c r="A377" t="inlineStr">
        <is>
          <t>No</t>
        </is>
      </c>
      <c r="B377" t="inlineStr">
        <is>
          <t>RC424 .I53 1984</t>
        </is>
      </c>
      <c r="C377" t="inlineStr">
        <is>
          <t>0                      RC 0424000I  53          1984</t>
        </is>
      </c>
      <c r="D377" t="inlineStr">
        <is>
          <t>Stuttering and behavior therapy : current status and experimental foundations / by Roger John Ingham.</t>
        </is>
      </c>
      <c r="F377" t="inlineStr">
        <is>
          <t>No</t>
        </is>
      </c>
      <c r="G377" t="inlineStr">
        <is>
          <t>1</t>
        </is>
      </c>
      <c r="H377" t="inlineStr">
        <is>
          <t>No</t>
        </is>
      </c>
      <c r="I377" t="inlineStr">
        <is>
          <t>No</t>
        </is>
      </c>
      <c r="J377" t="inlineStr">
        <is>
          <t>0</t>
        </is>
      </c>
      <c r="K377" t="inlineStr">
        <is>
          <t>Ingham, Roger J., 1945-</t>
        </is>
      </c>
      <c r="L377" t="inlineStr">
        <is>
          <t>San Diego, Calif. : College-Hill Press, c1984.</t>
        </is>
      </c>
      <c r="M377" t="inlineStr">
        <is>
          <t>1984</t>
        </is>
      </c>
      <c r="O377" t="inlineStr">
        <is>
          <t>eng</t>
        </is>
      </c>
      <c r="P377" t="inlineStr">
        <is>
          <t>cau</t>
        </is>
      </c>
      <c r="R377" t="inlineStr">
        <is>
          <t xml:space="preserve">RC </t>
        </is>
      </c>
      <c r="S377" t="n">
        <v>6</v>
      </c>
      <c r="T377" t="n">
        <v>6</v>
      </c>
      <c r="U377" t="inlineStr">
        <is>
          <t>2001-04-09</t>
        </is>
      </c>
      <c r="V377" t="inlineStr">
        <is>
          <t>2001-04-09</t>
        </is>
      </c>
      <c r="W377" t="inlineStr">
        <is>
          <t>1993-03-19</t>
        </is>
      </c>
      <c r="X377" t="inlineStr">
        <is>
          <t>1993-03-19</t>
        </is>
      </c>
      <c r="Y377" t="n">
        <v>287</v>
      </c>
      <c r="Z377" t="n">
        <v>247</v>
      </c>
      <c r="AA377" t="n">
        <v>255</v>
      </c>
      <c r="AB377" t="n">
        <v>3</v>
      </c>
      <c r="AC377" t="n">
        <v>3</v>
      </c>
      <c r="AD377" t="n">
        <v>14</v>
      </c>
      <c r="AE377" t="n">
        <v>14</v>
      </c>
      <c r="AF377" t="n">
        <v>7</v>
      </c>
      <c r="AG377" t="n">
        <v>7</v>
      </c>
      <c r="AH377" t="n">
        <v>2</v>
      </c>
      <c r="AI377" t="n">
        <v>2</v>
      </c>
      <c r="AJ377" t="n">
        <v>6</v>
      </c>
      <c r="AK377" t="n">
        <v>6</v>
      </c>
      <c r="AL377" t="n">
        <v>2</v>
      </c>
      <c r="AM377" t="n">
        <v>2</v>
      </c>
      <c r="AN377" t="n">
        <v>0</v>
      </c>
      <c r="AO377" t="n">
        <v>0</v>
      </c>
      <c r="AP377" t="inlineStr">
        <is>
          <t>No</t>
        </is>
      </c>
      <c r="AQ377" t="inlineStr">
        <is>
          <t>Yes</t>
        </is>
      </c>
      <c r="AR377">
        <f>HYPERLINK("http://catalog.hathitrust.org/Record/000285369","HathiTrust Record")</f>
        <v/>
      </c>
      <c r="AS377">
        <f>HYPERLINK("https://creighton-primo.hosted.exlibrisgroup.com/primo-explore/search?tab=default_tab&amp;search_scope=EVERYTHING&amp;vid=01CRU&amp;lang=en_US&amp;offset=0&amp;query=any,contains,991000225769702656","Catalog Record")</f>
        <v/>
      </c>
      <c r="AT377">
        <f>HYPERLINK("http://www.worldcat.org/oclc/9619751","WorldCat Record")</f>
        <v/>
      </c>
      <c r="AU377" t="inlineStr">
        <is>
          <t>43127749:eng</t>
        </is>
      </c>
      <c r="AV377" t="inlineStr">
        <is>
          <t>9619751</t>
        </is>
      </c>
      <c r="AW377" t="inlineStr">
        <is>
          <t>991000225769702656</t>
        </is>
      </c>
      <c r="AX377" t="inlineStr">
        <is>
          <t>991000225769702656</t>
        </is>
      </c>
      <c r="AY377" t="inlineStr">
        <is>
          <t>2255515230002656</t>
        </is>
      </c>
      <c r="AZ377" t="inlineStr">
        <is>
          <t>BOOK</t>
        </is>
      </c>
      <c r="BB377" t="inlineStr">
        <is>
          <t>9780933014725</t>
        </is>
      </c>
      <c r="BC377" t="inlineStr">
        <is>
          <t>32285001605053</t>
        </is>
      </c>
      <c r="BD377" t="inlineStr">
        <is>
          <t>893413199</t>
        </is>
      </c>
    </row>
    <row r="378">
      <c r="A378" t="inlineStr">
        <is>
          <t>No</t>
        </is>
      </c>
      <c r="B378" t="inlineStr">
        <is>
          <t>RC424 .I78</t>
        </is>
      </c>
      <c r="C378" t="inlineStr">
        <is>
          <t>0                      RC 0424000I  78</t>
        </is>
      </c>
      <c r="D378" t="inlineStr">
        <is>
          <t>Successful treatment of stuttering / Ann Irwin.</t>
        </is>
      </c>
      <c r="F378" t="inlineStr">
        <is>
          <t>No</t>
        </is>
      </c>
      <c r="G378" t="inlineStr">
        <is>
          <t>1</t>
        </is>
      </c>
      <c r="H378" t="inlineStr">
        <is>
          <t>No</t>
        </is>
      </c>
      <c r="I378" t="inlineStr">
        <is>
          <t>No</t>
        </is>
      </c>
      <c r="J378" t="inlineStr">
        <is>
          <t>0</t>
        </is>
      </c>
      <c r="K378" t="inlineStr">
        <is>
          <t>Irwin, Ann.</t>
        </is>
      </c>
      <c r="L378" t="inlineStr">
        <is>
          <t>New York : Walker, c1980, 1981.</t>
        </is>
      </c>
      <c r="M378" t="inlineStr">
        <is>
          <t>1980</t>
        </is>
      </c>
      <c r="O378" t="inlineStr">
        <is>
          <t>eng</t>
        </is>
      </c>
      <c r="P378" t="inlineStr">
        <is>
          <t>nyu</t>
        </is>
      </c>
      <c r="R378" t="inlineStr">
        <is>
          <t xml:space="preserve">RC </t>
        </is>
      </c>
      <c r="S378" t="n">
        <v>13</v>
      </c>
      <c r="T378" t="n">
        <v>13</v>
      </c>
      <c r="U378" t="inlineStr">
        <is>
          <t>2007-09-12</t>
        </is>
      </c>
      <c r="V378" t="inlineStr">
        <is>
          <t>2007-09-12</t>
        </is>
      </c>
      <c r="W378" t="inlineStr">
        <is>
          <t>1993-03-19</t>
        </is>
      </c>
      <c r="X378" t="inlineStr">
        <is>
          <t>1993-03-19</t>
        </is>
      </c>
      <c r="Y378" t="n">
        <v>320</v>
      </c>
      <c r="Z378" t="n">
        <v>299</v>
      </c>
      <c r="AA378" t="n">
        <v>304</v>
      </c>
      <c r="AB378" t="n">
        <v>3</v>
      </c>
      <c r="AC378" t="n">
        <v>3</v>
      </c>
      <c r="AD378" t="n">
        <v>4</v>
      </c>
      <c r="AE378" t="n">
        <v>4</v>
      </c>
      <c r="AF378" t="n">
        <v>1</v>
      </c>
      <c r="AG378" t="n">
        <v>1</v>
      </c>
      <c r="AH378" t="n">
        <v>1</v>
      </c>
      <c r="AI378" t="n">
        <v>1</v>
      </c>
      <c r="AJ378" t="n">
        <v>1</v>
      </c>
      <c r="AK378" t="n">
        <v>1</v>
      </c>
      <c r="AL378" t="n">
        <v>2</v>
      </c>
      <c r="AM378" t="n">
        <v>2</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HYPERLINK("https://creighton-primo.hosted.exlibrisgroup.com/primo-explore/search?tab=default_tab&amp;search_scope=EVERYTHING&amp;vid=01CRU&amp;lang=en_US&amp;offset=0&amp;query=any,contains,991005082029702656","Catalog Record")</f>
        <v/>
      </c>
      <c r="AT378">
        <f>HYPERLINK("http://www.worldcat.org/oclc/7173508","WorldCat Record")</f>
        <v/>
      </c>
      <c r="AU378" t="inlineStr">
        <is>
          <t>453997:eng</t>
        </is>
      </c>
      <c r="AV378" t="inlineStr">
        <is>
          <t>7173508</t>
        </is>
      </c>
      <c r="AW378" t="inlineStr">
        <is>
          <t>991005082029702656</t>
        </is>
      </c>
      <c r="AX378" t="inlineStr">
        <is>
          <t>991005082029702656</t>
        </is>
      </c>
      <c r="AY378" t="inlineStr">
        <is>
          <t>2255509590002656</t>
        </is>
      </c>
      <c r="AZ378" t="inlineStr">
        <is>
          <t>BOOK</t>
        </is>
      </c>
      <c r="BB378" t="inlineStr">
        <is>
          <t>9780802706713</t>
        </is>
      </c>
      <c r="BC378" t="inlineStr">
        <is>
          <t>32285001605061</t>
        </is>
      </c>
      <c r="BD378" t="inlineStr">
        <is>
          <t>893776797</t>
        </is>
      </c>
    </row>
    <row r="379">
      <c r="A379" t="inlineStr">
        <is>
          <t>No</t>
        </is>
      </c>
      <c r="B379" t="inlineStr">
        <is>
          <t>RC424 .J764</t>
        </is>
      </c>
      <c r="C379" t="inlineStr">
        <is>
          <t>0                      RC 0424000J  764</t>
        </is>
      </c>
      <c r="D379" t="inlineStr">
        <is>
          <t>Stuttering in children and adults : thirty years of research at the University of Iowa / edited by Wendell Johnson, assisted by Ralph R. Leutenegger.</t>
        </is>
      </c>
      <c r="F379" t="inlineStr">
        <is>
          <t>No</t>
        </is>
      </c>
      <c r="G379" t="inlineStr">
        <is>
          <t>1</t>
        </is>
      </c>
      <c r="H379" t="inlineStr">
        <is>
          <t>No</t>
        </is>
      </c>
      <c r="I379" t="inlineStr">
        <is>
          <t>No</t>
        </is>
      </c>
      <c r="J379" t="inlineStr">
        <is>
          <t>0</t>
        </is>
      </c>
      <c r="K379" t="inlineStr">
        <is>
          <t>Johnson, Wendell, 1906-1965.</t>
        </is>
      </c>
      <c r="L379" t="inlineStr">
        <is>
          <t>Minneapolis : University of Minnesota Press, [1956, c1955]</t>
        </is>
      </c>
      <c r="M379" t="inlineStr">
        <is>
          <t>1956</t>
        </is>
      </c>
      <c r="O379" t="inlineStr">
        <is>
          <t>eng</t>
        </is>
      </c>
      <c r="P379" t="inlineStr">
        <is>
          <t>mnu</t>
        </is>
      </c>
      <c r="R379" t="inlineStr">
        <is>
          <t xml:space="preserve">RC </t>
        </is>
      </c>
      <c r="S379" t="n">
        <v>5</v>
      </c>
      <c r="T379" t="n">
        <v>5</v>
      </c>
      <c r="U379" t="inlineStr">
        <is>
          <t>2002-12-02</t>
        </is>
      </c>
      <c r="V379" t="inlineStr">
        <is>
          <t>2002-12-02</t>
        </is>
      </c>
      <c r="W379" t="inlineStr">
        <is>
          <t>1990-04-10</t>
        </is>
      </c>
      <c r="X379" t="inlineStr">
        <is>
          <t>1990-04-10</t>
        </is>
      </c>
      <c r="Y379" t="n">
        <v>186</v>
      </c>
      <c r="Z379" t="n">
        <v>184</v>
      </c>
      <c r="AA379" t="n">
        <v>553</v>
      </c>
      <c r="AB379" t="n">
        <v>1</v>
      </c>
      <c r="AC379" t="n">
        <v>3</v>
      </c>
      <c r="AD379" t="n">
        <v>7</v>
      </c>
      <c r="AE379" t="n">
        <v>24</v>
      </c>
      <c r="AF379" t="n">
        <v>3</v>
      </c>
      <c r="AG379" t="n">
        <v>10</v>
      </c>
      <c r="AH379" t="n">
        <v>1</v>
      </c>
      <c r="AI379" t="n">
        <v>7</v>
      </c>
      <c r="AJ379" t="n">
        <v>4</v>
      </c>
      <c r="AK379" t="n">
        <v>12</v>
      </c>
      <c r="AL379" t="n">
        <v>0</v>
      </c>
      <c r="AM379" t="n">
        <v>2</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HYPERLINK("https://creighton-primo.hosted.exlibrisgroup.com/primo-explore/search?tab=default_tab&amp;search_scope=EVERYTHING&amp;vid=01CRU&amp;lang=en_US&amp;offset=0&amp;query=any,contains,991002219269702656","Catalog Record")</f>
        <v/>
      </c>
      <c r="AT379">
        <f>HYPERLINK("http://www.worldcat.org/oclc/289629","WorldCat Record")</f>
        <v/>
      </c>
      <c r="AU379" t="inlineStr">
        <is>
          <t>1467798:eng</t>
        </is>
      </c>
      <c r="AV379" t="inlineStr">
        <is>
          <t>289629</t>
        </is>
      </c>
      <c r="AW379" t="inlineStr">
        <is>
          <t>991002219269702656</t>
        </is>
      </c>
      <c r="AX379" t="inlineStr">
        <is>
          <t>991002219269702656</t>
        </is>
      </c>
      <c r="AY379" t="inlineStr">
        <is>
          <t>2262022580002656</t>
        </is>
      </c>
      <c r="AZ379" t="inlineStr">
        <is>
          <t>BOOK</t>
        </is>
      </c>
      <c r="BC379" t="inlineStr">
        <is>
          <t>32285000104629</t>
        </is>
      </c>
      <c r="BD379" t="inlineStr">
        <is>
          <t>893250956</t>
        </is>
      </c>
    </row>
    <row r="380">
      <c r="A380" t="inlineStr">
        <is>
          <t>No</t>
        </is>
      </c>
      <c r="B380" t="inlineStr">
        <is>
          <t>RC424 .L87</t>
        </is>
      </c>
      <c r="C380" t="inlineStr">
        <is>
          <t>0                      RC 0424000L  87</t>
        </is>
      </c>
      <c r="D380" t="inlineStr">
        <is>
          <t>Stuttering therapy for children [by] Harold L. Luper [and] Robert L. Mulder.</t>
        </is>
      </c>
      <c r="F380" t="inlineStr">
        <is>
          <t>No</t>
        </is>
      </c>
      <c r="G380" t="inlineStr">
        <is>
          <t>1</t>
        </is>
      </c>
      <c r="H380" t="inlineStr">
        <is>
          <t>No</t>
        </is>
      </c>
      <c r="I380" t="inlineStr">
        <is>
          <t>No</t>
        </is>
      </c>
      <c r="J380" t="inlineStr">
        <is>
          <t>0</t>
        </is>
      </c>
      <c r="K380" t="inlineStr">
        <is>
          <t>Luper, Harold L. (Harold Lee)</t>
        </is>
      </c>
      <c r="L380" t="inlineStr">
        <is>
          <t>Englewood Cliffs, N.J., Prentice-Hall [1964]</t>
        </is>
      </c>
      <c r="M380" t="inlineStr">
        <is>
          <t>1964</t>
        </is>
      </c>
      <c r="O380" t="inlineStr">
        <is>
          <t>eng</t>
        </is>
      </c>
      <c r="P380" t="inlineStr">
        <is>
          <t>nju</t>
        </is>
      </c>
      <c r="R380" t="inlineStr">
        <is>
          <t xml:space="preserve">RC </t>
        </is>
      </c>
      <c r="S380" t="n">
        <v>1</v>
      </c>
      <c r="T380" t="n">
        <v>1</v>
      </c>
      <c r="U380" t="inlineStr">
        <is>
          <t>2001-04-09</t>
        </is>
      </c>
      <c r="V380" t="inlineStr">
        <is>
          <t>2001-04-09</t>
        </is>
      </c>
      <c r="W380" t="inlineStr">
        <is>
          <t>1997-08-11</t>
        </is>
      </c>
      <c r="X380" t="inlineStr">
        <is>
          <t>1997-08-11</t>
        </is>
      </c>
      <c r="Y380" t="n">
        <v>452</v>
      </c>
      <c r="Z380" t="n">
        <v>394</v>
      </c>
      <c r="AA380" t="n">
        <v>407</v>
      </c>
      <c r="AB380" t="n">
        <v>7</v>
      </c>
      <c r="AC380" t="n">
        <v>7</v>
      </c>
      <c r="AD380" t="n">
        <v>22</v>
      </c>
      <c r="AE380" t="n">
        <v>24</v>
      </c>
      <c r="AF380" t="n">
        <v>7</v>
      </c>
      <c r="AG380" t="n">
        <v>8</v>
      </c>
      <c r="AH380" t="n">
        <v>3</v>
      </c>
      <c r="AI380" t="n">
        <v>4</v>
      </c>
      <c r="AJ380" t="n">
        <v>10</v>
      </c>
      <c r="AK380" t="n">
        <v>10</v>
      </c>
      <c r="AL380" t="n">
        <v>6</v>
      </c>
      <c r="AM380" t="n">
        <v>6</v>
      </c>
      <c r="AN380" t="n">
        <v>0</v>
      </c>
      <c r="AO380" t="n">
        <v>0</v>
      </c>
      <c r="AP380" t="inlineStr">
        <is>
          <t>No</t>
        </is>
      </c>
      <c r="AQ380" t="inlineStr">
        <is>
          <t>Yes</t>
        </is>
      </c>
      <c r="AR380">
        <f>HYPERLINK("http://catalog.hathitrust.org/Record/001563474","HathiTrust Record")</f>
        <v/>
      </c>
      <c r="AS380">
        <f>HYPERLINK("https://creighton-primo.hosted.exlibrisgroup.com/primo-explore/search?tab=default_tab&amp;search_scope=EVERYTHING&amp;vid=01CRU&amp;lang=en_US&amp;offset=0&amp;query=any,contains,991005265859702656","Catalog Record")</f>
        <v/>
      </c>
      <c r="AT380">
        <f>HYPERLINK("http://www.worldcat.org/oclc/645419","WorldCat Record")</f>
        <v/>
      </c>
      <c r="AU380" t="inlineStr">
        <is>
          <t>1809964:eng</t>
        </is>
      </c>
      <c r="AV380" t="inlineStr">
        <is>
          <t>645419</t>
        </is>
      </c>
      <c r="AW380" t="inlineStr">
        <is>
          <t>991005265859702656</t>
        </is>
      </c>
      <c r="AX380" t="inlineStr">
        <is>
          <t>991005265859702656</t>
        </is>
      </c>
      <c r="AY380" t="inlineStr">
        <is>
          <t>2259789590002656</t>
        </is>
      </c>
      <c r="AZ380" t="inlineStr">
        <is>
          <t>BOOK</t>
        </is>
      </c>
      <c r="BC380" t="inlineStr">
        <is>
          <t>32285003090163</t>
        </is>
      </c>
      <c r="BD380" t="inlineStr">
        <is>
          <t>893338831</t>
        </is>
      </c>
    </row>
    <row r="381">
      <c r="A381" t="inlineStr">
        <is>
          <t>No</t>
        </is>
      </c>
      <c r="B381" t="inlineStr">
        <is>
          <t>RC424 .M78</t>
        </is>
      </c>
      <c r="C381" t="inlineStr">
        <is>
          <t>0                      RC 0424000M  78</t>
        </is>
      </c>
      <c r="D381" t="inlineStr">
        <is>
          <t>Stammering : its correction through the re-education of the speech function / with a foreword by H. St. John Rumsey.</t>
        </is>
      </c>
      <c r="F381" t="inlineStr">
        <is>
          <t>No</t>
        </is>
      </c>
      <c r="G381" t="inlineStr">
        <is>
          <t>1</t>
        </is>
      </c>
      <c r="H381" t="inlineStr">
        <is>
          <t>No</t>
        </is>
      </c>
      <c r="I381" t="inlineStr">
        <is>
          <t>No</t>
        </is>
      </c>
      <c r="J381" t="inlineStr">
        <is>
          <t>0</t>
        </is>
      </c>
      <c r="K381" t="inlineStr">
        <is>
          <t>Muirden, Ronald.</t>
        </is>
      </c>
      <c r="L381" t="inlineStr">
        <is>
          <t>Springfield, Ill. : Thomas, [1968]</t>
        </is>
      </c>
      <c r="M381" t="inlineStr">
        <is>
          <t>1968</t>
        </is>
      </c>
      <c r="O381" t="inlineStr">
        <is>
          <t>eng</t>
        </is>
      </c>
      <c r="P381" t="inlineStr">
        <is>
          <t>ilu</t>
        </is>
      </c>
      <c r="R381" t="inlineStr">
        <is>
          <t xml:space="preserve">RC </t>
        </is>
      </c>
      <c r="S381" t="n">
        <v>2</v>
      </c>
      <c r="T381" t="n">
        <v>2</v>
      </c>
      <c r="U381" t="inlineStr">
        <is>
          <t>1993-09-14</t>
        </is>
      </c>
      <c r="V381" t="inlineStr">
        <is>
          <t>1993-09-14</t>
        </is>
      </c>
      <c r="W381" t="inlineStr">
        <is>
          <t>1990-04-10</t>
        </is>
      </c>
      <c r="X381" t="inlineStr">
        <is>
          <t>1990-04-10</t>
        </is>
      </c>
      <c r="Y381" t="n">
        <v>242</v>
      </c>
      <c r="Z381" t="n">
        <v>225</v>
      </c>
      <c r="AA381" t="n">
        <v>227</v>
      </c>
      <c r="AB381" t="n">
        <v>4</v>
      </c>
      <c r="AC381" t="n">
        <v>4</v>
      </c>
      <c r="AD381" t="n">
        <v>8</v>
      </c>
      <c r="AE381" t="n">
        <v>8</v>
      </c>
      <c r="AF381" t="n">
        <v>1</v>
      </c>
      <c r="AG381" t="n">
        <v>1</v>
      </c>
      <c r="AH381" t="n">
        <v>1</v>
      </c>
      <c r="AI381" t="n">
        <v>1</v>
      </c>
      <c r="AJ381" t="n">
        <v>4</v>
      </c>
      <c r="AK381" t="n">
        <v>4</v>
      </c>
      <c r="AL381" t="n">
        <v>3</v>
      </c>
      <c r="AM381" t="n">
        <v>3</v>
      </c>
      <c r="AN381" t="n">
        <v>0</v>
      </c>
      <c r="AO381" t="n">
        <v>0</v>
      </c>
      <c r="AP381" t="inlineStr">
        <is>
          <t>No</t>
        </is>
      </c>
      <c r="AQ381" t="inlineStr">
        <is>
          <t>Yes</t>
        </is>
      </c>
      <c r="AR381">
        <f>HYPERLINK("http://catalog.hathitrust.org/Record/001563478","HathiTrust Record")</f>
        <v/>
      </c>
      <c r="AS381">
        <f>HYPERLINK("https://creighton-primo.hosted.exlibrisgroup.com/primo-explore/search?tab=default_tab&amp;search_scope=EVERYTHING&amp;vid=01CRU&amp;lang=en_US&amp;offset=0&amp;query=any,contains,991003898379702656","Catalog Record")</f>
        <v/>
      </c>
      <c r="AT381">
        <f>HYPERLINK("http://www.worldcat.org/oclc/1818009","WorldCat Record")</f>
        <v/>
      </c>
      <c r="AU381" t="inlineStr">
        <is>
          <t>2630748:eng</t>
        </is>
      </c>
      <c r="AV381" t="inlineStr">
        <is>
          <t>1818009</t>
        </is>
      </c>
      <c r="AW381" t="inlineStr">
        <is>
          <t>991003898379702656</t>
        </is>
      </c>
      <c r="AX381" t="inlineStr">
        <is>
          <t>991003898379702656</t>
        </is>
      </c>
      <c r="AY381" t="inlineStr">
        <is>
          <t>2267547060002656</t>
        </is>
      </c>
      <c r="AZ381" t="inlineStr">
        <is>
          <t>BOOK</t>
        </is>
      </c>
      <c r="BC381" t="inlineStr">
        <is>
          <t>32285000104611</t>
        </is>
      </c>
      <c r="BD381" t="inlineStr">
        <is>
          <t>893687103</t>
        </is>
      </c>
    </row>
    <row r="382">
      <c r="A382" t="inlineStr">
        <is>
          <t>No</t>
        </is>
      </c>
      <c r="B382" t="inlineStr">
        <is>
          <t>RC424 .M8</t>
        </is>
      </c>
      <c r="C382" t="inlineStr">
        <is>
          <t>0                      RC 0424000M  8</t>
        </is>
      </c>
      <c r="D382" t="inlineStr">
        <is>
          <t>Stuttering and personality dynamics; play therapy, projective therapy, and counseling [by] Albert T. Murphy and Ruth M. Fitzsimons.</t>
        </is>
      </c>
      <c r="F382" t="inlineStr">
        <is>
          <t>No</t>
        </is>
      </c>
      <c r="G382" t="inlineStr">
        <is>
          <t>1</t>
        </is>
      </c>
      <c r="H382" t="inlineStr">
        <is>
          <t>No</t>
        </is>
      </c>
      <c r="I382" t="inlineStr">
        <is>
          <t>No</t>
        </is>
      </c>
      <c r="J382" t="inlineStr">
        <is>
          <t>0</t>
        </is>
      </c>
      <c r="K382" t="inlineStr">
        <is>
          <t>Murphy, Albert T.</t>
        </is>
      </c>
      <c r="L382" t="inlineStr">
        <is>
          <t>New York, Ronald [c1960]</t>
        </is>
      </c>
      <c r="M382" t="inlineStr">
        <is>
          <t>1960</t>
        </is>
      </c>
      <c r="O382" t="inlineStr">
        <is>
          <t>eng</t>
        </is>
      </c>
      <c r="P382" t="inlineStr">
        <is>
          <t xml:space="preserve">xx </t>
        </is>
      </c>
      <c r="R382" t="inlineStr">
        <is>
          <t xml:space="preserve">RC </t>
        </is>
      </c>
      <c r="S382" t="n">
        <v>1</v>
      </c>
      <c r="T382" t="n">
        <v>1</v>
      </c>
      <c r="U382" t="inlineStr">
        <is>
          <t>2002-12-02</t>
        </is>
      </c>
      <c r="V382" t="inlineStr">
        <is>
          <t>2002-12-02</t>
        </is>
      </c>
      <c r="W382" t="inlineStr">
        <is>
          <t>1997-08-11</t>
        </is>
      </c>
      <c r="X382" t="inlineStr">
        <is>
          <t>1997-08-11</t>
        </is>
      </c>
      <c r="Y382" t="n">
        <v>347</v>
      </c>
      <c r="Z382" t="n">
        <v>310</v>
      </c>
      <c r="AA382" t="n">
        <v>328</v>
      </c>
      <c r="AB382" t="n">
        <v>3</v>
      </c>
      <c r="AC382" t="n">
        <v>3</v>
      </c>
      <c r="AD382" t="n">
        <v>16</v>
      </c>
      <c r="AE382" t="n">
        <v>16</v>
      </c>
      <c r="AF382" t="n">
        <v>5</v>
      </c>
      <c r="AG382" t="n">
        <v>5</v>
      </c>
      <c r="AH382" t="n">
        <v>3</v>
      </c>
      <c r="AI382" t="n">
        <v>3</v>
      </c>
      <c r="AJ382" t="n">
        <v>8</v>
      </c>
      <c r="AK382" t="n">
        <v>8</v>
      </c>
      <c r="AL382" t="n">
        <v>2</v>
      </c>
      <c r="AM382" t="n">
        <v>2</v>
      </c>
      <c r="AN382" t="n">
        <v>0</v>
      </c>
      <c r="AO382" t="n">
        <v>0</v>
      </c>
      <c r="AP382" t="inlineStr">
        <is>
          <t>No</t>
        </is>
      </c>
      <c r="AQ382" t="inlineStr">
        <is>
          <t>Yes</t>
        </is>
      </c>
      <c r="AR382">
        <f>HYPERLINK("http://catalog.hathitrust.org/Record/001563479","HathiTrust Record")</f>
        <v/>
      </c>
      <c r="AS382">
        <f>HYPERLINK("https://creighton-primo.hosted.exlibrisgroup.com/primo-explore/search?tab=default_tab&amp;search_scope=EVERYTHING&amp;vid=01CRU&amp;lang=en_US&amp;offset=0&amp;query=any,contains,991000949389702656","Catalog Record")</f>
        <v/>
      </c>
      <c r="AT382">
        <f>HYPERLINK("http://www.worldcat.org/oclc/14618350","WorldCat Record")</f>
        <v/>
      </c>
      <c r="AU382" t="inlineStr">
        <is>
          <t>8469610:eng</t>
        </is>
      </c>
      <c r="AV382" t="inlineStr">
        <is>
          <t>14618350</t>
        </is>
      </c>
      <c r="AW382" t="inlineStr">
        <is>
          <t>991000949389702656</t>
        </is>
      </c>
      <c r="AX382" t="inlineStr">
        <is>
          <t>991000949389702656</t>
        </is>
      </c>
      <c r="AY382" t="inlineStr">
        <is>
          <t>2269323920002656</t>
        </is>
      </c>
      <c r="AZ382" t="inlineStr">
        <is>
          <t>BOOK</t>
        </is>
      </c>
      <c r="BC382" t="inlineStr">
        <is>
          <t>32285003090171</t>
        </is>
      </c>
      <c r="BD382" t="inlineStr">
        <is>
          <t>893872164</t>
        </is>
      </c>
    </row>
    <row r="383">
      <c r="A383" t="inlineStr">
        <is>
          <t>No</t>
        </is>
      </c>
      <c r="B383" t="inlineStr">
        <is>
          <t>RC424 .R83</t>
        </is>
      </c>
      <c r="C383" t="inlineStr">
        <is>
          <t>0                      RC 0424000R  83</t>
        </is>
      </c>
      <c r="D383" t="inlineStr">
        <is>
          <t>Introduction to stuttering / [by] Frank B. Robinson.</t>
        </is>
      </c>
      <c r="F383" t="inlineStr">
        <is>
          <t>No</t>
        </is>
      </c>
      <c r="G383" t="inlineStr">
        <is>
          <t>1</t>
        </is>
      </c>
      <c r="H383" t="inlineStr">
        <is>
          <t>No</t>
        </is>
      </c>
      <c r="I383" t="inlineStr">
        <is>
          <t>No</t>
        </is>
      </c>
      <c r="J383" t="inlineStr">
        <is>
          <t>0</t>
        </is>
      </c>
      <c r="K383" t="inlineStr">
        <is>
          <t>Robinson, Frank B. (Frank Bennett), 1914-</t>
        </is>
      </c>
      <c r="L383" t="inlineStr">
        <is>
          <t>Englewood Cliffs, N.J. : Prentice-Hall, [1964]</t>
        </is>
      </c>
      <c r="M383" t="inlineStr">
        <is>
          <t>1964</t>
        </is>
      </c>
      <c r="O383" t="inlineStr">
        <is>
          <t>eng</t>
        </is>
      </c>
      <c r="P383" t="inlineStr">
        <is>
          <t>nju</t>
        </is>
      </c>
      <c r="Q383" t="inlineStr">
        <is>
          <t>Foundations of speech pathology series</t>
        </is>
      </c>
      <c r="R383" t="inlineStr">
        <is>
          <t xml:space="preserve">RC </t>
        </is>
      </c>
      <c r="S383" t="n">
        <v>4</v>
      </c>
      <c r="T383" t="n">
        <v>4</v>
      </c>
      <c r="U383" t="inlineStr">
        <is>
          <t>2004-11-14</t>
        </is>
      </c>
      <c r="V383" t="inlineStr">
        <is>
          <t>2004-11-14</t>
        </is>
      </c>
      <c r="W383" t="inlineStr">
        <is>
          <t>1994-03-01</t>
        </is>
      </c>
      <c r="X383" t="inlineStr">
        <is>
          <t>1994-03-01</t>
        </is>
      </c>
      <c r="Y383" t="n">
        <v>471</v>
      </c>
      <c r="Z383" t="n">
        <v>425</v>
      </c>
      <c r="AA383" t="n">
        <v>427</v>
      </c>
      <c r="AB383" t="n">
        <v>6</v>
      </c>
      <c r="AC383" t="n">
        <v>6</v>
      </c>
      <c r="AD383" t="n">
        <v>22</v>
      </c>
      <c r="AE383" t="n">
        <v>22</v>
      </c>
      <c r="AF383" t="n">
        <v>11</v>
      </c>
      <c r="AG383" t="n">
        <v>11</v>
      </c>
      <c r="AH383" t="n">
        <v>2</v>
      </c>
      <c r="AI383" t="n">
        <v>2</v>
      </c>
      <c r="AJ383" t="n">
        <v>10</v>
      </c>
      <c r="AK383" t="n">
        <v>10</v>
      </c>
      <c r="AL383" t="n">
        <v>4</v>
      </c>
      <c r="AM383" t="n">
        <v>4</v>
      </c>
      <c r="AN383" t="n">
        <v>0</v>
      </c>
      <c r="AO383" t="n">
        <v>0</v>
      </c>
      <c r="AP383" t="inlineStr">
        <is>
          <t>No</t>
        </is>
      </c>
      <c r="AQ383" t="inlineStr">
        <is>
          <t>Yes</t>
        </is>
      </c>
      <c r="AR383">
        <f>HYPERLINK("http://catalog.hathitrust.org/Record/001563480","HathiTrust Record")</f>
        <v/>
      </c>
      <c r="AS383">
        <f>HYPERLINK("https://creighton-primo.hosted.exlibrisgroup.com/primo-explore/search?tab=default_tab&amp;search_scope=EVERYTHING&amp;vid=01CRU&amp;lang=en_US&amp;offset=0&amp;query=any,contains,991005265879702656","Catalog Record")</f>
        <v/>
      </c>
      <c r="AT383">
        <f>HYPERLINK("http://www.worldcat.org/oclc/610690","WorldCat Record")</f>
        <v/>
      </c>
      <c r="AU383" t="inlineStr">
        <is>
          <t>1644132:eng</t>
        </is>
      </c>
      <c r="AV383" t="inlineStr">
        <is>
          <t>610690</t>
        </is>
      </c>
      <c r="AW383" t="inlineStr">
        <is>
          <t>991005265879702656</t>
        </is>
      </c>
      <c r="AX383" t="inlineStr">
        <is>
          <t>991005265879702656</t>
        </is>
      </c>
      <c r="AY383" t="inlineStr">
        <is>
          <t>2267975950002656</t>
        </is>
      </c>
      <c r="AZ383" t="inlineStr">
        <is>
          <t>BOOK</t>
        </is>
      </c>
      <c r="BC383" t="inlineStr">
        <is>
          <t>32285001850717</t>
        </is>
      </c>
      <c r="BD383" t="inlineStr">
        <is>
          <t>893789710</t>
        </is>
      </c>
    </row>
    <row r="384">
      <c r="A384" t="inlineStr">
        <is>
          <t>No</t>
        </is>
      </c>
      <c r="B384" t="inlineStr">
        <is>
          <t>RC424 .S555</t>
        </is>
      </c>
      <c r="C384" t="inlineStr">
        <is>
          <t>0                      RC 0424000S  555</t>
        </is>
      </c>
      <c r="D384" t="inlineStr">
        <is>
          <t>Operant conditioning and the management of stuttering : a book for clinicians / George H. Shames, Donald B. Egolf.</t>
        </is>
      </c>
      <c r="F384" t="inlineStr">
        <is>
          <t>No</t>
        </is>
      </c>
      <c r="G384" t="inlineStr">
        <is>
          <t>1</t>
        </is>
      </c>
      <c r="H384" t="inlineStr">
        <is>
          <t>No</t>
        </is>
      </c>
      <c r="I384" t="inlineStr">
        <is>
          <t>No</t>
        </is>
      </c>
      <c r="J384" t="inlineStr">
        <is>
          <t>0</t>
        </is>
      </c>
      <c r="K384" t="inlineStr">
        <is>
          <t>Shames, George H., 1926-</t>
        </is>
      </c>
      <c r="L384" t="inlineStr">
        <is>
          <t>Englewood Cliffs, N.J. : Prentice-Hall, [1976]</t>
        </is>
      </c>
      <c r="M384" t="inlineStr">
        <is>
          <t>1976</t>
        </is>
      </c>
      <c r="O384" t="inlineStr">
        <is>
          <t>eng</t>
        </is>
      </c>
      <c r="P384" t="inlineStr">
        <is>
          <t>nju</t>
        </is>
      </c>
      <c r="R384" t="inlineStr">
        <is>
          <t xml:space="preserve">RC </t>
        </is>
      </c>
      <c r="S384" t="n">
        <v>2</v>
      </c>
      <c r="T384" t="n">
        <v>2</v>
      </c>
      <c r="U384" t="inlineStr">
        <is>
          <t>1995-09-29</t>
        </is>
      </c>
      <c r="V384" t="inlineStr">
        <is>
          <t>1995-09-29</t>
        </is>
      </c>
      <c r="W384" t="inlineStr">
        <is>
          <t>1994-03-01</t>
        </is>
      </c>
      <c r="X384" t="inlineStr">
        <is>
          <t>1994-03-01</t>
        </is>
      </c>
      <c r="Y384" t="n">
        <v>288</v>
      </c>
      <c r="Z384" t="n">
        <v>236</v>
      </c>
      <c r="AA384" t="n">
        <v>243</v>
      </c>
      <c r="AB384" t="n">
        <v>3</v>
      </c>
      <c r="AC384" t="n">
        <v>3</v>
      </c>
      <c r="AD384" t="n">
        <v>10</v>
      </c>
      <c r="AE384" t="n">
        <v>10</v>
      </c>
      <c r="AF384" t="n">
        <v>6</v>
      </c>
      <c r="AG384" t="n">
        <v>6</v>
      </c>
      <c r="AH384" t="n">
        <v>1</v>
      </c>
      <c r="AI384" t="n">
        <v>1</v>
      </c>
      <c r="AJ384" t="n">
        <v>4</v>
      </c>
      <c r="AK384" t="n">
        <v>4</v>
      </c>
      <c r="AL384" t="n">
        <v>2</v>
      </c>
      <c r="AM384" t="n">
        <v>2</v>
      </c>
      <c r="AN384" t="n">
        <v>0</v>
      </c>
      <c r="AO384" t="n">
        <v>0</v>
      </c>
      <c r="AP384" t="inlineStr">
        <is>
          <t>No</t>
        </is>
      </c>
      <c r="AQ384" t="inlineStr">
        <is>
          <t>Yes</t>
        </is>
      </c>
      <c r="AR384">
        <f>HYPERLINK("http://catalog.hathitrust.org/Record/000042784","HathiTrust Record")</f>
        <v/>
      </c>
      <c r="AS384">
        <f>HYPERLINK("https://creighton-primo.hosted.exlibrisgroup.com/primo-explore/search?tab=default_tab&amp;search_scope=EVERYTHING&amp;vid=01CRU&amp;lang=en_US&amp;offset=0&amp;query=any,contains,991003718479702656","Catalog Record")</f>
        <v/>
      </c>
      <c r="AT384">
        <f>HYPERLINK("http://www.worldcat.org/oclc/1364101","WorldCat Record")</f>
        <v/>
      </c>
      <c r="AU384" t="inlineStr">
        <is>
          <t>2269354:eng</t>
        </is>
      </c>
      <c r="AV384" t="inlineStr">
        <is>
          <t>1364101</t>
        </is>
      </c>
      <c r="AW384" t="inlineStr">
        <is>
          <t>991003718479702656</t>
        </is>
      </c>
      <c r="AX384" t="inlineStr">
        <is>
          <t>991003718479702656</t>
        </is>
      </c>
      <c r="AY384" t="inlineStr">
        <is>
          <t>2257035190002656</t>
        </is>
      </c>
      <c r="AZ384" t="inlineStr">
        <is>
          <t>BOOK</t>
        </is>
      </c>
      <c r="BB384" t="inlineStr">
        <is>
          <t>9780136373223</t>
        </is>
      </c>
      <c r="BC384" t="inlineStr">
        <is>
          <t>32285001850709</t>
        </is>
      </c>
      <c r="BD384" t="inlineStr">
        <is>
          <t>893592809</t>
        </is>
      </c>
    </row>
    <row r="385">
      <c r="A385" t="inlineStr">
        <is>
          <t>No</t>
        </is>
      </c>
      <c r="B385" t="inlineStr">
        <is>
          <t>RC424 .S564 2005</t>
        </is>
      </c>
      <c r="C385" t="inlineStr">
        <is>
          <t>0                      RC 0424000S  564         2005</t>
        </is>
      </c>
      <c r="D385" t="inlineStr">
        <is>
          <t>Stutter / Marc Shell.</t>
        </is>
      </c>
      <c r="F385" t="inlineStr">
        <is>
          <t>No</t>
        </is>
      </c>
      <c r="G385" t="inlineStr">
        <is>
          <t>1</t>
        </is>
      </c>
      <c r="H385" t="inlineStr">
        <is>
          <t>No</t>
        </is>
      </c>
      <c r="I385" t="inlineStr">
        <is>
          <t>No</t>
        </is>
      </c>
      <c r="J385" t="inlineStr">
        <is>
          <t>0</t>
        </is>
      </c>
      <c r="K385" t="inlineStr">
        <is>
          <t>Shell, Marc.</t>
        </is>
      </c>
      <c r="L385" t="inlineStr">
        <is>
          <t>Cambridge, Mass. : Harvard University Press, 2005.</t>
        </is>
      </c>
      <c r="M385" t="inlineStr">
        <is>
          <t>2005</t>
        </is>
      </c>
      <c r="O385" t="inlineStr">
        <is>
          <t>eng</t>
        </is>
      </c>
      <c r="P385" t="inlineStr">
        <is>
          <t>mau</t>
        </is>
      </c>
      <c r="R385" t="inlineStr">
        <is>
          <t xml:space="preserve">RC </t>
        </is>
      </c>
      <c r="S385" t="n">
        <v>1</v>
      </c>
      <c r="T385" t="n">
        <v>1</v>
      </c>
      <c r="U385" t="inlineStr">
        <is>
          <t>2006-06-26</t>
        </is>
      </c>
      <c r="V385" t="inlineStr">
        <is>
          <t>2006-06-26</t>
        </is>
      </c>
      <c r="W385" t="inlineStr">
        <is>
          <t>2006-06-26</t>
        </is>
      </c>
      <c r="X385" t="inlineStr">
        <is>
          <t>2006-06-26</t>
        </is>
      </c>
      <c r="Y385" t="n">
        <v>709</v>
      </c>
      <c r="Z385" t="n">
        <v>629</v>
      </c>
      <c r="AA385" t="n">
        <v>928</v>
      </c>
      <c r="AB385" t="n">
        <v>4</v>
      </c>
      <c r="AC385" t="n">
        <v>6</v>
      </c>
      <c r="AD385" t="n">
        <v>23</v>
      </c>
      <c r="AE385" t="n">
        <v>28</v>
      </c>
      <c r="AF385" t="n">
        <v>9</v>
      </c>
      <c r="AG385" t="n">
        <v>11</v>
      </c>
      <c r="AH385" t="n">
        <v>6</v>
      </c>
      <c r="AI385" t="n">
        <v>7</v>
      </c>
      <c r="AJ385" t="n">
        <v>11</v>
      </c>
      <c r="AK385" t="n">
        <v>11</v>
      </c>
      <c r="AL385" t="n">
        <v>3</v>
      </c>
      <c r="AM385" t="n">
        <v>5</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HYPERLINK("https://creighton-primo.hosted.exlibrisgroup.com/primo-explore/search?tab=default_tab&amp;search_scope=EVERYTHING&amp;vid=01CRU&amp;lang=en_US&amp;offset=0&amp;query=any,contains,991004834179702656","Catalog Record")</f>
        <v/>
      </c>
      <c r="AT385">
        <f>HYPERLINK("http://www.worldcat.org/oclc/60791768","WorldCat Record")</f>
        <v/>
      </c>
      <c r="AU385" t="inlineStr">
        <is>
          <t>932557:eng</t>
        </is>
      </c>
      <c r="AV385" t="inlineStr">
        <is>
          <t>60791768</t>
        </is>
      </c>
      <c r="AW385" t="inlineStr">
        <is>
          <t>991004834179702656</t>
        </is>
      </c>
      <c r="AX385" t="inlineStr">
        <is>
          <t>991004834179702656</t>
        </is>
      </c>
      <c r="AY385" t="inlineStr">
        <is>
          <t>2261220020002656</t>
        </is>
      </c>
      <c r="AZ385" t="inlineStr">
        <is>
          <t>BOOK</t>
        </is>
      </c>
      <c r="BB385" t="inlineStr">
        <is>
          <t>9780674019379</t>
        </is>
      </c>
      <c r="BC385" t="inlineStr">
        <is>
          <t>32285005192033</t>
        </is>
      </c>
      <c r="BD385" t="inlineStr">
        <is>
          <t>893430546</t>
        </is>
      </c>
    </row>
    <row r="386">
      <c r="A386" t="inlineStr">
        <is>
          <t>No</t>
        </is>
      </c>
      <c r="B386" t="inlineStr">
        <is>
          <t>RC424 .W56</t>
        </is>
      </c>
      <c r="C386" t="inlineStr">
        <is>
          <t>0                      RC 0424000W  56</t>
        </is>
      </c>
      <c r="D386" t="inlineStr">
        <is>
          <t>Stuttering : theory and treatment / by Marcel E. Wingate.</t>
        </is>
      </c>
      <c r="F386" t="inlineStr">
        <is>
          <t>No</t>
        </is>
      </c>
      <c r="G386" t="inlineStr">
        <is>
          <t>1</t>
        </is>
      </c>
      <c r="H386" t="inlineStr">
        <is>
          <t>No</t>
        </is>
      </c>
      <c r="I386" t="inlineStr">
        <is>
          <t>No</t>
        </is>
      </c>
      <c r="J386" t="inlineStr">
        <is>
          <t>0</t>
        </is>
      </c>
      <c r="K386" t="inlineStr">
        <is>
          <t>Wingate, Marcel E. (Marcel Edward), 1923-2006.</t>
        </is>
      </c>
      <c r="L386" t="inlineStr">
        <is>
          <t>New York : Irvington Publishers : distributed by Halsted Press, c1976.</t>
        </is>
      </c>
      <c r="M386" t="inlineStr">
        <is>
          <t>1976</t>
        </is>
      </c>
      <c r="O386" t="inlineStr">
        <is>
          <t>eng</t>
        </is>
      </c>
      <c r="P386" t="inlineStr">
        <is>
          <t>nyu</t>
        </is>
      </c>
      <c r="Q386" t="inlineStr">
        <is>
          <t>Speech and hearing series</t>
        </is>
      </c>
      <c r="R386" t="inlineStr">
        <is>
          <t xml:space="preserve">RC </t>
        </is>
      </c>
      <c r="S386" t="n">
        <v>2</v>
      </c>
      <c r="T386" t="n">
        <v>2</v>
      </c>
      <c r="U386" t="inlineStr">
        <is>
          <t>2007-09-12</t>
        </is>
      </c>
      <c r="V386" t="inlineStr">
        <is>
          <t>2007-09-12</t>
        </is>
      </c>
      <c r="W386" t="inlineStr">
        <is>
          <t>1990-04-10</t>
        </is>
      </c>
      <c r="X386" t="inlineStr">
        <is>
          <t>1990-04-10</t>
        </is>
      </c>
      <c r="Y386" t="n">
        <v>481</v>
      </c>
      <c r="Z386" t="n">
        <v>413</v>
      </c>
      <c r="AA386" t="n">
        <v>414</v>
      </c>
      <c r="AB386" t="n">
        <v>5</v>
      </c>
      <c r="AC386" t="n">
        <v>5</v>
      </c>
      <c r="AD386" t="n">
        <v>16</v>
      </c>
      <c r="AE386" t="n">
        <v>16</v>
      </c>
      <c r="AF386" t="n">
        <v>6</v>
      </c>
      <c r="AG386" t="n">
        <v>6</v>
      </c>
      <c r="AH386" t="n">
        <v>4</v>
      </c>
      <c r="AI386" t="n">
        <v>4</v>
      </c>
      <c r="AJ386" t="n">
        <v>10</v>
      </c>
      <c r="AK386" t="n">
        <v>10</v>
      </c>
      <c r="AL386" t="n">
        <v>2</v>
      </c>
      <c r="AM386" t="n">
        <v>2</v>
      </c>
      <c r="AN386" t="n">
        <v>0</v>
      </c>
      <c r="AO386" t="n">
        <v>0</v>
      </c>
      <c r="AP386" t="inlineStr">
        <is>
          <t>No</t>
        </is>
      </c>
      <c r="AQ386" t="inlineStr">
        <is>
          <t>Yes</t>
        </is>
      </c>
      <c r="AR386">
        <f>HYPERLINK("http://catalog.hathitrust.org/Record/010092946","HathiTrust Record")</f>
        <v/>
      </c>
      <c r="AS386">
        <f>HYPERLINK("https://creighton-primo.hosted.exlibrisgroup.com/primo-explore/search?tab=default_tab&amp;search_scope=EVERYTHING&amp;vid=01CRU&amp;lang=en_US&amp;offset=0&amp;query=any,contains,991004076209702656","Catalog Record")</f>
        <v/>
      </c>
      <c r="AT386">
        <f>HYPERLINK("http://www.worldcat.org/oclc/2318112","WorldCat Record")</f>
        <v/>
      </c>
      <c r="AU386" t="inlineStr">
        <is>
          <t>821981298:eng</t>
        </is>
      </c>
      <c r="AV386" t="inlineStr">
        <is>
          <t>2318112</t>
        </is>
      </c>
      <c r="AW386" t="inlineStr">
        <is>
          <t>991004076209702656</t>
        </is>
      </c>
      <c r="AX386" t="inlineStr">
        <is>
          <t>991004076209702656</t>
        </is>
      </c>
      <c r="AY386" t="inlineStr">
        <is>
          <t>2263935370002656</t>
        </is>
      </c>
      <c r="AZ386" t="inlineStr">
        <is>
          <t>BOOK</t>
        </is>
      </c>
      <c r="BB386" t="inlineStr">
        <is>
          <t>9780470151716</t>
        </is>
      </c>
      <c r="BC386" t="inlineStr">
        <is>
          <t>32285000104603</t>
        </is>
      </c>
      <c r="BD386" t="inlineStr">
        <is>
          <t>893324898</t>
        </is>
      </c>
    </row>
    <row r="387">
      <c r="A387" t="inlineStr">
        <is>
          <t>No</t>
        </is>
      </c>
      <c r="B387" t="inlineStr">
        <is>
          <t>RC424.7 .R45 1985</t>
        </is>
      </c>
      <c r="C387" t="inlineStr">
        <is>
          <t>0                      RC 0424700R  45          1985</t>
        </is>
      </c>
      <c r="D387" t="inlineStr">
        <is>
          <t>Aphasia and brain organization / Ivar Reinvang.</t>
        </is>
      </c>
      <c r="F387" t="inlineStr">
        <is>
          <t>No</t>
        </is>
      </c>
      <c r="G387" t="inlineStr">
        <is>
          <t>1</t>
        </is>
      </c>
      <c r="H387" t="inlineStr">
        <is>
          <t>Yes</t>
        </is>
      </c>
      <c r="I387" t="inlineStr">
        <is>
          <t>No</t>
        </is>
      </c>
      <c r="J387" t="inlineStr">
        <is>
          <t>0</t>
        </is>
      </c>
      <c r="K387" t="inlineStr">
        <is>
          <t>Reinvang, Ivar.</t>
        </is>
      </c>
      <c r="L387" t="inlineStr">
        <is>
          <t>New York : Plenum Press, c1985.</t>
        </is>
      </c>
      <c r="M387" t="inlineStr">
        <is>
          <t>1985</t>
        </is>
      </c>
      <c r="O387" t="inlineStr">
        <is>
          <t>eng</t>
        </is>
      </c>
      <c r="P387" t="inlineStr">
        <is>
          <t>nyu</t>
        </is>
      </c>
      <c r="Q387" t="inlineStr">
        <is>
          <t>Applied psycholinguistics and communication disorders</t>
        </is>
      </c>
      <c r="R387" t="inlineStr">
        <is>
          <t xml:space="preserve">RC </t>
        </is>
      </c>
      <c r="S387" t="n">
        <v>5</v>
      </c>
      <c r="T387" t="n">
        <v>12</v>
      </c>
      <c r="U387" t="inlineStr">
        <is>
          <t>2007-04-30</t>
        </is>
      </c>
      <c r="V387" t="inlineStr">
        <is>
          <t>2007-07-11</t>
        </is>
      </c>
      <c r="W387" t="inlineStr">
        <is>
          <t>1990-02-28</t>
        </is>
      </c>
      <c r="X387" t="inlineStr">
        <is>
          <t>1990-02-28</t>
        </is>
      </c>
      <c r="Y387" t="n">
        <v>277</v>
      </c>
      <c r="Z387" t="n">
        <v>202</v>
      </c>
      <c r="AA387" t="n">
        <v>223</v>
      </c>
      <c r="AB387" t="n">
        <v>3</v>
      </c>
      <c r="AC387" t="n">
        <v>3</v>
      </c>
      <c r="AD387" t="n">
        <v>5</v>
      </c>
      <c r="AE387" t="n">
        <v>7</v>
      </c>
      <c r="AF387" t="n">
        <v>2</v>
      </c>
      <c r="AG387" t="n">
        <v>4</v>
      </c>
      <c r="AH387" t="n">
        <v>1</v>
      </c>
      <c r="AI387" t="n">
        <v>1</v>
      </c>
      <c r="AJ387" t="n">
        <v>3</v>
      </c>
      <c r="AK387" t="n">
        <v>4</v>
      </c>
      <c r="AL387" t="n">
        <v>1</v>
      </c>
      <c r="AM387" t="n">
        <v>1</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HYPERLINK("https://creighton-primo.hosted.exlibrisgroup.com/primo-explore/search?tab=default_tab&amp;search_scope=EVERYTHING&amp;vid=01CRU&amp;lang=en_US&amp;offset=0&amp;query=any,contains,991001772999702656","Catalog Record")</f>
        <v/>
      </c>
      <c r="AT387">
        <f>HYPERLINK("http://www.worldcat.org/oclc/12104387","WorldCat Record")</f>
        <v/>
      </c>
      <c r="AU387" t="inlineStr">
        <is>
          <t>4815683:eng</t>
        </is>
      </c>
      <c r="AV387" t="inlineStr">
        <is>
          <t>12104387</t>
        </is>
      </c>
      <c r="AW387" t="inlineStr">
        <is>
          <t>991001772999702656</t>
        </is>
      </c>
      <c r="AX387" t="inlineStr">
        <is>
          <t>991001772999702656</t>
        </is>
      </c>
      <c r="AY387" t="inlineStr">
        <is>
          <t>2260091380002656</t>
        </is>
      </c>
      <c r="AZ387" t="inlineStr">
        <is>
          <t>BOOK</t>
        </is>
      </c>
      <c r="BB387" t="inlineStr">
        <is>
          <t>9780306419751</t>
        </is>
      </c>
      <c r="BC387" t="inlineStr">
        <is>
          <t>32285000072404</t>
        </is>
      </c>
      <c r="BD387" t="inlineStr">
        <is>
          <t>893872790</t>
        </is>
      </c>
    </row>
    <row r="388">
      <c r="A388" t="inlineStr">
        <is>
          <t>No</t>
        </is>
      </c>
      <c r="B388" t="inlineStr">
        <is>
          <t>RC425 .A26</t>
        </is>
      </c>
      <c r="C388" t="inlineStr">
        <is>
          <t>0                      RC 0425000A  26</t>
        </is>
      </c>
      <c r="D388" t="inlineStr">
        <is>
          <t>Acquired aphasia / edited by Martha Taylor Sarno.</t>
        </is>
      </c>
      <c r="F388" t="inlineStr">
        <is>
          <t>No</t>
        </is>
      </c>
      <c r="G388" t="inlineStr">
        <is>
          <t>1</t>
        </is>
      </c>
      <c r="H388" t="inlineStr">
        <is>
          <t>No</t>
        </is>
      </c>
      <c r="I388" t="inlineStr">
        <is>
          <t>No</t>
        </is>
      </c>
      <c r="J388" t="inlineStr">
        <is>
          <t>0</t>
        </is>
      </c>
      <c r="L388" t="inlineStr">
        <is>
          <t>New York ; London : Academic Press, c1981.</t>
        </is>
      </c>
      <c r="M388" t="inlineStr">
        <is>
          <t>1981</t>
        </is>
      </c>
      <c r="O388" t="inlineStr">
        <is>
          <t>eng</t>
        </is>
      </c>
      <c r="P388" t="inlineStr">
        <is>
          <t>nyu</t>
        </is>
      </c>
      <c r="R388" t="inlineStr">
        <is>
          <t xml:space="preserve">RC </t>
        </is>
      </c>
      <c r="S388" t="n">
        <v>6</v>
      </c>
      <c r="T388" t="n">
        <v>6</v>
      </c>
      <c r="U388" t="inlineStr">
        <is>
          <t>2007-04-30</t>
        </is>
      </c>
      <c r="V388" t="inlineStr">
        <is>
          <t>2007-04-30</t>
        </is>
      </c>
      <c r="W388" t="inlineStr">
        <is>
          <t>1993-03-19</t>
        </is>
      </c>
      <c r="X388" t="inlineStr">
        <is>
          <t>1993-03-19</t>
        </is>
      </c>
      <c r="Y388" t="n">
        <v>337</v>
      </c>
      <c r="Z388" t="n">
        <v>249</v>
      </c>
      <c r="AA388" t="n">
        <v>489</v>
      </c>
      <c r="AB388" t="n">
        <v>2</v>
      </c>
      <c r="AC388" t="n">
        <v>3</v>
      </c>
      <c r="AD388" t="n">
        <v>10</v>
      </c>
      <c r="AE388" t="n">
        <v>17</v>
      </c>
      <c r="AF388" t="n">
        <v>2</v>
      </c>
      <c r="AG388" t="n">
        <v>5</v>
      </c>
      <c r="AH388" t="n">
        <v>5</v>
      </c>
      <c r="AI388" t="n">
        <v>6</v>
      </c>
      <c r="AJ388" t="n">
        <v>4</v>
      </c>
      <c r="AK388" t="n">
        <v>8</v>
      </c>
      <c r="AL388" t="n">
        <v>1</v>
      </c>
      <c r="AM388" t="n">
        <v>2</v>
      </c>
      <c r="AN388" t="n">
        <v>0</v>
      </c>
      <c r="AO388" t="n">
        <v>0</v>
      </c>
      <c r="AP388" t="inlineStr">
        <is>
          <t>No</t>
        </is>
      </c>
      <c r="AQ388" t="inlineStr">
        <is>
          <t>Yes</t>
        </is>
      </c>
      <c r="AR388">
        <f>HYPERLINK("http://catalog.hathitrust.org/Record/000106007","HathiTrust Record")</f>
        <v/>
      </c>
      <c r="AS388">
        <f>HYPERLINK("https://creighton-primo.hosted.exlibrisgroup.com/primo-explore/search?tab=default_tab&amp;search_scope=EVERYTHING&amp;vid=01CRU&amp;lang=en_US&amp;offset=0&amp;query=any,contains,991005155399702656","Catalog Record")</f>
        <v/>
      </c>
      <c r="AT388">
        <f>HYPERLINK("http://www.worldcat.org/oclc/7739081","WorldCat Record")</f>
        <v/>
      </c>
      <c r="AU388" t="inlineStr">
        <is>
          <t>863428125:eng</t>
        </is>
      </c>
      <c r="AV388" t="inlineStr">
        <is>
          <t>7739081</t>
        </is>
      </c>
      <c r="AW388" t="inlineStr">
        <is>
          <t>991005155399702656</t>
        </is>
      </c>
      <c r="AX388" t="inlineStr">
        <is>
          <t>991005155399702656</t>
        </is>
      </c>
      <c r="AY388" t="inlineStr">
        <is>
          <t>2258583910002656</t>
        </is>
      </c>
      <c r="AZ388" t="inlineStr">
        <is>
          <t>BOOK</t>
        </is>
      </c>
      <c r="BB388" t="inlineStr">
        <is>
          <t>9780126193206</t>
        </is>
      </c>
      <c r="BC388" t="inlineStr">
        <is>
          <t>32285001605095</t>
        </is>
      </c>
      <c r="BD388" t="inlineStr">
        <is>
          <t>893242297</t>
        </is>
      </c>
    </row>
    <row r="389">
      <c r="A389" t="inlineStr">
        <is>
          <t>No</t>
        </is>
      </c>
      <c r="B389" t="inlineStr">
        <is>
          <t>RC425 .A35 1964</t>
        </is>
      </c>
      <c r="C389" t="inlineStr">
        <is>
          <t>0                      RC 0425000A  35          1964</t>
        </is>
      </c>
      <c r="D389" t="inlineStr">
        <is>
          <t>Aphasia handbook for adults and children / by Aleen Agranowitz and Milfred Riddle McKeown. With a foreword by J. M. Nielsen.</t>
        </is>
      </c>
      <c r="F389" t="inlineStr">
        <is>
          <t>No</t>
        </is>
      </c>
      <c r="G389" t="inlineStr">
        <is>
          <t>1</t>
        </is>
      </c>
      <c r="H389" t="inlineStr">
        <is>
          <t>No</t>
        </is>
      </c>
      <c r="I389" t="inlineStr">
        <is>
          <t>No</t>
        </is>
      </c>
      <c r="J389" t="inlineStr">
        <is>
          <t>0</t>
        </is>
      </c>
      <c r="K389" t="inlineStr">
        <is>
          <t>Agranowitz, Aleen.</t>
        </is>
      </c>
      <c r="L389" t="inlineStr">
        <is>
          <t>Springfield, Ill. : C. C. Thomas, [1964]</t>
        </is>
      </c>
      <c r="M389" t="inlineStr">
        <is>
          <t>1964</t>
        </is>
      </c>
      <c r="O389" t="inlineStr">
        <is>
          <t>eng</t>
        </is>
      </c>
      <c r="P389" t="inlineStr">
        <is>
          <t>ilu</t>
        </is>
      </c>
      <c r="R389" t="inlineStr">
        <is>
          <t xml:space="preserve">RC </t>
        </is>
      </c>
      <c r="S389" t="n">
        <v>3</v>
      </c>
      <c r="T389" t="n">
        <v>3</v>
      </c>
      <c r="U389" t="inlineStr">
        <is>
          <t>1997-05-20</t>
        </is>
      </c>
      <c r="V389" t="inlineStr">
        <is>
          <t>1997-05-20</t>
        </is>
      </c>
      <c r="W389" t="inlineStr">
        <is>
          <t>1990-05-10</t>
        </is>
      </c>
      <c r="X389" t="inlineStr">
        <is>
          <t>1990-05-10</t>
        </is>
      </c>
      <c r="Y389" t="n">
        <v>511</v>
      </c>
      <c r="Z389" t="n">
        <v>446</v>
      </c>
      <c r="AA389" t="n">
        <v>452</v>
      </c>
      <c r="AB389" t="n">
        <v>5</v>
      </c>
      <c r="AC389" t="n">
        <v>5</v>
      </c>
      <c r="AD389" t="n">
        <v>21</v>
      </c>
      <c r="AE389" t="n">
        <v>21</v>
      </c>
      <c r="AF389" t="n">
        <v>8</v>
      </c>
      <c r="AG389" t="n">
        <v>8</v>
      </c>
      <c r="AH389" t="n">
        <v>6</v>
      </c>
      <c r="AI389" t="n">
        <v>6</v>
      </c>
      <c r="AJ389" t="n">
        <v>11</v>
      </c>
      <c r="AK389" t="n">
        <v>11</v>
      </c>
      <c r="AL389" t="n">
        <v>3</v>
      </c>
      <c r="AM389" t="n">
        <v>3</v>
      </c>
      <c r="AN389" t="n">
        <v>0</v>
      </c>
      <c r="AO389" t="n">
        <v>0</v>
      </c>
      <c r="AP389" t="inlineStr">
        <is>
          <t>No</t>
        </is>
      </c>
      <c r="AQ389" t="inlineStr">
        <is>
          <t>Yes</t>
        </is>
      </c>
      <c r="AR389">
        <f>HYPERLINK("http://catalog.hathitrust.org/Record/001563489","HathiTrust Record")</f>
        <v/>
      </c>
      <c r="AS389">
        <f>HYPERLINK("https://creighton-primo.hosted.exlibrisgroup.com/primo-explore/search?tab=default_tab&amp;search_scope=EVERYTHING&amp;vid=01CRU&amp;lang=en_US&amp;offset=0&amp;query=any,contains,991005266179702656","Catalog Record")</f>
        <v/>
      </c>
      <c r="AT389">
        <f>HYPERLINK("http://www.worldcat.org/oclc/400306","WorldCat Record")</f>
        <v/>
      </c>
      <c r="AU389" t="inlineStr">
        <is>
          <t>253203:eng</t>
        </is>
      </c>
      <c r="AV389" t="inlineStr">
        <is>
          <t>400306</t>
        </is>
      </c>
      <c r="AW389" t="inlineStr">
        <is>
          <t>991005266179702656</t>
        </is>
      </c>
      <c r="AX389" t="inlineStr">
        <is>
          <t>991005266179702656</t>
        </is>
      </c>
      <c r="AY389" t="inlineStr">
        <is>
          <t>2268565630002656</t>
        </is>
      </c>
      <c r="AZ389" t="inlineStr">
        <is>
          <t>BOOK</t>
        </is>
      </c>
      <c r="BC389" t="inlineStr">
        <is>
          <t>32285000139245</t>
        </is>
      </c>
      <c r="BD389" t="inlineStr">
        <is>
          <t>893720097</t>
        </is>
      </c>
    </row>
    <row r="390">
      <c r="A390" t="inlineStr">
        <is>
          <t>No</t>
        </is>
      </c>
      <c r="B390" t="inlineStr">
        <is>
          <t>RC425 .B33</t>
        </is>
      </c>
      <c r="C390" t="inlineStr">
        <is>
          <t>0                      RC 0425000B  33</t>
        </is>
      </c>
      <c r="D390" t="inlineStr">
        <is>
          <t>The aphasic patient : a program for auditory comprehension and language training : clinician's edition / by William P. Baer.</t>
        </is>
      </c>
      <c r="F390" t="inlineStr">
        <is>
          <t>No</t>
        </is>
      </c>
      <c r="G390" t="inlineStr">
        <is>
          <t>1</t>
        </is>
      </c>
      <c r="H390" t="inlineStr">
        <is>
          <t>No</t>
        </is>
      </c>
      <c r="I390" t="inlineStr">
        <is>
          <t>No</t>
        </is>
      </c>
      <c r="J390" t="inlineStr">
        <is>
          <t>0</t>
        </is>
      </c>
      <c r="K390" t="inlineStr">
        <is>
          <t>Baer, William P.</t>
        </is>
      </c>
      <c r="L390" t="inlineStr">
        <is>
          <t>Springfield, Ill. : C. C. Thomas, 1976.</t>
        </is>
      </c>
      <c r="M390" t="inlineStr">
        <is>
          <t>1976</t>
        </is>
      </c>
      <c r="O390" t="inlineStr">
        <is>
          <t>eng</t>
        </is>
      </c>
      <c r="P390" t="inlineStr">
        <is>
          <t>ilu</t>
        </is>
      </c>
      <c r="R390" t="inlineStr">
        <is>
          <t xml:space="preserve">RC </t>
        </is>
      </c>
      <c r="S390" t="n">
        <v>1</v>
      </c>
      <c r="T390" t="n">
        <v>1</v>
      </c>
      <c r="U390" t="inlineStr">
        <is>
          <t>2003-05-27</t>
        </is>
      </c>
      <c r="V390" t="inlineStr">
        <is>
          <t>2003-05-27</t>
        </is>
      </c>
      <c r="W390" t="inlineStr">
        <is>
          <t>1997-08-11</t>
        </is>
      </c>
      <c r="X390" t="inlineStr">
        <is>
          <t>1997-08-11</t>
        </is>
      </c>
      <c r="Y390" t="n">
        <v>124</v>
      </c>
      <c r="Z390" t="n">
        <v>102</v>
      </c>
      <c r="AA390" t="n">
        <v>127</v>
      </c>
      <c r="AB390" t="n">
        <v>1</v>
      </c>
      <c r="AC390" t="n">
        <v>1</v>
      </c>
      <c r="AD390" t="n">
        <v>4</v>
      </c>
      <c r="AE390" t="n">
        <v>4</v>
      </c>
      <c r="AF390" t="n">
        <v>3</v>
      </c>
      <c r="AG390" t="n">
        <v>3</v>
      </c>
      <c r="AH390" t="n">
        <v>1</v>
      </c>
      <c r="AI390" t="n">
        <v>1</v>
      </c>
      <c r="AJ390" t="n">
        <v>4</v>
      </c>
      <c r="AK390" t="n">
        <v>4</v>
      </c>
      <c r="AL390" t="n">
        <v>0</v>
      </c>
      <c r="AM390" t="n">
        <v>0</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HYPERLINK("https://creighton-primo.hosted.exlibrisgroup.com/primo-explore/search?tab=default_tab&amp;search_scope=EVERYTHING&amp;vid=01CRU&amp;lang=en_US&amp;offset=0&amp;query=any,contains,991004066039702656","Catalog Record")</f>
        <v/>
      </c>
      <c r="AT390">
        <f>HYPERLINK("http://www.worldcat.org/oclc/2284072","WorldCat Record")</f>
        <v/>
      </c>
      <c r="AU390" t="inlineStr">
        <is>
          <t>4605993:eng</t>
        </is>
      </c>
      <c r="AV390" t="inlineStr">
        <is>
          <t>2284072</t>
        </is>
      </c>
      <c r="AW390" t="inlineStr">
        <is>
          <t>991004066039702656</t>
        </is>
      </c>
      <c r="AX390" t="inlineStr">
        <is>
          <t>991004066039702656</t>
        </is>
      </c>
      <c r="AY390" t="inlineStr">
        <is>
          <t>2266577160002656</t>
        </is>
      </c>
      <c r="AZ390" t="inlineStr">
        <is>
          <t>BOOK</t>
        </is>
      </c>
      <c r="BB390" t="inlineStr">
        <is>
          <t>9780398035679</t>
        </is>
      </c>
      <c r="BC390" t="inlineStr">
        <is>
          <t>32285003090205</t>
        </is>
      </c>
      <c r="BD390" t="inlineStr">
        <is>
          <t>893259291</t>
        </is>
      </c>
    </row>
    <row r="391">
      <c r="A391" t="inlineStr">
        <is>
          <t>No</t>
        </is>
      </c>
      <c r="B391" t="inlineStr">
        <is>
          <t>RC425 .B77</t>
        </is>
      </c>
      <c r="C391" t="inlineStr">
        <is>
          <t>0                      RC 0425000B  77</t>
        </is>
      </c>
      <c r="D391" t="inlineStr">
        <is>
          <t>Aphasia, apraxia, and agnosia : clinical and theoretical aspects / by Jason W. Brown.</t>
        </is>
      </c>
      <c r="F391" t="inlineStr">
        <is>
          <t>No</t>
        </is>
      </c>
      <c r="G391" t="inlineStr">
        <is>
          <t>1</t>
        </is>
      </c>
      <c r="H391" t="inlineStr">
        <is>
          <t>No</t>
        </is>
      </c>
      <c r="I391" t="inlineStr">
        <is>
          <t>No</t>
        </is>
      </c>
      <c r="J391" t="inlineStr">
        <is>
          <t>0</t>
        </is>
      </c>
      <c r="K391" t="inlineStr">
        <is>
          <t>Brown, Jason W.</t>
        </is>
      </c>
      <c r="L391" t="inlineStr">
        <is>
          <t>Springfield, Ill. : C.C. Thomas, [1972]</t>
        </is>
      </c>
      <c r="M391" t="inlineStr">
        <is>
          <t>1972</t>
        </is>
      </c>
      <c r="O391" t="inlineStr">
        <is>
          <t>eng</t>
        </is>
      </c>
      <c r="P391" t="inlineStr">
        <is>
          <t>ilu</t>
        </is>
      </c>
      <c r="R391" t="inlineStr">
        <is>
          <t xml:space="preserve">RC </t>
        </is>
      </c>
      <c r="S391" t="n">
        <v>4</v>
      </c>
      <c r="T391" t="n">
        <v>4</v>
      </c>
      <c r="U391" t="inlineStr">
        <is>
          <t>1994-02-15</t>
        </is>
      </c>
      <c r="V391" t="inlineStr">
        <is>
          <t>1994-02-15</t>
        </is>
      </c>
      <c r="W391" t="inlineStr">
        <is>
          <t>1990-02-28</t>
        </is>
      </c>
      <c r="X391" t="inlineStr">
        <is>
          <t>1990-02-28</t>
        </is>
      </c>
      <c r="Y391" t="n">
        <v>460</v>
      </c>
      <c r="Z391" t="n">
        <v>394</v>
      </c>
      <c r="AA391" t="n">
        <v>407</v>
      </c>
      <c r="AB391" t="n">
        <v>3</v>
      </c>
      <c r="AC391" t="n">
        <v>3</v>
      </c>
      <c r="AD391" t="n">
        <v>11</v>
      </c>
      <c r="AE391" t="n">
        <v>11</v>
      </c>
      <c r="AF391" t="n">
        <v>4</v>
      </c>
      <c r="AG391" t="n">
        <v>4</v>
      </c>
      <c r="AH391" t="n">
        <v>2</v>
      </c>
      <c r="AI391" t="n">
        <v>2</v>
      </c>
      <c r="AJ391" t="n">
        <v>8</v>
      </c>
      <c r="AK391" t="n">
        <v>8</v>
      </c>
      <c r="AL391" t="n">
        <v>1</v>
      </c>
      <c r="AM391" t="n">
        <v>1</v>
      </c>
      <c r="AN391" t="n">
        <v>0</v>
      </c>
      <c r="AO391" t="n">
        <v>0</v>
      </c>
      <c r="AP391" t="inlineStr">
        <is>
          <t>No</t>
        </is>
      </c>
      <c r="AQ391" t="inlineStr">
        <is>
          <t>Yes</t>
        </is>
      </c>
      <c r="AR391">
        <f>HYPERLINK("http://catalog.hathitrust.org/Record/001563492","HathiTrust Record")</f>
        <v/>
      </c>
      <c r="AS391">
        <f>HYPERLINK("https://creighton-primo.hosted.exlibrisgroup.com/primo-explore/search?tab=default_tab&amp;search_scope=EVERYTHING&amp;vid=01CRU&amp;lang=en_US&amp;offset=0&amp;query=any,contains,991002412359702656","Catalog Record")</f>
        <v/>
      </c>
      <c r="AT391">
        <f>HYPERLINK("http://www.worldcat.org/oclc/340253","WorldCat Record")</f>
        <v/>
      </c>
      <c r="AU391" t="inlineStr">
        <is>
          <t>180892:eng</t>
        </is>
      </c>
      <c r="AV391" t="inlineStr">
        <is>
          <t>340253</t>
        </is>
      </c>
      <c r="AW391" t="inlineStr">
        <is>
          <t>991002412359702656</t>
        </is>
      </c>
      <c r="AX391" t="inlineStr">
        <is>
          <t>991002412359702656</t>
        </is>
      </c>
      <c r="AY391" t="inlineStr">
        <is>
          <t>2262545190002656</t>
        </is>
      </c>
      <c r="AZ391" t="inlineStr">
        <is>
          <t>BOOK</t>
        </is>
      </c>
      <c r="BB391" t="inlineStr">
        <is>
          <t>9780398022112</t>
        </is>
      </c>
      <c r="BC391" t="inlineStr">
        <is>
          <t>32285000062991</t>
        </is>
      </c>
      <c r="BD391" t="inlineStr">
        <is>
          <t>893786104</t>
        </is>
      </c>
    </row>
    <row r="392">
      <c r="A392" t="inlineStr">
        <is>
          <t>No</t>
        </is>
      </c>
      <c r="B392" t="inlineStr">
        <is>
          <t>RC425 .C59 1987</t>
        </is>
      </c>
      <c r="C392" t="inlineStr">
        <is>
          <t>0                      RC 0425000C  59          1987</t>
        </is>
      </c>
      <c r="D392" t="inlineStr">
        <is>
          <t>Language, aphasia, and the right hemisphere / Chris Code.</t>
        </is>
      </c>
      <c r="F392" t="inlineStr">
        <is>
          <t>No</t>
        </is>
      </c>
      <c r="G392" t="inlineStr">
        <is>
          <t>1</t>
        </is>
      </c>
      <c r="H392" t="inlineStr">
        <is>
          <t>No</t>
        </is>
      </c>
      <c r="I392" t="inlineStr">
        <is>
          <t>No</t>
        </is>
      </c>
      <c r="J392" t="inlineStr">
        <is>
          <t>0</t>
        </is>
      </c>
      <c r="K392" t="inlineStr">
        <is>
          <t>Code, Christopher.</t>
        </is>
      </c>
      <c r="L392" t="inlineStr">
        <is>
          <t>Chichester ; New York : Wiley, c1987.</t>
        </is>
      </c>
      <c r="M392" t="inlineStr">
        <is>
          <t>1987</t>
        </is>
      </c>
      <c r="O392" t="inlineStr">
        <is>
          <t>eng</t>
        </is>
      </c>
      <c r="P392" t="inlineStr">
        <is>
          <t>enk</t>
        </is>
      </c>
      <c r="R392" t="inlineStr">
        <is>
          <t xml:space="preserve">RC </t>
        </is>
      </c>
      <c r="S392" t="n">
        <v>6</v>
      </c>
      <c r="T392" t="n">
        <v>6</v>
      </c>
      <c r="U392" t="inlineStr">
        <is>
          <t>2006-01-18</t>
        </is>
      </c>
      <c r="V392" t="inlineStr">
        <is>
          <t>2006-01-18</t>
        </is>
      </c>
      <c r="W392" t="inlineStr">
        <is>
          <t>1990-02-28</t>
        </is>
      </c>
      <c r="X392" t="inlineStr">
        <is>
          <t>1990-02-28</t>
        </is>
      </c>
      <c r="Y392" t="n">
        <v>327</v>
      </c>
      <c r="Z392" t="n">
        <v>219</v>
      </c>
      <c r="AA392" t="n">
        <v>227</v>
      </c>
      <c r="AB392" t="n">
        <v>2</v>
      </c>
      <c r="AC392" t="n">
        <v>2</v>
      </c>
      <c r="AD392" t="n">
        <v>9</v>
      </c>
      <c r="AE392" t="n">
        <v>9</v>
      </c>
      <c r="AF392" t="n">
        <v>2</v>
      </c>
      <c r="AG392" t="n">
        <v>2</v>
      </c>
      <c r="AH392" t="n">
        <v>3</v>
      </c>
      <c r="AI392" t="n">
        <v>3</v>
      </c>
      <c r="AJ392" t="n">
        <v>6</v>
      </c>
      <c r="AK392" t="n">
        <v>6</v>
      </c>
      <c r="AL392" t="n">
        <v>1</v>
      </c>
      <c r="AM392" t="n">
        <v>1</v>
      </c>
      <c r="AN392" t="n">
        <v>0</v>
      </c>
      <c r="AO392" t="n">
        <v>0</v>
      </c>
      <c r="AP392" t="inlineStr">
        <is>
          <t>No</t>
        </is>
      </c>
      <c r="AQ392" t="inlineStr">
        <is>
          <t>Yes</t>
        </is>
      </c>
      <c r="AR392">
        <f>HYPERLINK("http://catalog.hathitrust.org/Record/000807986","HathiTrust Record")</f>
        <v/>
      </c>
      <c r="AS392">
        <f>HYPERLINK("https://creighton-primo.hosted.exlibrisgroup.com/primo-explore/search?tab=default_tab&amp;search_scope=EVERYTHING&amp;vid=01CRU&amp;lang=en_US&amp;offset=0&amp;query=any,contains,991000879279702656","Catalog Record")</f>
        <v/>
      </c>
      <c r="AT392">
        <f>HYPERLINK("http://www.worldcat.org/oclc/13822607","WorldCat Record")</f>
        <v/>
      </c>
      <c r="AU392" t="inlineStr">
        <is>
          <t>7325471:eng</t>
        </is>
      </c>
      <c r="AV392" t="inlineStr">
        <is>
          <t>13822607</t>
        </is>
      </c>
      <c r="AW392" t="inlineStr">
        <is>
          <t>991000879279702656</t>
        </is>
      </c>
      <c r="AX392" t="inlineStr">
        <is>
          <t>991000879279702656</t>
        </is>
      </c>
      <c r="AY392" t="inlineStr">
        <is>
          <t>2265378010002656</t>
        </is>
      </c>
      <c r="AZ392" t="inlineStr">
        <is>
          <t>BOOK</t>
        </is>
      </c>
      <c r="BB392" t="inlineStr">
        <is>
          <t>9780471911586</t>
        </is>
      </c>
      <c r="BC392" t="inlineStr">
        <is>
          <t>32285000072412</t>
        </is>
      </c>
      <c r="BD392" t="inlineStr">
        <is>
          <t>893620882</t>
        </is>
      </c>
    </row>
    <row r="393">
      <c r="A393" t="inlineStr">
        <is>
          <t>No</t>
        </is>
      </c>
      <c r="B393" t="inlineStr">
        <is>
          <t>RC425 .K47</t>
        </is>
      </c>
      <c r="C393" t="inlineStr">
        <is>
          <t>0                      RC 0425000K  47</t>
        </is>
      </c>
      <c r="D393" t="inlineStr">
        <is>
          <t>Aphasia and associated disorders : taxonomy, localization, and recovery / Andrew Kertesz.</t>
        </is>
      </c>
      <c r="F393" t="inlineStr">
        <is>
          <t>No</t>
        </is>
      </c>
      <c r="G393" t="inlineStr">
        <is>
          <t>1</t>
        </is>
      </c>
      <c r="H393" t="inlineStr">
        <is>
          <t>No</t>
        </is>
      </c>
      <c r="I393" t="inlineStr">
        <is>
          <t>No</t>
        </is>
      </c>
      <c r="J393" t="inlineStr">
        <is>
          <t>0</t>
        </is>
      </c>
      <c r="K393" t="inlineStr">
        <is>
          <t>Kertesz, Andrew.</t>
        </is>
      </c>
      <c r="L393" t="inlineStr">
        <is>
          <t>New York : Grune &amp; Stratton, c1979.</t>
        </is>
      </c>
      <c r="M393" t="inlineStr">
        <is>
          <t>1979</t>
        </is>
      </c>
      <c r="O393" t="inlineStr">
        <is>
          <t>eng</t>
        </is>
      </c>
      <c r="P393" t="inlineStr">
        <is>
          <t>nyu</t>
        </is>
      </c>
      <c r="R393" t="inlineStr">
        <is>
          <t xml:space="preserve">RC </t>
        </is>
      </c>
      <c r="S393" t="n">
        <v>4</v>
      </c>
      <c r="T393" t="n">
        <v>4</v>
      </c>
      <c r="U393" t="inlineStr">
        <is>
          <t>1994-02-15</t>
        </is>
      </c>
      <c r="V393" t="inlineStr">
        <is>
          <t>1994-02-15</t>
        </is>
      </c>
      <c r="W393" t="inlineStr">
        <is>
          <t>1993-03-19</t>
        </is>
      </c>
      <c r="X393" t="inlineStr">
        <is>
          <t>1993-03-19</t>
        </is>
      </c>
      <c r="Y393" t="n">
        <v>329</v>
      </c>
      <c r="Z393" t="n">
        <v>257</v>
      </c>
      <c r="AA393" t="n">
        <v>265</v>
      </c>
      <c r="AB393" t="n">
        <v>2</v>
      </c>
      <c r="AC393" t="n">
        <v>2</v>
      </c>
      <c r="AD393" t="n">
        <v>10</v>
      </c>
      <c r="AE393" t="n">
        <v>10</v>
      </c>
      <c r="AF393" t="n">
        <v>3</v>
      </c>
      <c r="AG393" t="n">
        <v>3</v>
      </c>
      <c r="AH393" t="n">
        <v>3</v>
      </c>
      <c r="AI393" t="n">
        <v>3</v>
      </c>
      <c r="AJ393" t="n">
        <v>5</v>
      </c>
      <c r="AK393" t="n">
        <v>5</v>
      </c>
      <c r="AL393" t="n">
        <v>1</v>
      </c>
      <c r="AM393" t="n">
        <v>1</v>
      </c>
      <c r="AN393" t="n">
        <v>0</v>
      </c>
      <c r="AO393" t="n">
        <v>0</v>
      </c>
      <c r="AP393" t="inlineStr">
        <is>
          <t>No</t>
        </is>
      </c>
      <c r="AQ393" t="inlineStr">
        <is>
          <t>Yes</t>
        </is>
      </c>
      <c r="AR393">
        <f>HYPERLINK("http://catalog.hathitrust.org/Record/000754597","HathiTrust Record")</f>
        <v/>
      </c>
      <c r="AS393">
        <f>HYPERLINK("https://creighton-primo.hosted.exlibrisgroup.com/primo-explore/search?tab=default_tab&amp;search_scope=EVERYTHING&amp;vid=01CRU&amp;lang=en_US&amp;offset=0&amp;query=any,contains,991004790559702656","Catalog Record")</f>
        <v/>
      </c>
      <c r="AT393">
        <f>HYPERLINK("http://www.worldcat.org/oclc/5170970","WorldCat Record")</f>
        <v/>
      </c>
      <c r="AU393" t="inlineStr">
        <is>
          <t>864895424:eng</t>
        </is>
      </c>
      <c r="AV393" t="inlineStr">
        <is>
          <t>5170970</t>
        </is>
      </c>
      <c r="AW393" t="inlineStr">
        <is>
          <t>991004790559702656</t>
        </is>
      </c>
      <c r="AX393" t="inlineStr">
        <is>
          <t>991004790559702656</t>
        </is>
      </c>
      <c r="AY393" t="inlineStr">
        <is>
          <t>2259309050002656</t>
        </is>
      </c>
      <c r="AZ393" t="inlineStr">
        <is>
          <t>BOOK</t>
        </is>
      </c>
      <c r="BB393" t="inlineStr">
        <is>
          <t>9780808911937</t>
        </is>
      </c>
      <c r="BC393" t="inlineStr">
        <is>
          <t>32285001605129</t>
        </is>
      </c>
      <c r="BD393" t="inlineStr">
        <is>
          <t>893263438</t>
        </is>
      </c>
    </row>
    <row r="394">
      <c r="A394" t="inlineStr">
        <is>
          <t>No</t>
        </is>
      </c>
      <c r="B394" t="inlineStr">
        <is>
          <t>RC425 .K74 1987</t>
        </is>
      </c>
      <c r="C394" t="inlineStr">
        <is>
          <t>0                      RC 0425000K  74          1987</t>
        </is>
      </c>
      <c r="D394" t="inlineStr">
        <is>
          <t>Blitzed by a stroke / [John L. Krehbiel] ; edited, published, and illustrated by Charlene Wisby Schoonover.</t>
        </is>
      </c>
      <c r="F394" t="inlineStr">
        <is>
          <t>No</t>
        </is>
      </c>
      <c r="G394" t="inlineStr">
        <is>
          <t>1</t>
        </is>
      </c>
      <c r="H394" t="inlineStr">
        <is>
          <t>No</t>
        </is>
      </c>
      <c r="I394" t="inlineStr">
        <is>
          <t>No</t>
        </is>
      </c>
      <c r="J394" t="inlineStr">
        <is>
          <t>0</t>
        </is>
      </c>
      <c r="K394" t="inlineStr">
        <is>
          <t>Krehbiel, John L.</t>
        </is>
      </c>
      <c r="L394" t="inlineStr">
        <is>
          <t>Hutchinson, Kan. : Standard Press, c1987.</t>
        </is>
      </c>
      <c r="M394" t="inlineStr">
        <is>
          <t>1987</t>
        </is>
      </c>
      <c r="N394" t="inlineStr">
        <is>
          <t>1st ed.</t>
        </is>
      </c>
      <c r="O394" t="inlineStr">
        <is>
          <t>eng</t>
        </is>
      </c>
      <c r="P394" t="inlineStr">
        <is>
          <t>ksu</t>
        </is>
      </c>
      <c r="R394" t="inlineStr">
        <is>
          <t xml:space="preserve">RC </t>
        </is>
      </c>
      <c r="S394" t="n">
        <v>4</v>
      </c>
      <c r="T394" t="n">
        <v>4</v>
      </c>
      <c r="U394" t="inlineStr">
        <is>
          <t>1998-11-01</t>
        </is>
      </c>
      <c r="V394" t="inlineStr">
        <is>
          <t>1998-11-01</t>
        </is>
      </c>
      <c r="W394" t="inlineStr">
        <is>
          <t>1993-03-19</t>
        </is>
      </c>
      <c r="X394" t="inlineStr">
        <is>
          <t>1993-03-19</t>
        </is>
      </c>
      <c r="Y394" t="n">
        <v>4</v>
      </c>
      <c r="Z394" t="n">
        <v>4</v>
      </c>
      <c r="AA394" t="n">
        <v>4</v>
      </c>
      <c r="AB394" t="n">
        <v>2</v>
      </c>
      <c r="AC394" t="n">
        <v>2</v>
      </c>
      <c r="AD394" t="n">
        <v>0</v>
      </c>
      <c r="AE394" t="n">
        <v>0</v>
      </c>
      <c r="AF394" t="n">
        <v>0</v>
      </c>
      <c r="AG394" t="n">
        <v>0</v>
      </c>
      <c r="AH394" t="n">
        <v>0</v>
      </c>
      <c r="AI394" t="n">
        <v>0</v>
      </c>
      <c r="AJ394" t="n">
        <v>0</v>
      </c>
      <c r="AK394" t="n">
        <v>0</v>
      </c>
      <c r="AL394" t="n">
        <v>0</v>
      </c>
      <c r="AM394" t="n">
        <v>0</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HYPERLINK("https://creighton-primo.hosted.exlibrisgroup.com/primo-explore/search?tab=default_tab&amp;search_scope=EVERYTHING&amp;vid=01CRU&amp;lang=en_US&amp;offset=0&amp;query=any,contains,991001127689702656","Catalog Record")</f>
        <v/>
      </c>
      <c r="AT394">
        <f>HYPERLINK("http://www.worldcat.org/oclc/16663099","WorldCat Record")</f>
        <v/>
      </c>
      <c r="AU394" t="inlineStr">
        <is>
          <t>12155970:eng</t>
        </is>
      </c>
      <c r="AV394" t="inlineStr">
        <is>
          <t>16663099</t>
        </is>
      </c>
      <c r="AW394" t="inlineStr">
        <is>
          <t>991001127689702656</t>
        </is>
      </c>
      <c r="AX394" t="inlineStr">
        <is>
          <t>991001127689702656</t>
        </is>
      </c>
      <c r="AY394" t="inlineStr">
        <is>
          <t>2265662760002656</t>
        </is>
      </c>
      <c r="AZ394" t="inlineStr">
        <is>
          <t>BOOK</t>
        </is>
      </c>
      <c r="BC394" t="inlineStr">
        <is>
          <t>32285001605137</t>
        </is>
      </c>
      <c r="BD394" t="inlineStr">
        <is>
          <t>893509407</t>
        </is>
      </c>
    </row>
    <row r="395">
      <c r="A395" t="inlineStr">
        <is>
          <t>No</t>
        </is>
      </c>
      <c r="B395" t="inlineStr">
        <is>
          <t>RC425 .M235</t>
        </is>
      </c>
      <c r="C395" t="inlineStr">
        <is>
          <t>0                      RC 0425000M  235</t>
        </is>
      </c>
      <c r="D395" t="inlineStr">
        <is>
          <t>Neurological bases of learning disorders / by F. Joseph McGrane.</t>
        </is>
      </c>
      <c r="F395" t="inlineStr">
        <is>
          <t>No</t>
        </is>
      </c>
      <c r="G395" t="inlineStr">
        <is>
          <t>1</t>
        </is>
      </c>
      <c r="H395" t="inlineStr">
        <is>
          <t>No</t>
        </is>
      </c>
      <c r="I395" t="inlineStr">
        <is>
          <t>No</t>
        </is>
      </c>
      <c r="J395" t="inlineStr">
        <is>
          <t>0</t>
        </is>
      </c>
      <c r="K395" t="inlineStr">
        <is>
          <t>McGrane, Franklin Joseph.</t>
        </is>
      </c>
      <c r="L395" t="inlineStr">
        <is>
          <t>Washington : Jameson-Quigley Publications, 1976.</t>
        </is>
      </c>
      <c r="M395" t="inlineStr">
        <is>
          <t>1976</t>
        </is>
      </c>
      <c r="N395" t="inlineStr">
        <is>
          <t>[1st ed.]</t>
        </is>
      </c>
      <c r="O395" t="inlineStr">
        <is>
          <t>eng</t>
        </is>
      </c>
      <c r="P395" t="inlineStr">
        <is>
          <t>dcu</t>
        </is>
      </c>
      <c r="Q395" t="inlineStr">
        <is>
          <t>The mind and brain of man ; book 1</t>
        </is>
      </c>
      <c r="R395" t="inlineStr">
        <is>
          <t xml:space="preserve">RC </t>
        </is>
      </c>
      <c r="S395" t="n">
        <v>1</v>
      </c>
      <c r="T395" t="n">
        <v>1</v>
      </c>
      <c r="U395" t="inlineStr">
        <is>
          <t>2003-11-21</t>
        </is>
      </c>
      <c r="V395" t="inlineStr">
        <is>
          <t>2003-11-21</t>
        </is>
      </c>
      <c r="W395" t="inlineStr">
        <is>
          <t>1997-08-11</t>
        </is>
      </c>
      <c r="X395" t="inlineStr">
        <is>
          <t>1997-08-11</t>
        </is>
      </c>
      <c r="Y395" t="n">
        <v>35</v>
      </c>
      <c r="Z395" t="n">
        <v>33</v>
      </c>
      <c r="AA395" t="n">
        <v>35</v>
      </c>
      <c r="AB395" t="n">
        <v>4</v>
      </c>
      <c r="AC395" t="n">
        <v>4</v>
      </c>
      <c r="AD395" t="n">
        <v>3</v>
      </c>
      <c r="AE395" t="n">
        <v>3</v>
      </c>
      <c r="AF395" t="n">
        <v>0</v>
      </c>
      <c r="AG395" t="n">
        <v>0</v>
      </c>
      <c r="AH395" t="n">
        <v>0</v>
      </c>
      <c r="AI395" t="n">
        <v>0</v>
      </c>
      <c r="AJ395" t="n">
        <v>0</v>
      </c>
      <c r="AK395" t="n">
        <v>0</v>
      </c>
      <c r="AL395" t="n">
        <v>3</v>
      </c>
      <c r="AM395" t="n">
        <v>3</v>
      </c>
      <c r="AN395" t="n">
        <v>0</v>
      </c>
      <c r="AO395" t="n">
        <v>0</v>
      </c>
      <c r="AP395" t="inlineStr">
        <is>
          <t>No</t>
        </is>
      </c>
      <c r="AQ395" t="inlineStr">
        <is>
          <t>Yes</t>
        </is>
      </c>
      <c r="AR395">
        <f>HYPERLINK("http://catalog.hathitrust.org/Record/010377481","HathiTrust Record")</f>
        <v/>
      </c>
      <c r="AS395">
        <f>HYPERLINK("https://creighton-primo.hosted.exlibrisgroup.com/primo-explore/search?tab=default_tab&amp;search_scope=EVERYTHING&amp;vid=01CRU&amp;lang=en_US&amp;offset=0&amp;query=any,contains,991004196149702656","Catalog Record")</f>
        <v/>
      </c>
      <c r="AT395">
        <f>HYPERLINK("http://www.worldcat.org/oclc/2644622","WorldCat Record")</f>
        <v/>
      </c>
      <c r="AU395" t="inlineStr">
        <is>
          <t>5901765:eng</t>
        </is>
      </c>
      <c r="AV395" t="inlineStr">
        <is>
          <t>2644622</t>
        </is>
      </c>
      <c r="AW395" t="inlineStr">
        <is>
          <t>991004196149702656</t>
        </is>
      </c>
      <c r="AX395" t="inlineStr">
        <is>
          <t>991004196149702656</t>
        </is>
      </c>
      <c r="AY395" t="inlineStr">
        <is>
          <t>2255266890002656</t>
        </is>
      </c>
      <c r="AZ395" t="inlineStr">
        <is>
          <t>BOOK</t>
        </is>
      </c>
      <c r="BC395" t="inlineStr">
        <is>
          <t>32285003090221</t>
        </is>
      </c>
      <c r="BD395" t="inlineStr">
        <is>
          <t>893599541</t>
        </is>
      </c>
    </row>
    <row r="396">
      <c r="A396" t="inlineStr">
        <is>
          <t>No</t>
        </is>
      </c>
      <c r="B396" t="inlineStr">
        <is>
          <t>RC425 .S32 1982</t>
        </is>
      </c>
      <c r="C396" t="inlineStr">
        <is>
          <t>0                      RC 0425000S  32          1982</t>
        </is>
      </c>
      <c r="D396" t="inlineStr">
        <is>
          <t>Aphasia theory and therapy : selected lectures and papers of Hildred Schuell / edited with an introductory chapter by Luther F. Sies.</t>
        </is>
      </c>
      <c r="F396" t="inlineStr">
        <is>
          <t>No</t>
        </is>
      </c>
      <c r="G396" t="inlineStr">
        <is>
          <t>1</t>
        </is>
      </c>
      <c r="H396" t="inlineStr">
        <is>
          <t>No</t>
        </is>
      </c>
      <c r="I396" t="inlineStr">
        <is>
          <t>No</t>
        </is>
      </c>
      <c r="J396" t="inlineStr">
        <is>
          <t>0</t>
        </is>
      </c>
      <c r="K396" t="inlineStr">
        <is>
          <t>Schuell, Hildred.</t>
        </is>
      </c>
      <c r="L396" t="inlineStr">
        <is>
          <t>Washington, D.C. : University Press of America, c1982.</t>
        </is>
      </c>
      <c r="M396" t="inlineStr">
        <is>
          <t>1982</t>
        </is>
      </c>
      <c r="N396" t="inlineStr">
        <is>
          <t>2nd ed.</t>
        </is>
      </c>
      <c r="O396" t="inlineStr">
        <is>
          <t>eng</t>
        </is>
      </c>
      <c r="P396" t="inlineStr">
        <is>
          <t>dcu</t>
        </is>
      </c>
      <c r="R396" t="inlineStr">
        <is>
          <t xml:space="preserve">RC </t>
        </is>
      </c>
      <c r="S396" t="n">
        <v>6</v>
      </c>
      <c r="T396" t="n">
        <v>6</v>
      </c>
      <c r="U396" t="inlineStr">
        <is>
          <t>1997-05-20</t>
        </is>
      </c>
      <c r="V396" t="inlineStr">
        <is>
          <t>1997-05-20</t>
        </is>
      </c>
      <c r="W396" t="inlineStr">
        <is>
          <t>1993-03-19</t>
        </is>
      </c>
      <c r="X396" t="inlineStr">
        <is>
          <t>1993-03-19</t>
        </is>
      </c>
      <c r="Y396" t="n">
        <v>109</v>
      </c>
      <c r="Z396" t="n">
        <v>101</v>
      </c>
      <c r="AA396" t="n">
        <v>467</v>
      </c>
      <c r="AB396" t="n">
        <v>1</v>
      </c>
      <c r="AC396" t="n">
        <v>4</v>
      </c>
      <c r="AD396" t="n">
        <v>6</v>
      </c>
      <c r="AE396" t="n">
        <v>20</v>
      </c>
      <c r="AF396" t="n">
        <v>3</v>
      </c>
      <c r="AG396" t="n">
        <v>7</v>
      </c>
      <c r="AH396" t="n">
        <v>1</v>
      </c>
      <c r="AI396" t="n">
        <v>5</v>
      </c>
      <c r="AJ396" t="n">
        <v>3</v>
      </c>
      <c r="AK396" t="n">
        <v>10</v>
      </c>
      <c r="AL396" t="n">
        <v>0</v>
      </c>
      <c r="AM396" t="n">
        <v>3</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HYPERLINK("https://creighton-primo.hosted.exlibrisgroup.com/primo-explore/search?tab=default_tab&amp;search_scope=EVERYTHING&amp;vid=01CRU&amp;lang=en_US&amp;offset=0&amp;query=any,contains,991000095459702656","Catalog Record")</f>
        <v/>
      </c>
      <c r="AT396">
        <f>HYPERLINK("http://www.worldcat.org/oclc/8928506","WorldCat Record")</f>
        <v/>
      </c>
      <c r="AU396" t="inlineStr">
        <is>
          <t>1675710:eng</t>
        </is>
      </c>
      <c r="AV396" t="inlineStr">
        <is>
          <t>8928506</t>
        </is>
      </c>
      <c r="AW396" t="inlineStr">
        <is>
          <t>991000095459702656</t>
        </is>
      </c>
      <c r="AX396" t="inlineStr">
        <is>
          <t>991000095459702656</t>
        </is>
      </c>
      <c r="AY396" t="inlineStr">
        <is>
          <t>2264463440002656</t>
        </is>
      </c>
      <c r="AZ396" t="inlineStr">
        <is>
          <t>BOOK</t>
        </is>
      </c>
      <c r="BB396" t="inlineStr">
        <is>
          <t>9780819127686</t>
        </is>
      </c>
      <c r="BC396" t="inlineStr">
        <is>
          <t>32285001605145</t>
        </is>
      </c>
      <c r="BD396" t="inlineStr">
        <is>
          <t>893689418</t>
        </is>
      </c>
    </row>
    <row r="397">
      <c r="A397" t="inlineStr">
        <is>
          <t>No</t>
        </is>
      </c>
      <c r="B397" t="inlineStr">
        <is>
          <t>RC427 .A5 1970</t>
        </is>
      </c>
      <c r="C397" t="inlineStr">
        <is>
          <t>0                      RC 0427000A  5           1970</t>
        </is>
      </c>
      <c r="D397" t="inlineStr">
        <is>
          <t>Therapy for young stutterers: the Kopp method, by Elwood G. Anderson.</t>
        </is>
      </c>
      <c r="F397" t="inlineStr">
        <is>
          <t>No</t>
        </is>
      </c>
      <c r="G397" t="inlineStr">
        <is>
          <t>1</t>
        </is>
      </c>
      <c r="H397" t="inlineStr">
        <is>
          <t>No</t>
        </is>
      </c>
      <c r="I397" t="inlineStr">
        <is>
          <t>No</t>
        </is>
      </c>
      <c r="J397" t="inlineStr">
        <is>
          <t>0</t>
        </is>
      </c>
      <c r="K397" t="inlineStr">
        <is>
          <t>Anderson, Elwood G.</t>
        </is>
      </c>
      <c r="L397" t="inlineStr">
        <is>
          <t>Detroit, Wayne State University Press, 1970.</t>
        </is>
      </c>
      <c r="M397" t="inlineStr">
        <is>
          <t>1970</t>
        </is>
      </c>
      <c r="N397" t="inlineStr">
        <is>
          <t>[Rev. ed.]</t>
        </is>
      </c>
      <c r="O397" t="inlineStr">
        <is>
          <t>eng</t>
        </is>
      </c>
      <c r="P397" t="inlineStr">
        <is>
          <t>miu</t>
        </is>
      </c>
      <c r="Q397" t="inlineStr">
        <is>
          <t>A Savoyard book</t>
        </is>
      </c>
      <c r="R397" t="inlineStr">
        <is>
          <t xml:space="preserve">RC </t>
        </is>
      </c>
      <c r="S397" t="n">
        <v>1</v>
      </c>
      <c r="T397" t="n">
        <v>1</v>
      </c>
      <c r="U397" t="inlineStr">
        <is>
          <t>2007-09-12</t>
        </is>
      </c>
      <c r="V397" t="inlineStr">
        <is>
          <t>2007-09-12</t>
        </is>
      </c>
      <c r="W397" t="inlineStr">
        <is>
          <t>1997-08-11</t>
        </is>
      </c>
      <c r="X397" t="inlineStr">
        <is>
          <t>1997-08-11</t>
        </is>
      </c>
      <c r="Y397" t="n">
        <v>278</v>
      </c>
      <c r="Z397" t="n">
        <v>256</v>
      </c>
      <c r="AA397" t="n">
        <v>264</v>
      </c>
      <c r="AB397" t="n">
        <v>2</v>
      </c>
      <c r="AC397" t="n">
        <v>2</v>
      </c>
      <c r="AD397" t="n">
        <v>9</v>
      </c>
      <c r="AE397" t="n">
        <v>9</v>
      </c>
      <c r="AF397" t="n">
        <v>3</v>
      </c>
      <c r="AG397" t="n">
        <v>3</v>
      </c>
      <c r="AH397" t="n">
        <v>3</v>
      </c>
      <c r="AI397" t="n">
        <v>3</v>
      </c>
      <c r="AJ397" t="n">
        <v>4</v>
      </c>
      <c r="AK397" t="n">
        <v>4</v>
      </c>
      <c r="AL397" t="n">
        <v>1</v>
      </c>
      <c r="AM397" t="n">
        <v>1</v>
      </c>
      <c r="AN397" t="n">
        <v>0</v>
      </c>
      <c r="AO397" t="n">
        <v>0</v>
      </c>
      <c r="AP397" t="inlineStr">
        <is>
          <t>No</t>
        </is>
      </c>
      <c r="AQ397" t="inlineStr">
        <is>
          <t>Yes</t>
        </is>
      </c>
      <c r="AR397">
        <f>HYPERLINK("http://catalog.hathitrust.org/Record/001563446","HathiTrust Record")</f>
        <v/>
      </c>
      <c r="AS397">
        <f>HYPERLINK("https://creighton-primo.hosted.exlibrisgroup.com/primo-explore/search?tab=default_tab&amp;search_scope=EVERYTHING&amp;vid=01CRU&amp;lang=en_US&amp;offset=0&amp;query=any,contains,991000523629702656","Catalog Record")</f>
        <v/>
      </c>
      <c r="AT397">
        <f>HYPERLINK("http://www.worldcat.org/oclc/88776","WorldCat Record")</f>
        <v/>
      </c>
      <c r="AU397" t="inlineStr">
        <is>
          <t>197761613:eng</t>
        </is>
      </c>
      <c r="AV397" t="inlineStr">
        <is>
          <t>88776</t>
        </is>
      </c>
      <c r="AW397" t="inlineStr">
        <is>
          <t>991000523629702656</t>
        </is>
      </c>
      <c r="AX397" t="inlineStr">
        <is>
          <t>991000523629702656</t>
        </is>
      </c>
      <c r="AY397" t="inlineStr">
        <is>
          <t>2269437050002656</t>
        </is>
      </c>
      <c r="AZ397" t="inlineStr">
        <is>
          <t>BOOK</t>
        </is>
      </c>
      <c r="BC397" t="inlineStr">
        <is>
          <t>32285003090254</t>
        </is>
      </c>
      <c r="BD397" t="inlineStr">
        <is>
          <t>893708449</t>
        </is>
      </c>
    </row>
    <row r="398">
      <c r="A398" t="inlineStr">
        <is>
          <t>No</t>
        </is>
      </c>
      <c r="B398" t="inlineStr">
        <is>
          <t>RC427 .C66</t>
        </is>
      </c>
      <c r="C398" t="inlineStr">
        <is>
          <t>0                      RC 0427000C  66</t>
        </is>
      </c>
      <c r="D398" t="inlineStr">
        <is>
          <t>Modern techniques of vocal rehabilitation.</t>
        </is>
      </c>
      <c r="F398" t="inlineStr">
        <is>
          <t>No</t>
        </is>
      </c>
      <c r="G398" t="inlineStr">
        <is>
          <t>1</t>
        </is>
      </c>
      <c r="H398" t="inlineStr">
        <is>
          <t>No</t>
        </is>
      </c>
      <c r="I398" t="inlineStr">
        <is>
          <t>No</t>
        </is>
      </c>
      <c r="J398" t="inlineStr">
        <is>
          <t>0</t>
        </is>
      </c>
      <c r="K398" t="inlineStr">
        <is>
          <t>Cooper, Morton, 1931-</t>
        </is>
      </c>
      <c r="L398" t="inlineStr">
        <is>
          <t>Springfield, Ill., Thomas [1973]</t>
        </is>
      </c>
      <c r="M398" t="inlineStr">
        <is>
          <t>1973</t>
        </is>
      </c>
      <c r="O398" t="inlineStr">
        <is>
          <t>eng</t>
        </is>
      </c>
      <c r="P398" t="inlineStr">
        <is>
          <t>ilu</t>
        </is>
      </c>
      <c r="Q398" t="inlineStr">
        <is>
          <t>American lecture series, publication no. 849. A monograph in the Bannerstone division of American lectures in speech and hearing</t>
        </is>
      </c>
      <c r="R398" t="inlineStr">
        <is>
          <t xml:space="preserve">RC </t>
        </is>
      </c>
      <c r="S398" t="n">
        <v>4</v>
      </c>
      <c r="T398" t="n">
        <v>4</v>
      </c>
      <c r="U398" t="inlineStr">
        <is>
          <t>2007-08-20</t>
        </is>
      </c>
      <c r="V398" t="inlineStr">
        <is>
          <t>2007-08-20</t>
        </is>
      </c>
      <c r="W398" t="inlineStr">
        <is>
          <t>1997-08-11</t>
        </is>
      </c>
      <c r="X398" t="inlineStr">
        <is>
          <t>1997-08-11</t>
        </is>
      </c>
      <c r="Y398" t="n">
        <v>421</v>
      </c>
      <c r="Z398" t="n">
        <v>378</v>
      </c>
      <c r="AA398" t="n">
        <v>387</v>
      </c>
      <c r="AB398" t="n">
        <v>3</v>
      </c>
      <c r="AC398" t="n">
        <v>3</v>
      </c>
      <c r="AD398" t="n">
        <v>10</v>
      </c>
      <c r="AE398" t="n">
        <v>10</v>
      </c>
      <c r="AF398" t="n">
        <v>4</v>
      </c>
      <c r="AG398" t="n">
        <v>4</v>
      </c>
      <c r="AH398" t="n">
        <v>3</v>
      </c>
      <c r="AI398" t="n">
        <v>3</v>
      </c>
      <c r="AJ398" t="n">
        <v>4</v>
      </c>
      <c r="AK398" t="n">
        <v>4</v>
      </c>
      <c r="AL398" t="n">
        <v>2</v>
      </c>
      <c r="AM398" t="n">
        <v>2</v>
      </c>
      <c r="AN398" t="n">
        <v>0</v>
      </c>
      <c r="AO398" t="n">
        <v>0</v>
      </c>
      <c r="AP398" t="inlineStr">
        <is>
          <t>No</t>
        </is>
      </c>
      <c r="AQ398" t="inlineStr">
        <is>
          <t>Yes</t>
        </is>
      </c>
      <c r="AR398">
        <f>HYPERLINK("http://catalog.hathitrust.org/Record/000879448","HathiTrust Record")</f>
        <v/>
      </c>
      <c r="AS398">
        <f>HYPERLINK("https://creighton-primo.hosted.exlibrisgroup.com/primo-explore/search?tab=default_tab&amp;search_scope=EVERYTHING&amp;vid=01CRU&amp;lang=en_US&amp;offset=0&amp;query=any,contains,991003065419702656","Catalog Record")</f>
        <v/>
      </c>
      <c r="AT398">
        <f>HYPERLINK("http://www.worldcat.org/oclc/621957","WorldCat Record")</f>
        <v/>
      </c>
      <c r="AU398" t="inlineStr">
        <is>
          <t>471311:eng</t>
        </is>
      </c>
      <c r="AV398" t="inlineStr">
        <is>
          <t>621957</t>
        </is>
      </c>
      <c r="AW398" t="inlineStr">
        <is>
          <t>991003065419702656</t>
        </is>
      </c>
      <c r="AX398" t="inlineStr">
        <is>
          <t>991003065419702656</t>
        </is>
      </c>
      <c r="AY398" t="inlineStr">
        <is>
          <t>2257094790002656</t>
        </is>
      </c>
      <c r="AZ398" t="inlineStr">
        <is>
          <t>BOOK</t>
        </is>
      </c>
      <c r="BB398" t="inlineStr">
        <is>
          <t>9780398024512</t>
        </is>
      </c>
      <c r="BC398" t="inlineStr">
        <is>
          <t>32285003090262</t>
        </is>
      </c>
      <c r="BD398" t="inlineStr">
        <is>
          <t>893717279</t>
        </is>
      </c>
    </row>
    <row r="399">
      <c r="A399" t="inlineStr">
        <is>
          <t>No</t>
        </is>
      </c>
      <c r="B399" t="inlineStr">
        <is>
          <t>RC429 .B37 1978</t>
        </is>
      </c>
      <c r="C399" t="inlineStr">
        <is>
          <t>0                      RC 0429000B  37          1978</t>
        </is>
      </c>
      <c r="D399" t="inlineStr">
        <is>
          <t>Oral myofunctional disorders / Richard H. Barrett, Marvin L. Hanson.</t>
        </is>
      </c>
      <c r="F399" t="inlineStr">
        <is>
          <t>No</t>
        </is>
      </c>
      <c r="G399" t="inlineStr">
        <is>
          <t>1</t>
        </is>
      </c>
      <c r="H399" t="inlineStr">
        <is>
          <t>Yes</t>
        </is>
      </c>
      <c r="I399" t="inlineStr">
        <is>
          <t>No</t>
        </is>
      </c>
      <c r="J399" t="inlineStr">
        <is>
          <t>0</t>
        </is>
      </c>
      <c r="K399" t="inlineStr">
        <is>
          <t>Barrett, Richard H. (Richard Howard), 1915-</t>
        </is>
      </c>
      <c r="L399" t="inlineStr">
        <is>
          <t>Saint Louis : Mosby, 1978.</t>
        </is>
      </c>
      <c r="M399" t="inlineStr">
        <is>
          <t>1978</t>
        </is>
      </c>
      <c r="N399" t="inlineStr">
        <is>
          <t>2d ed.</t>
        </is>
      </c>
      <c r="O399" t="inlineStr">
        <is>
          <t>eng</t>
        </is>
      </c>
      <c r="P399" t="inlineStr">
        <is>
          <t>mou</t>
        </is>
      </c>
      <c r="R399" t="inlineStr">
        <is>
          <t xml:space="preserve">RC </t>
        </is>
      </c>
      <c r="S399" t="n">
        <v>0</v>
      </c>
      <c r="T399" t="n">
        <v>5</v>
      </c>
      <c r="V399" t="inlineStr">
        <is>
          <t>2003-03-22</t>
        </is>
      </c>
      <c r="W399" t="inlineStr">
        <is>
          <t>1993-03-19</t>
        </is>
      </c>
      <c r="X399" t="inlineStr">
        <is>
          <t>1993-03-19</t>
        </is>
      </c>
      <c r="Y399" t="n">
        <v>175</v>
      </c>
      <c r="Z399" t="n">
        <v>127</v>
      </c>
      <c r="AA399" t="n">
        <v>237</v>
      </c>
      <c r="AB399" t="n">
        <v>2</v>
      </c>
      <c r="AC399" t="n">
        <v>4</v>
      </c>
      <c r="AD399" t="n">
        <v>3</v>
      </c>
      <c r="AE399" t="n">
        <v>7</v>
      </c>
      <c r="AF399" t="n">
        <v>1</v>
      </c>
      <c r="AG399" t="n">
        <v>3</v>
      </c>
      <c r="AH399" t="n">
        <v>1</v>
      </c>
      <c r="AI399" t="n">
        <v>1</v>
      </c>
      <c r="AJ399" t="n">
        <v>3</v>
      </c>
      <c r="AK399" t="n">
        <v>4</v>
      </c>
      <c r="AL399" t="n">
        <v>0</v>
      </c>
      <c r="AM399" t="n">
        <v>2</v>
      </c>
      <c r="AN399" t="n">
        <v>0</v>
      </c>
      <c r="AO399" t="n">
        <v>0</v>
      </c>
      <c r="AP399" t="inlineStr">
        <is>
          <t>No</t>
        </is>
      </c>
      <c r="AQ399" t="inlineStr">
        <is>
          <t>Yes</t>
        </is>
      </c>
      <c r="AR399">
        <f>HYPERLINK("http://catalog.hathitrust.org/Record/000135220","HathiTrust Record")</f>
        <v/>
      </c>
      <c r="AS399">
        <f>HYPERLINK("https://creighton-primo.hosted.exlibrisgroup.com/primo-explore/search?tab=default_tab&amp;search_scope=EVERYTHING&amp;vid=01CRU&amp;lang=en_US&amp;offset=0&amp;query=any,contains,991001792829702656","Catalog Record")</f>
        <v/>
      </c>
      <c r="AT399">
        <f>HYPERLINK("http://www.worldcat.org/oclc/3843372","WorldCat Record")</f>
        <v/>
      </c>
      <c r="AU399" t="inlineStr">
        <is>
          <t>1899773:eng</t>
        </is>
      </c>
      <c r="AV399" t="inlineStr">
        <is>
          <t>3843372</t>
        </is>
      </c>
      <c r="AW399" t="inlineStr">
        <is>
          <t>991001792829702656</t>
        </is>
      </c>
      <c r="AX399" t="inlineStr">
        <is>
          <t>991001792829702656</t>
        </is>
      </c>
      <c r="AY399" t="inlineStr">
        <is>
          <t>2266425310002656</t>
        </is>
      </c>
      <c r="AZ399" t="inlineStr">
        <is>
          <t>BOOK</t>
        </is>
      </c>
      <c r="BB399" t="inlineStr">
        <is>
          <t>9780801604973</t>
        </is>
      </c>
      <c r="BC399" t="inlineStr">
        <is>
          <t>32285001605152</t>
        </is>
      </c>
      <c r="BD399" t="inlineStr">
        <is>
          <t>893433145</t>
        </is>
      </c>
    </row>
    <row r="400">
      <c r="A400" t="inlineStr">
        <is>
          <t>No</t>
        </is>
      </c>
      <c r="B400" t="inlineStr">
        <is>
          <t>RC429 .B56 1995</t>
        </is>
      </c>
      <c r="C400" t="inlineStr">
        <is>
          <t>0                      RC 0429000B  56          1995</t>
        </is>
      </c>
      <c r="D400" t="inlineStr">
        <is>
          <t>Bilingual speech-language pathology : an Hispanic focus / edited by Hortencia Kayser.</t>
        </is>
      </c>
      <c r="F400" t="inlineStr">
        <is>
          <t>No</t>
        </is>
      </c>
      <c r="G400" t="inlineStr">
        <is>
          <t>1</t>
        </is>
      </c>
      <c r="H400" t="inlineStr">
        <is>
          <t>No</t>
        </is>
      </c>
      <c r="I400" t="inlineStr">
        <is>
          <t>No</t>
        </is>
      </c>
      <c r="J400" t="inlineStr">
        <is>
          <t>0</t>
        </is>
      </c>
      <c r="L400" t="inlineStr">
        <is>
          <t>San Diego, Calif. : Singular Pub. Group, 1995.</t>
        </is>
      </c>
      <c r="M400" t="inlineStr">
        <is>
          <t>1995</t>
        </is>
      </c>
      <c r="O400" t="inlineStr">
        <is>
          <t>eng</t>
        </is>
      </c>
      <c r="P400" t="inlineStr">
        <is>
          <t>cau</t>
        </is>
      </c>
      <c r="Q400" t="inlineStr">
        <is>
          <t>Culture, rehabilitation, and education series</t>
        </is>
      </c>
      <c r="R400" t="inlineStr">
        <is>
          <t xml:space="preserve">RC </t>
        </is>
      </c>
      <c r="S400" t="n">
        <v>4</v>
      </c>
      <c r="T400" t="n">
        <v>4</v>
      </c>
      <c r="U400" t="inlineStr">
        <is>
          <t>1997-04-17</t>
        </is>
      </c>
      <c r="V400" t="inlineStr">
        <is>
          <t>1997-04-17</t>
        </is>
      </c>
      <c r="W400" t="inlineStr">
        <is>
          <t>1995-05-15</t>
        </is>
      </c>
      <c r="X400" t="inlineStr">
        <is>
          <t>1995-05-15</t>
        </is>
      </c>
      <c r="Y400" t="n">
        <v>210</v>
      </c>
      <c r="Z400" t="n">
        <v>196</v>
      </c>
      <c r="AA400" t="n">
        <v>198</v>
      </c>
      <c r="AB400" t="n">
        <v>4</v>
      </c>
      <c r="AC400" t="n">
        <v>4</v>
      </c>
      <c r="AD400" t="n">
        <v>11</v>
      </c>
      <c r="AE400" t="n">
        <v>11</v>
      </c>
      <c r="AF400" t="n">
        <v>4</v>
      </c>
      <c r="AG400" t="n">
        <v>4</v>
      </c>
      <c r="AH400" t="n">
        <v>3</v>
      </c>
      <c r="AI400" t="n">
        <v>3</v>
      </c>
      <c r="AJ400" t="n">
        <v>3</v>
      </c>
      <c r="AK400" t="n">
        <v>3</v>
      </c>
      <c r="AL400" t="n">
        <v>3</v>
      </c>
      <c r="AM400" t="n">
        <v>3</v>
      </c>
      <c r="AN400" t="n">
        <v>0</v>
      </c>
      <c r="AO400" t="n">
        <v>0</v>
      </c>
      <c r="AP400" t="inlineStr">
        <is>
          <t>No</t>
        </is>
      </c>
      <c r="AQ400" t="inlineStr">
        <is>
          <t>Yes</t>
        </is>
      </c>
      <c r="AR400">
        <f>HYPERLINK("http://catalog.hathitrust.org/Record/101576595","HathiTrust Record")</f>
        <v/>
      </c>
      <c r="AS400">
        <f>HYPERLINK("https://creighton-primo.hosted.exlibrisgroup.com/primo-explore/search?tab=default_tab&amp;search_scope=EVERYTHING&amp;vid=01CRU&amp;lang=en_US&amp;offset=0&amp;query=any,contains,991002466159702656","Catalog Record")</f>
        <v/>
      </c>
      <c r="AT400">
        <f>HYPERLINK("http://www.worldcat.org/oclc/32131945","WorldCat Record")</f>
        <v/>
      </c>
      <c r="AU400" t="inlineStr">
        <is>
          <t>891374272:eng</t>
        </is>
      </c>
      <c r="AV400" t="inlineStr">
        <is>
          <t>32131945</t>
        </is>
      </c>
      <c r="AW400" t="inlineStr">
        <is>
          <t>991002466159702656</t>
        </is>
      </c>
      <c r="AX400" t="inlineStr">
        <is>
          <t>991002466159702656</t>
        </is>
      </c>
      <c r="AY400" t="inlineStr">
        <is>
          <t>2260847830002656</t>
        </is>
      </c>
      <c r="AZ400" t="inlineStr">
        <is>
          <t>BOOK</t>
        </is>
      </c>
      <c r="BB400" t="inlineStr">
        <is>
          <t>9781565932050</t>
        </is>
      </c>
      <c r="BC400" t="inlineStr">
        <is>
          <t>32285002039419</t>
        </is>
      </c>
      <c r="BD400" t="inlineStr">
        <is>
          <t>893251270</t>
        </is>
      </c>
    </row>
    <row r="401">
      <c r="A401" t="inlineStr">
        <is>
          <t>No</t>
        </is>
      </c>
      <c r="B401" t="inlineStr">
        <is>
          <t>RC437.5 .P44 1982</t>
        </is>
      </c>
      <c r="C401" t="inlineStr">
        <is>
          <t>0                      RC 0437500P  44          1982</t>
        </is>
      </c>
      <c r="D401" t="inlineStr">
        <is>
          <t>Philosophy, religion, and psychotherapy : essays in the philosophical foundations of psychotherapy / edited by Paul W. Sharkey.</t>
        </is>
      </c>
      <c r="F401" t="inlineStr">
        <is>
          <t>No</t>
        </is>
      </c>
      <c r="G401" t="inlineStr">
        <is>
          <t>1</t>
        </is>
      </c>
      <c r="H401" t="inlineStr">
        <is>
          <t>No</t>
        </is>
      </c>
      <c r="I401" t="inlineStr">
        <is>
          <t>No</t>
        </is>
      </c>
      <c r="J401" t="inlineStr">
        <is>
          <t>0</t>
        </is>
      </c>
      <c r="L401" t="inlineStr">
        <is>
          <t>Washington, D.C. : University Press of America, c1982.</t>
        </is>
      </c>
      <c r="M401" t="inlineStr">
        <is>
          <t>1982</t>
        </is>
      </c>
      <c r="O401" t="inlineStr">
        <is>
          <t>eng</t>
        </is>
      </c>
      <c r="P401" t="inlineStr">
        <is>
          <t>dcu</t>
        </is>
      </c>
      <c r="R401" t="inlineStr">
        <is>
          <t xml:space="preserve">RC </t>
        </is>
      </c>
      <c r="S401" t="n">
        <v>8</v>
      </c>
      <c r="T401" t="n">
        <v>8</v>
      </c>
      <c r="U401" t="inlineStr">
        <is>
          <t>1998-11-08</t>
        </is>
      </c>
      <c r="V401" t="inlineStr">
        <is>
          <t>1998-11-08</t>
        </is>
      </c>
      <c r="W401" t="inlineStr">
        <is>
          <t>1993-03-19</t>
        </is>
      </c>
      <c r="X401" t="inlineStr">
        <is>
          <t>1993-03-19</t>
        </is>
      </c>
      <c r="Y401" t="n">
        <v>179</v>
      </c>
      <c r="Z401" t="n">
        <v>154</v>
      </c>
      <c r="AA401" t="n">
        <v>154</v>
      </c>
      <c r="AB401" t="n">
        <v>2</v>
      </c>
      <c r="AC401" t="n">
        <v>2</v>
      </c>
      <c r="AD401" t="n">
        <v>9</v>
      </c>
      <c r="AE401" t="n">
        <v>9</v>
      </c>
      <c r="AF401" t="n">
        <v>3</v>
      </c>
      <c r="AG401" t="n">
        <v>3</v>
      </c>
      <c r="AH401" t="n">
        <v>1</v>
      </c>
      <c r="AI401" t="n">
        <v>1</v>
      </c>
      <c r="AJ401" t="n">
        <v>4</v>
      </c>
      <c r="AK401" t="n">
        <v>4</v>
      </c>
      <c r="AL401" t="n">
        <v>1</v>
      </c>
      <c r="AM401" t="n">
        <v>1</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HYPERLINK("https://creighton-primo.hosted.exlibrisgroup.com/primo-explore/search?tab=default_tab&amp;search_scope=EVERYTHING&amp;vid=01CRU&amp;lang=en_US&amp;offset=0&amp;query=any,contains,991005219189702656","Catalog Record")</f>
        <v/>
      </c>
      <c r="AT401">
        <f>HYPERLINK("http://www.worldcat.org/oclc/8219130","WorldCat Record")</f>
        <v/>
      </c>
      <c r="AU401" t="inlineStr">
        <is>
          <t>30925721:eng</t>
        </is>
      </c>
      <c r="AV401" t="inlineStr">
        <is>
          <t>8219130</t>
        </is>
      </c>
      <c r="AW401" t="inlineStr">
        <is>
          <t>991005219189702656</t>
        </is>
      </c>
      <c r="AX401" t="inlineStr">
        <is>
          <t>991005219189702656</t>
        </is>
      </c>
      <c r="AY401" t="inlineStr">
        <is>
          <t>2255333020002656</t>
        </is>
      </c>
      <c r="AZ401" t="inlineStr">
        <is>
          <t>BOOK</t>
        </is>
      </c>
      <c r="BB401" t="inlineStr">
        <is>
          <t>9780819123312</t>
        </is>
      </c>
      <c r="BC401" t="inlineStr">
        <is>
          <t>32285001605194</t>
        </is>
      </c>
      <c r="BD401" t="inlineStr">
        <is>
          <t>893248565</t>
        </is>
      </c>
    </row>
    <row r="402">
      <c r="A402" t="inlineStr">
        <is>
          <t>No</t>
        </is>
      </c>
      <c r="B402" t="inlineStr">
        <is>
          <t>RC437.5 .R67</t>
        </is>
      </c>
      <c r="C402" t="inlineStr">
        <is>
          <t>0                      RC 0437500R  67</t>
        </is>
      </c>
      <c r="D402" t="inlineStr">
        <is>
          <t>Damnation and deviance : the Protestant ethic and the spirit of failure / Mordechai Rotenberg.</t>
        </is>
      </c>
      <c r="F402" t="inlineStr">
        <is>
          <t>No</t>
        </is>
      </c>
      <c r="G402" t="inlineStr">
        <is>
          <t>1</t>
        </is>
      </c>
      <c r="H402" t="inlineStr">
        <is>
          <t>No</t>
        </is>
      </c>
      <c r="I402" t="inlineStr">
        <is>
          <t>No</t>
        </is>
      </c>
      <c r="J402" t="inlineStr">
        <is>
          <t>0</t>
        </is>
      </c>
      <c r="K402" t="inlineStr">
        <is>
          <t>Rotenberg, Mordechai.</t>
        </is>
      </c>
      <c r="L402" t="inlineStr">
        <is>
          <t>New York : Free Press, c1978.</t>
        </is>
      </c>
      <c r="M402" t="inlineStr">
        <is>
          <t>1978</t>
        </is>
      </c>
      <c r="O402" t="inlineStr">
        <is>
          <t>eng</t>
        </is>
      </c>
      <c r="P402" t="inlineStr">
        <is>
          <t>nyu</t>
        </is>
      </c>
      <c r="R402" t="inlineStr">
        <is>
          <t xml:space="preserve">RC </t>
        </is>
      </c>
      <c r="S402" t="n">
        <v>13</v>
      </c>
      <c r="T402" t="n">
        <v>13</v>
      </c>
      <c r="U402" t="inlineStr">
        <is>
          <t>2005-11-18</t>
        </is>
      </c>
      <c r="V402" t="inlineStr">
        <is>
          <t>2005-11-18</t>
        </is>
      </c>
      <c r="W402" t="inlineStr">
        <is>
          <t>1993-03-19</t>
        </is>
      </c>
      <c r="X402" t="inlineStr">
        <is>
          <t>1993-03-19</t>
        </is>
      </c>
      <c r="Y402" t="n">
        <v>388</v>
      </c>
      <c r="Z402" t="n">
        <v>323</v>
      </c>
      <c r="AA402" t="n">
        <v>373</v>
      </c>
      <c r="AB402" t="n">
        <v>4</v>
      </c>
      <c r="AC402" t="n">
        <v>4</v>
      </c>
      <c r="AD402" t="n">
        <v>15</v>
      </c>
      <c r="AE402" t="n">
        <v>19</v>
      </c>
      <c r="AF402" t="n">
        <v>2</v>
      </c>
      <c r="AG402" t="n">
        <v>4</v>
      </c>
      <c r="AH402" t="n">
        <v>5</v>
      </c>
      <c r="AI402" t="n">
        <v>6</v>
      </c>
      <c r="AJ402" t="n">
        <v>8</v>
      </c>
      <c r="AK402" t="n">
        <v>11</v>
      </c>
      <c r="AL402" t="n">
        <v>3</v>
      </c>
      <c r="AM402" t="n">
        <v>3</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HYPERLINK("https://creighton-primo.hosted.exlibrisgroup.com/primo-explore/search?tab=default_tab&amp;search_scope=EVERYTHING&amp;vid=01CRU&amp;lang=en_US&amp;offset=0&amp;query=any,contains,991004580889702656","Catalog Record")</f>
        <v/>
      </c>
      <c r="AT402">
        <f>HYPERLINK("http://www.worldcat.org/oclc/4057434","WorldCat Record")</f>
        <v/>
      </c>
      <c r="AU402" t="inlineStr">
        <is>
          <t>375191563:eng</t>
        </is>
      </c>
      <c r="AV402" t="inlineStr">
        <is>
          <t>4057434</t>
        </is>
      </c>
      <c r="AW402" t="inlineStr">
        <is>
          <t>991004580889702656</t>
        </is>
      </c>
      <c r="AX402" t="inlineStr">
        <is>
          <t>991004580889702656</t>
        </is>
      </c>
      <c r="AY402" t="inlineStr">
        <is>
          <t>2269660030002656</t>
        </is>
      </c>
      <c r="AZ402" t="inlineStr">
        <is>
          <t>BOOK</t>
        </is>
      </c>
      <c r="BB402" t="inlineStr">
        <is>
          <t>9780029274903</t>
        </is>
      </c>
      <c r="BC402" t="inlineStr">
        <is>
          <t>32285001605202</t>
        </is>
      </c>
      <c r="BD402" t="inlineStr">
        <is>
          <t>893810582</t>
        </is>
      </c>
    </row>
    <row r="403">
      <c r="A403" t="inlineStr">
        <is>
          <t>No</t>
        </is>
      </c>
      <c r="B403" t="inlineStr">
        <is>
          <t>RC437.5 .S33</t>
        </is>
      </c>
      <c r="C403" t="inlineStr">
        <is>
          <t>0                      RC 0437500S  33</t>
        </is>
      </c>
      <c r="D403" t="inlineStr">
        <is>
          <t>Labeling madness / edited by Thomas J. Scheff.</t>
        </is>
      </c>
      <c r="F403" t="inlineStr">
        <is>
          <t>No</t>
        </is>
      </c>
      <c r="G403" t="inlineStr">
        <is>
          <t>1</t>
        </is>
      </c>
      <c r="H403" t="inlineStr">
        <is>
          <t>No</t>
        </is>
      </c>
      <c r="I403" t="inlineStr">
        <is>
          <t>No</t>
        </is>
      </c>
      <c r="J403" t="inlineStr">
        <is>
          <t>0</t>
        </is>
      </c>
      <c r="K403" t="inlineStr">
        <is>
          <t>Scheff, Thomas J., compiler.</t>
        </is>
      </c>
      <c r="L403" t="inlineStr">
        <is>
          <t>Englewood Cliffs, N.J. : Prentice-Hall, [1975]</t>
        </is>
      </c>
      <c r="M403" t="inlineStr">
        <is>
          <t>1975</t>
        </is>
      </c>
      <c r="O403" t="inlineStr">
        <is>
          <t>eng</t>
        </is>
      </c>
      <c r="P403" t="inlineStr">
        <is>
          <t>nju</t>
        </is>
      </c>
      <c r="Q403" t="inlineStr">
        <is>
          <t>A Spectrum book</t>
        </is>
      </c>
      <c r="R403" t="inlineStr">
        <is>
          <t xml:space="preserve">RC </t>
        </is>
      </c>
      <c r="S403" t="n">
        <v>12</v>
      </c>
      <c r="T403" t="n">
        <v>12</v>
      </c>
      <c r="U403" t="inlineStr">
        <is>
          <t>2002-02-10</t>
        </is>
      </c>
      <c r="V403" t="inlineStr">
        <is>
          <t>2002-02-10</t>
        </is>
      </c>
      <c r="W403" t="inlineStr">
        <is>
          <t>1993-01-05</t>
        </is>
      </c>
      <c r="X403" t="inlineStr">
        <is>
          <t>1993-01-05</t>
        </is>
      </c>
      <c r="Y403" t="n">
        <v>451</v>
      </c>
      <c r="Z403" t="n">
        <v>333</v>
      </c>
      <c r="AA403" t="n">
        <v>339</v>
      </c>
      <c r="AB403" t="n">
        <v>4</v>
      </c>
      <c r="AC403" t="n">
        <v>4</v>
      </c>
      <c r="AD403" t="n">
        <v>12</v>
      </c>
      <c r="AE403" t="n">
        <v>12</v>
      </c>
      <c r="AF403" t="n">
        <v>4</v>
      </c>
      <c r="AG403" t="n">
        <v>4</v>
      </c>
      <c r="AH403" t="n">
        <v>2</v>
      </c>
      <c r="AI403" t="n">
        <v>2</v>
      </c>
      <c r="AJ403" t="n">
        <v>6</v>
      </c>
      <c r="AK403" t="n">
        <v>6</v>
      </c>
      <c r="AL403" t="n">
        <v>2</v>
      </c>
      <c r="AM403" t="n">
        <v>2</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HYPERLINK("https://creighton-primo.hosted.exlibrisgroup.com/primo-explore/search?tab=default_tab&amp;search_scope=EVERYTHING&amp;vid=01CRU&amp;lang=en_US&amp;offset=0&amp;query=any,contains,991003612989702656","Catalog Record")</f>
        <v/>
      </c>
      <c r="AT403">
        <f>HYPERLINK("http://www.worldcat.org/oclc/1195866","WorldCat Record")</f>
        <v/>
      </c>
      <c r="AU403" t="inlineStr">
        <is>
          <t>355740543:eng</t>
        </is>
      </c>
      <c r="AV403" t="inlineStr">
        <is>
          <t>1195866</t>
        </is>
      </c>
      <c r="AW403" t="inlineStr">
        <is>
          <t>991003612989702656</t>
        </is>
      </c>
      <c r="AX403" t="inlineStr">
        <is>
          <t>991003612989702656</t>
        </is>
      </c>
      <c r="AY403" t="inlineStr">
        <is>
          <t>2260120860002656</t>
        </is>
      </c>
      <c r="AZ403" t="inlineStr">
        <is>
          <t>BOOK</t>
        </is>
      </c>
      <c r="BB403" t="inlineStr">
        <is>
          <t>9780135173671</t>
        </is>
      </c>
      <c r="BC403" t="inlineStr">
        <is>
          <t>32285001471720</t>
        </is>
      </c>
      <c r="BD403" t="inlineStr">
        <is>
          <t>893525012</t>
        </is>
      </c>
    </row>
    <row r="404">
      <c r="A404" t="inlineStr">
        <is>
          <t>No</t>
        </is>
      </c>
      <c r="B404" t="inlineStr">
        <is>
          <t>RC437.5 .S53</t>
        </is>
      </c>
      <c r="C404" t="inlineStr">
        <is>
          <t>0                      RC 0437500S  53</t>
        </is>
      </c>
      <c r="D404" t="inlineStr">
        <is>
          <t>Models of madness, models of medicine / [by] Miriam Siegler [and] Humphry Osmond.</t>
        </is>
      </c>
      <c r="F404" t="inlineStr">
        <is>
          <t>No</t>
        </is>
      </c>
      <c r="G404" t="inlineStr">
        <is>
          <t>1</t>
        </is>
      </c>
      <c r="H404" t="inlineStr">
        <is>
          <t>No</t>
        </is>
      </c>
      <c r="I404" t="inlineStr">
        <is>
          <t>No</t>
        </is>
      </c>
      <c r="J404" t="inlineStr">
        <is>
          <t>0</t>
        </is>
      </c>
      <c r="K404" t="inlineStr">
        <is>
          <t>Siegler, Miriam.</t>
        </is>
      </c>
      <c r="L404" t="inlineStr">
        <is>
          <t>New York : Macmillan, [1974]</t>
        </is>
      </c>
      <c r="M404" t="inlineStr">
        <is>
          <t>1974</t>
        </is>
      </c>
      <c r="O404" t="inlineStr">
        <is>
          <t>eng</t>
        </is>
      </c>
      <c r="P404" t="inlineStr">
        <is>
          <t>nyu</t>
        </is>
      </c>
      <c r="R404" t="inlineStr">
        <is>
          <t xml:space="preserve">RC </t>
        </is>
      </c>
      <c r="S404" t="n">
        <v>5</v>
      </c>
      <c r="T404" t="n">
        <v>5</v>
      </c>
      <c r="U404" t="inlineStr">
        <is>
          <t>1994-03-25</t>
        </is>
      </c>
      <c r="V404" t="inlineStr">
        <is>
          <t>1994-03-25</t>
        </is>
      </c>
      <c r="W404" t="inlineStr">
        <is>
          <t>1993-01-05</t>
        </is>
      </c>
      <c r="X404" t="inlineStr">
        <is>
          <t>1993-01-05</t>
        </is>
      </c>
      <c r="Y404" t="n">
        <v>531</v>
      </c>
      <c r="Z404" t="n">
        <v>440</v>
      </c>
      <c r="AA404" t="n">
        <v>495</v>
      </c>
      <c r="AB404" t="n">
        <v>3</v>
      </c>
      <c r="AC404" t="n">
        <v>3</v>
      </c>
      <c r="AD404" t="n">
        <v>12</v>
      </c>
      <c r="AE404" t="n">
        <v>13</v>
      </c>
      <c r="AF404" t="n">
        <v>5</v>
      </c>
      <c r="AG404" t="n">
        <v>6</v>
      </c>
      <c r="AH404" t="n">
        <v>3</v>
      </c>
      <c r="AI404" t="n">
        <v>3</v>
      </c>
      <c r="AJ404" t="n">
        <v>7</v>
      </c>
      <c r="AK404" t="n">
        <v>7</v>
      </c>
      <c r="AL404" t="n">
        <v>2</v>
      </c>
      <c r="AM404" t="n">
        <v>2</v>
      </c>
      <c r="AN404" t="n">
        <v>0</v>
      </c>
      <c r="AO404" t="n">
        <v>0</v>
      </c>
      <c r="AP404" t="inlineStr">
        <is>
          <t>No</t>
        </is>
      </c>
      <c r="AQ404" t="inlineStr">
        <is>
          <t>Yes</t>
        </is>
      </c>
      <c r="AR404">
        <f>HYPERLINK("http://catalog.hathitrust.org/Record/000014325","HathiTrust Record")</f>
        <v/>
      </c>
      <c r="AS404">
        <f>HYPERLINK("https://creighton-primo.hosted.exlibrisgroup.com/primo-explore/search?tab=default_tab&amp;search_scope=EVERYTHING&amp;vid=01CRU&amp;lang=en_US&amp;offset=0&amp;query=any,contains,991003367759702656","Catalog Record")</f>
        <v/>
      </c>
      <c r="AT404">
        <f>HYPERLINK("http://www.worldcat.org/oclc/902854","WorldCat Record")</f>
        <v/>
      </c>
      <c r="AU404" t="inlineStr">
        <is>
          <t>1837562:eng</t>
        </is>
      </c>
      <c r="AV404" t="inlineStr">
        <is>
          <t>902854</t>
        </is>
      </c>
      <c r="AW404" t="inlineStr">
        <is>
          <t>991003367759702656</t>
        </is>
      </c>
      <c r="AX404" t="inlineStr">
        <is>
          <t>991003367759702656</t>
        </is>
      </c>
      <c r="AY404" t="inlineStr">
        <is>
          <t>2262736740002656</t>
        </is>
      </c>
      <c r="AZ404" t="inlineStr">
        <is>
          <t>BOOK</t>
        </is>
      </c>
      <c r="BB404" t="inlineStr">
        <is>
          <t>9780025940000</t>
        </is>
      </c>
      <c r="BC404" t="inlineStr">
        <is>
          <t>32285001471712</t>
        </is>
      </c>
      <c r="BD404" t="inlineStr">
        <is>
          <t>893899926</t>
        </is>
      </c>
    </row>
    <row r="405">
      <c r="A405" t="inlineStr">
        <is>
          <t>No</t>
        </is>
      </c>
      <c r="B405" t="inlineStr">
        <is>
          <t>RC437.5 .S927 1984</t>
        </is>
      </c>
      <c r="C405" t="inlineStr">
        <is>
          <t>0                      RC 0437500S  927         1984</t>
        </is>
      </c>
      <c r="D405" t="inlineStr">
        <is>
          <t>The therapeutic state : psychiatry in the mirror of current events / Thomas Szasz.</t>
        </is>
      </c>
      <c r="F405" t="inlineStr">
        <is>
          <t>No</t>
        </is>
      </c>
      <c r="G405" t="inlineStr">
        <is>
          <t>1</t>
        </is>
      </c>
      <c r="H405" t="inlineStr">
        <is>
          <t>No</t>
        </is>
      </c>
      <c r="I405" t="inlineStr">
        <is>
          <t>No</t>
        </is>
      </c>
      <c r="J405" t="inlineStr">
        <is>
          <t>0</t>
        </is>
      </c>
      <c r="K405" t="inlineStr">
        <is>
          <t>Szasz, Thomas, 1920-2012.</t>
        </is>
      </c>
      <c r="L405" t="inlineStr">
        <is>
          <t>Buffalo, N.Y. : Prometheus Books, 1984.</t>
        </is>
      </c>
      <c r="M405" t="inlineStr">
        <is>
          <t>1984</t>
        </is>
      </c>
      <c r="O405" t="inlineStr">
        <is>
          <t>eng</t>
        </is>
      </c>
      <c r="P405" t="inlineStr">
        <is>
          <t>nyu</t>
        </is>
      </c>
      <c r="R405" t="inlineStr">
        <is>
          <t xml:space="preserve">RC </t>
        </is>
      </c>
      <c r="S405" t="n">
        <v>6</v>
      </c>
      <c r="T405" t="n">
        <v>6</v>
      </c>
      <c r="U405" t="inlineStr">
        <is>
          <t>2005-04-03</t>
        </is>
      </c>
      <c r="V405" t="inlineStr">
        <is>
          <t>2005-04-03</t>
        </is>
      </c>
      <c r="W405" t="inlineStr">
        <is>
          <t>1992-04-14</t>
        </is>
      </c>
      <c r="X405" t="inlineStr">
        <is>
          <t>1992-04-14</t>
        </is>
      </c>
      <c r="Y405" t="n">
        <v>430</v>
      </c>
      <c r="Z405" t="n">
        <v>371</v>
      </c>
      <c r="AA405" t="n">
        <v>376</v>
      </c>
      <c r="AB405" t="n">
        <v>4</v>
      </c>
      <c r="AC405" t="n">
        <v>4</v>
      </c>
      <c r="AD405" t="n">
        <v>25</v>
      </c>
      <c r="AE405" t="n">
        <v>25</v>
      </c>
      <c r="AF405" t="n">
        <v>10</v>
      </c>
      <c r="AG405" t="n">
        <v>10</v>
      </c>
      <c r="AH405" t="n">
        <v>3</v>
      </c>
      <c r="AI405" t="n">
        <v>3</v>
      </c>
      <c r="AJ405" t="n">
        <v>14</v>
      </c>
      <c r="AK405" t="n">
        <v>14</v>
      </c>
      <c r="AL405" t="n">
        <v>3</v>
      </c>
      <c r="AM405" t="n">
        <v>3</v>
      </c>
      <c r="AN405" t="n">
        <v>3</v>
      </c>
      <c r="AO405" t="n">
        <v>3</v>
      </c>
      <c r="AP405" t="inlineStr">
        <is>
          <t>No</t>
        </is>
      </c>
      <c r="AQ405" t="inlineStr">
        <is>
          <t>No</t>
        </is>
      </c>
      <c r="AS405">
        <f>HYPERLINK("https://creighton-primo.hosted.exlibrisgroup.com/primo-explore/search?tab=default_tab&amp;search_scope=EVERYTHING&amp;vid=01CRU&amp;lang=en_US&amp;offset=0&amp;query=any,contains,991000467949702656","Catalog Record")</f>
        <v/>
      </c>
      <c r="AT405">
        <f>HYPERLINK("http://www.worldcat.org/oclc/10989447","WorldCat Record")</f>
        <v/>
      </c>
      <c r="AU405" t="inlineStr">
        <is>
          <t>3352266:eng</t>
        </is>
      </c>
      <c r="AV405" t="inlineStr">
        <is>
          <t>10989447</t>
        </is>
      </c>
      <c r="AW405" t="inlineStr">
        <is>
          <t>991000467949702656</t>
        </is>
      </c>
      <c r="AX405" t="inlineStr">
        <is>
          <t>991000467949702656</t>
        </is>
      </c>
      <c r="AY405" t="inlineStr">
        <is>
          <t>2257801200002656</t>
        </is>
      </c>
      <c r="AZ405" t="inlineStr">
        <is>
          <t>BOOK</t>
        </is>
      </c>
      <c r="BB405" t="inlineStr">
        <is>
          <t>9780879752422</t>
        </is>
      </c>
      <c r="BC405" t="inlineStr">
        <is>
          <t>32285001068500</t>
        </is>
      </c>
      <c r="BD405" t="inlineStr">
        <is>
          <t>893683437</t>
        </is>
      </c>
    </row>
    <row r="406">
      <c r="A406" t="inlineStr">
        <is>
          <t>No</t>
        </is>
      </c>
      <c r="B406" t="inlineStr">
        <is>
          <t>RC437.5 .S93 1983</t>
        </is>
      </c>
      <c r="C406" t="inlineStr">
        <is>
          <t>0                      RC 0437500S  93          1983</t>
        </is>
      </c>
      <c r="D406" t="inlineStr">
        <is>
          <t>Thomas Szasz, primary values and major contentions / edited by Richard E. Vatz and Lee S. Weinberg.</t>
        </is>
      </c>
      <c r="F406" t="inlineStr">
        <is>
          <t>No</t>
        </is>
      </c>
      <c r="G406" t="inlineStr">
        <is>
          <t>1</t>
        </is>
      </c>
      <c r="H406" t="inlineStr">
        <is>
          <t>No</t>
        </is>
      </c>
      <c r="I406" t="inlineStr">
        <is>
          <t>No</t>
        </is>
      </c>
      <c r="J406" t="inlineStr">
        <is>
          <t>0</t>
        </is>
      </c>
      <c r="K406" t="inlineStr">
        <is>
          <t>Szasz, Thomas, 1920-2012.</t>
        </is>
      </c>
      <c r="L406" t="inlineStr">
        <is>
          <t>Buffalo, N.Y. : Prometheus Books, 1983.</t>
        </is>
      </c>
      <c r="M406" t="inlineStr">
        <is>
          <t>1983</t>
        </is>
      </c>
      <c r="O406" t="inlineStr">
        <is>
          <t>eng</t>
        </is>
      </c>
      <c r="P406" t="inlineStr">
        <is>
          <t>nyu</t>
        </is>
      </c>
      <c r="R406" t="inlineStr">
        <is>
          <t xml:space="preserve">RC </t>
        </is>
      </c>
      <c r="S406" t="n">
        <v>7</v>
      </c>
      <c r="T406" t="n">
        <v>7</v>
      </c>
      <c r="U406" t="inlineStr">
        <is>
          <t>2009-01-16</t>
        </is>
      </c>
      <c r="V406" t="inlineStr">
        <is>
          <t>2009-01-16</t>
        </is>
      </c>
      <c r="W406" t="inlineStr">
        <is>
          <t>1992-04-01</t>
        </is>
      </c>
      <c r="X406" t="inlineStr">
        <is>
          <t>1992-04-01</t>
        </is>
      </c>
      <c r="Y406" t="n">
        <v>551</v>
      </c>
      <c r="Z406" t="n">
        <v>491</v>
      </c>
      <c r="AA406" t="n">
        <v>497</v>
      </c>
      <c r="AB406" t="n">
        <v>7</v>
      </c>
      <c r="AC406" t="n">
        <v>7</v>
      </c>
      <c r="AD406" t="n">
        <v>26</v>
      </c>
      <c r="AE406" t="n">
        <v>26</v>
      </c>
      <c r="AF406" t="n">
        <v>8</v>
      </c>
      <c r="AG406" t="n">
        <v>8</v>
      </c>
      <c r="AH406" t="n">
        <v>6</v>
      </c>
      <c r="AI406" t="n">
        <v>6</v>
      </c>
      <c r="AJ406" t="n">
        <v>11</v>
      </c>
      <c r="AK406" t="n">
        <v>11</v>
      </c>
      <c r="AL406" t="n">
        <v>5</v>
      </c>
      <c r="AM406" t="n">
        <v>5</v>
      </c>
      <c r="AN406" t="n">
        <v>1</v>
      </c>
      <c r="AO406" t="n">
        <v>1</v>
      </c>
      <c r="AP406" t="inlineStr">
        <is>
          <t>No</t>
        </is>
      </c>
      <c r="AQ406" t="inlineStr">
        <is>
          <t>Yes</t>
        </is>
      </c>
      <c r="AR406">
        <f>HYPERLINK("http://catalog.hathitrust.org/Record/000156587","HathiTrust Record")</f>
        <v/>
      </c>
      <c r="AS406">
        <f>HYPERLINK("https://creighton-primo.hosted.exlibrisgroup.com/primo-explore/search?tab=default_tab&amp;search_scope=EVERYTHING&amp;vid=01CRU&amp;lang=en_US&amp;offset=0&amp;query=any,contains,991000228139702656","Catalog Record")</f>
        <v/>
      </c>
      <c r="AT406">
        <f>HYPERLINK("http://www.worldcat.org/oclc/9622166","WorldCat Record")</f>
        <v/>
      </c>
      <c r="AU406" t="inlineStr">
        <is>
          <t>889384166:eng</t>
        </is>
      </c>
      <c r="AV406" t="inlineStr">
        <is>
          <t>9622166</t>
        </is>
      </c>
      <c r="AW406" t="inlineStr">
        <is>
          <t>991000228139702656</t>
        </is>
      </c>
      <c r="AX406" t="inlineStr">
        <is>
          <t>991000228139702656</t>
        </is>
      </c>
      <c r="AY406" t="inlineStr">
        <is>
          <t>2270849450002656</t>
        </is>
      </c>
      <c r="AZ406" t="inlineStr">
        <is>
          <t>BOOK</t>
        </is>
      </c>
      <c r="BB406" t="inlineStr">
        <is>
          <t>9780879751883</t>
        </is>
      </c>
      <c r="BC406" t="inlineStr">
        <is>
          <t>32285001047629</t>
        </is>
      </c>
      <c r="BD406" t="inlineStr">
        <is>
          <t>893683264</t>
        </is>
      </c>
    </row>
    <row r="407">
      <c r="A407" t="inlineStr">
        <is>
          <t>No</t>
        </is>
      </c>
      <c r="B407" t="inlineStr">
        <is>
          <t>RC438 .G54 1988</t>
        </is>
      </c>
      <c r="C407" t="inlineStr">
        <is>
          <t>0                      RC 0438000G  54          1988</t>
        </is>
      </c>
      <c r="D407" t="inlineStr">
        <is>
          <t>Disease and representation : images of illness from madness to AIDS / Sander L. Gilman.</t>
        </is>
      </c>
      <c r="F407" t="inlineStr">
        <is>
          <t>No</t>
        </is>
      </c>
      <c r="G407" t="inlineStr">
        <is>
          <t>1</t>
        </is>
      </c>
      <c r="H407" t="inlineStr">
        <is>
          <t>No</t>
        </is>
      </c>
      <c r="I407" t="inlineStr">
        <is>
          <t>No</t>
        </is>
      </c>
      <c r="J407" t="inlineStr">
        <is>
          <t>0</t>
        </is>
      </c>
      <c r="K407" t="inlineStr">
        <is>
          <t>Gilman, Sander L.</t>
        </is>
      </c>
      <c r="L407" t="inlineStr">
        <is>
          <t>Ithaca : Cornell University Press, 1988.</t>
        </is>
      </c>
      <c r="M407" t="inlineStr">
        <is>
          <t>1988</t>
        </is>
      </c>
      <c r="O407" t="inlineStr">
        <is>
          <t>eng</t>
        </is>
      </c>
      <c r="P407" t="inlineStr">
        <is>
          <t>nyu</t>
        </is>
      </c>
      <c r="R407" t="inlineStr">
        <is>
          <t xml:space="preserve">RC </t>
        </is>
      </c>
      <c r="S407" t="n">
        <v>21</v>
      </c>
      <c r="T407" t="n">
        <v>21</v>
      </c>
      <c r="U407" t="inlineStr">
        <is>
          <t>2010-04-21</t>
        </is>
      </c>
      <c r="V407" t="inlineStr">
        <is>
          <t>2010-04-21</t>
        </is>
      </c>
      <c r="W407" t="inlineStr">
        <is>
          <t>1993-03-19</t>
        </is>
      </c>
      <c r="X407" t="inlineStr">
        <is>
          <t>1993-03-19</t>
        </is>
      </c>
      <c r="Y407" t="n">
        <v>619</v>
      </c>
      <c r="Z407" t="n">
        <v>502</v>
      </c>
      <c r="AA407" t="n">
        <v>763</v>
      </c>
      <c r="AB407" t="n">
        <v>3</v>
      </c>
      <c r="AC407" t="n">
        <v>5</v>
      </c>
      <c r="AD407" t="n">
        <v>26</v>
      </c>
      <c r="AE407" t="n">
        <v>38</v>
      </c>
      <c r="AF407" t="n">
        <v>8</v>
      </c>
      <c r="AG407" t="n">
        <v>15</v>
      </c>
      <c r="AH407" t="n">
        <v>8</v>
      </c>
      <c r="AI407" t="n">
        <v>11</v>
      </c>
      <c r="AJ407" t="n">
        <v>14</v>
      </c>
      <c r="AK407" t="n">
        <v>17</v>
      </c>
      <c r="AL407" t="n">
        <v>2</v>
      </c>
      <c r="AM407" t="n">
        <v>4</v>
      </c>
      <c r="AN407" t="n">
        <v>1</v>
      </c>
      <c r="AO407" t="n">
        <v>1</v>
      </c>
      <c r="AP407" t="inlineStr">
        <is>
          <t>No</t>
        </is>
      </c>
      <c r="AQ407" t="inlineStr">
        <is>
          <t>Yes</t>
        </is>
      </c>
      <c r="AR407">
        <f>HYPERLINK("http://catalog.hathitrust.org/Record/000912046","HathiTrust Record")</f>
        <v/>
      </c>
      <c r="AS407">
        <f>HYPERLINK("https://creighton-primo.hosted.exlibrisgroup.com/primo-explore/search?tab=default_tab&amp;search_scope=EVERYTHING&amp;vid=01CRU&amp;lang=en_US&amp;offset=0&amp;query=any,contains,991001177749702656","Catalog Record")</f>
        <v/>
      </c>
      <c r="AT407">
        <f>HYPERLINK("http://www.worldcat.org/oclc/17104432","WorldCat Record")</f>
        <v/>
      </c>
      <c r="AU407" t="inlineStr">
        <is>
          <t>827743371:eng</t>
        </is>
      </c>
      <c r="AV407" t="inlineStr">
        <is>
          <t>17104432</t>
        </is>
      </c>
      <c r="AW407" t="inlineStr">
        <is>
          <t>991001177749702656</t>
        </is>
      </c>
      <c r="AX407" t="inlineStr">
        <is>
          <t>991001177749702656</t>
        </is>
      </c>
      <c r="AY407" t="inlineStr">
        <is>
          <t>2269355800002656</t>
        </is>
      </c>
      <c r="AZ407" t="inlineStr">
        <is>
          <t>BOOK</t>
        </is>
      </c>
      <c r="BB407" t="inlineStr">
        <is>
          <t>9780801421198</t>
        </is>
      </c>
      <c r="BC407" t="inlineStr">
        <is>
          <t>32285001605210</t>
        </is>
      </c>
      <c r="BD407" t="inlineStr">
        <is>
          <t>893231767</t>
        </is>
      </c>
    </row>
    <row r="408">
      <c r="A408" t="inlineStr">
        <is>
          <t>No</t>
        </is>
      </c>
      <c r="B408" t="inlineStr">
        <is>
          <t>RC438 .H84 1970</t>
        </is>
      </c>
      <c r="C408" t="inlineStr">
        <is>
          <t>0                      RC 0438000H  84          1970</t>
        </is>
      </c>
      <c r="D408" t="inlineStr">
        <is>
          <t>Three hundred years of psychiatry, 1535-1860 / [by] Richard Hunter [and] Ida Macalpine.</t>
        </is>
      </c>
      <c r="F408" t="inlineStr">
        <is>
          <t>No</t>
        </is>
      </c>
      <c r="G408" t="inlineStr">
        <is>
          <t>1</t>
        </is>
      </c>
      <c r="H408" t="inlineStr">
        <is>
          <t>No</t>
        </is>
      </c>
      <c r="I408" t="inlineStr">
        <is>
          <t>No</t>
        </is>
      </c>
      <c r="J408" t="inlineStr">
        <is>
          <t>0</t>
        </is>
      </c>
      <c r="K408" t="inlineStr">
        <is>
          <t>Hunter, Richard Alfred, editor.</t>
        </is>
      </c>
      <c r="L408" t="inlineStr">
        <is>
          <t>London ; New York : Oxford University Press, [1970, c1963]</t>
        </is>
      </c>
      <c r="M408" t="inlineStr">
        <is>
          <t>1970</t>
        </is>
      </c>
      <c r="O408" t="inlineStr">
        <is>
          <t>eng</t>
        </is>
      </c>
      <c r="P408" t="inlineStr">
        <is>
          <t xml:space="preserve">xx </t>
        </is>
      </c>
      <c r="R408" t="inlineStr">
        <is>
          <t xml:space="preserve">RC </t>
        </is>
      </c>
      <c r="S408" t="n">
        <v>4</v>
      </c>
      <c r="T408" t="n">
        <v>4</v>
      </c>
      <c r="U408" t="inlineStr">
        <is>
          <t>1995-03-29</t>
        </is>
      </c>
      <c r="V408" t="inlineStr">
        <is>
          <t>1995-03-29</t>
        </is>
      </c>
      <c r="W408" t="inlineStr">
        <is>
          <t>1994-05-12</t>
        </is>
      </c>
      <c r="X408" t="inlineStr">
        <is>
          <t>1994-05-12</t>
        </is>
      </c>
      <c r="Y408" t="n">
        <v>44</v>
      </c>
      <c r="Z408" t="n">
        <v>25</v>
      </c>
      <c r="AA408" t="n">
        <v>28</v>
      </c>
      <c r="AB408" t="n">
        <v>1</v>
      </c>
      <c r="AC408" t="n">
        <v>1</v>
      </c>
      <c r="AD408" t="n">
        <v>1</v>
      </c>
      <c r="AE408" t="n">
        <v>1</v>
      </c>
      <c r="AF408" t="n">
        <v>0</v>
      </c>
      <c r="AG408" t="n">
        <v>0</v>
      </c>
      <c r="AH408" t="n">
        <v>1</v>
      </c>
      <c r="AI408" t="n">
        <v>1</v>
      </c>
      <c r="AJ408" t="n">
        <v>1</v>
      </c>
      <c r="AK408" t="n">
        <v>1</v>
      </c>
      <c r="AL408" t="n">
        <v>0</v>
      </c>
      <c r="AM408" t="n">
        <v>0</v>
      </c>
      <c r="AN408" t="n">
        <v>0</v>
      </c>
      <c r="AO408" t="n">
        <v>0</v>
      </c>
      <c r="AP408" t="inlineStr">
        <is>
          <t>No</t>
        </is>
      </c>
      <c r="AQ408" t="inlineStr">
        <is>
          <t>Yes</t>
        </is>
      </c>
      <c r="AR408">
        <f>HYPERLINK("http://catalog.hathitrust.org/Record/009801449","HathiTrust Record")</f>
        <v/>
      </c>
      <c r="AS408">
        <f>HYPERLINK("https://creighton-primo.hosted.exlibrisgroup.com/primo-explore/search?tab=default_tab&amp;search_scope=EVERYTHING&amp;vid=01CRU&amp;lang=en_US&amp;offset=0&amp;query=any,contains,991003464419702656","Catalog Record")</f>
        <v/>
      </c>
      <c r="AT408">
        <f>HYPERLINK("http://www.worldcat.org/oclc/1006139","WorldCat Record")</f>
        <v/>
      </c>
      <c r="AU408" t="inlineStr">
        <is>
          <t>4927029821:eng</t>
        </is>
      </c>
      <c r="AV408" t="inlineStr">
        <is>
          <t>1006139</t>
        </is>
      </c>
      <c r="AW408" t="inlineStr">
        <is>
          <t>991003464419702656</t>
        </is>
      </c>
      <c r="AX408" t="inlineStr">
        <is>
          <t>991003464419702656</t>
        </is>
      </c>
      <c r="AY408" t="inlineStr">
        <is>
          <t>2261893850002656</t>
        </is>
      </c>
      <c r="AZ408" t="inlineStr">
        <is>
          <t>BOOK</t>
        </is>
      </c>
      <c r="BC408" t="inlineStr">
        <is>
          <t>32285001910735</t>
        </is>
      </c>
      <c r="BD408" t="inlineStr">
        <is>
          <t>893623502</t>
        </is>
      </c>
    </row>
    <row r="409">
      <c r="A409" t="inlineStr">
        <is>
          <t>No</t>
        </is>
      </c>
      <c r="B409" t="inlineStr">
        <is>
          <t>RC438.6.B48 S8813 1996</t>
        </is>
      </c>
      <c r="C409" t="inlineStr">
        <is>
          <t>0                      RC 0438600B  48                 S  8813        1996</t>
        </is>
      </c>
      <c r="D409" t="inlineStr">
        <is>
          <t>Bettelheim, a life and a legacy / Nina Sutton ; translated from the French by David Sharp, in collaboration with the author.</t>
        </is>
      </c>
      <c r="F409" t="inlineStr">
        <is>
          <t>No</t>
        </is>
      </c>
      <c r="G409" t="inlineStr">
        <is>
          <t>1</t>
        </is>
      </c>
      <c r="H409" t="inlineStr">
        <is>
          <t>No</t>
        </is>
      </c>
      <c r="I409" t="inlineStr">
        <is>
          <t>No</t>
        </is>
      </c>
      <c r="J409" t="inlineStr">
        <is>
          <t>0</t>
        </is>
      </c>
      <c r="K409" t="inlineStr">
        <is>
          <t>Sutton, Nina.</t>
        </is>
      </c>
      <c r="L409" t="inlineStr">
        <is>
          <t>New York : BasicBooks, c1996.</t>
        </is>
      </c>
      <c r="M409" t="inlineStr">
        <is>
          <t>1996</t>
        </is>
      </c>
      <c r="O409" t="inlineStr">
        <is>
          <t>eng</t>
        </is>
      </c>
      <c r="P409" t="inlineStr">
        <is>
          <t>nyu</t>
        </is>
      </c>
      <c r="R409" t="inlineStr">
        <is>
          <t xml:space="preserve">RC </t>
        </is>
      </c>
      <c r="S409" t="n">
        <v>5</v>
      </c>
      <c r="T409" t="n">
        <v>5</v>
      </c>
      <c r="U409" t="inlineStr">
        <is>
          <t>1997-12-02</t>
        </is>
      </c>
      <c r="V409" t="inlineStr">
        <is>
          <t>1997-12-02</t>
        </is>
      </c>
      <c r="W409" t="inlineStr">
        <is>
          <t>1996-06-20</t>
        </is>
      </c>
      <c r="X409" t="inlineStr">
        <is>
          <t>1996-06-20</t>
        </is>
      </c>
      <c r="Y409" t="n">
        <v>756</v>
      </c>
      <c r="Z409" t="n">
        <v>692</v>
      </c>
      <c r="AA409" t="n">
        <v>753</v>
      </c>
      <c r="AB409" t="n">
        <v>5</v>
      </c>
      <c r="AC409" t="n">
        <v>6</v>
      </c>
      <c r="AD409" t="n">
        <v>30</v>
      </c>
      <c r="AE409" t="n">
        <v>32</v>
      </c>
      <c r="AF409" t="n">
        <v>11</v>
      </c>
      <c r="AG409" t="n">
        <v>12</v>
      </c>
      <c r="AH409" t="n">
        <v>5</v>
      </c>
      <c r="AI409" t="n">
        <v>5</v>
      </c>
      <c r="AJ409" t="n">
        <v>17</v>
      </c>
      <c r="AK409" t="n">
        <v>17</v>
      </c>
      <c r="AL409" t="n">
        <v>4</v>
      </c>
      <c r="AM409" t="n">
        <v>5</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HYPERLINK("https://creighton-primo.hosted.exlibrisgroup.com/primo-explore/search?tab=default_tab&amp;search_scope=EVERYTHING&amp;vid=01CRU&amp;lang=en_US&amp;offset=0&amp;query=any,contains,991002562969702656","Catalog Record")</f>
        <v/>
      </c>
      <c r="AT409">
        <f>HYPERLINK("http://www.worldcat.org/oclc/33333835","WorldCat Record")</f>
        <v/>
      </c>
      <c r="AU409" t="inlineStr">
        <is>
          <t>4020176983:eng</t>
        </is>
      </c>
      <c r="AV409" t="inlineStr">
        <is>
          <t>33333835</t>
        </is>
      </c>
      <c r="AW409" t="inlineStr">
        <is>
          <t>991002562969702656</t>
        </is>
      </c>
      <c r="AX409" t="inlineStr">
        <is>
          <t>991002562969702656</t>
        </is>
      </c>
      <c r="AY409" t="inlineStr">
        <is>
          <t>2259712240002656</t>
        </is>
      </c>
      <c r="AZ409" t="inlineStr">
        <is>
          <t>BOOK</t>
        </is>
      </c>
      <c r="BB409" t="inlineStr">
        <is>
          <t>9780465006359</t>
        </is>
      </c>
      <c r="BC409" t="inlineStr">
        <is>
          <t>32285002171022</t>
        </is>
      </c>
      <c r="BD409" t="inlineStr">
        <is>
          <t>893239215</t>
        </is>
      </c>
    </row>
    <row r="410">
      <c r="A410" t="inlineStr">
        <is>
          <t>No</t>
        </is>
      </c>
      <c r="B410" t="inlineStr">
        <is>
          <t>RC438.6.L34 B87 1996</t>
        </is>
      </c>
      <c r="C410" t="inlineStr">
        <is>
          <t>0                      RC 0438600L  34                 B  87          1996</t>
        </is>
      </c>
      <c r="D410" t="inlineStr">
        <is>
          <t>The wing of madness : the life and work of R.D. Laing / Daniel Burston.</t>
        </is>
      </c>
      <c r="F410" t="inlineStr">
        <is>
          <t>No</t>
        </is>
      </c>
      <c r="G410" t="inlineStr">
        <is>
          <t>1</t>
        </is>
      </c>
      <c r="H410" t="inlineStr">
        <is>
          <t>No</t>
        </is>
      </c>
      <c r="I410" t="inlineStr">
        <is>
          <t>No</t>
        </is>
      </c>
      <c r="J410" t="inlineStr">
        <is>
          <t>0</t>
        </is>
      </c>
      <c r="K410" t="inlineStr">
        <is>
          <t>Burston, Daniel, 1954-</t>
        </is>
      </c>
      <c r="L410" t="inlineStr">
        <is>
          <t>Cambridge, Mass. : Harvard University Press, 1996.</t>
        </is>
      </c>
      <c r="M410" t="inlineStr">
        <is>
          <t>1996</t>
        </is>
      </c>
      <c r="O410" t="inlineStr">
        <is>
          <t>eng</t>
        </is>
      </c>
      <c r="P410" t="inlineStr">
        <is>
          <t>mau</t>
        </is>
      </c>
      <c r="R410" t="inlineStr">
        <is>
          <t xml:space="preserve">RC </t>
        </is>
      </c>
      <c r="S410" t="n">
        <v>4</v>
      </c>
      <c r="T410" t="n">
        <v>4</v>
      </c>
      <c r="U410" t="inlineStr">
        <is>
          <t>1997-09-04</t>
        </is>
      </c>
      <c r="V410" t="inlineStr">
        <is>
          <t>1997-09-04</t>
        </is>
      </c>
      <c r="W410" t="inlineStr">
        <is>
          <t>1996-10-21</t>
        </is>
      </c>
      <c r="X410" t="inlineStr">
        <is>
          <t>1996-10-21</t>
        </is>
      </c>
      <c r="Y410" t="n">
        <v>522</v>
      </c>
      <c r="Z410" t="n">
        <v>414</v>
      </c>
      <c r="AA410" t="n">
        <v>420</v>
      </c>
      <c r="AB410" t="n">
        <v>2</v>
      </c>
      <c r="AC410" t="n">
        <v>2</v>
      </c>
      <c r="AD410" t="n">
        <v>14</v>
      </c>
      <c r="AE410" t="n">
        <v>14</v>
      </c>
      <c r="AF410" t="n">
        <v>4</v>
      </c>
      <c r="AG410" t="n">
        <v>4</v>
      </c>
      <c r="AH410" t="n">
        <v>5</v>
      </c>
      <c r="AI410" t="n">
        <v>5</v>
      </c>
      <c r="AJ410" t="n">
        <v>8</v>
      </c>
      <c r="AK410" t="n">
        <v>8</v>
      </c>
      <c r="AL410" t="n">
        <v>0</v>
      </c>
      <c r="AM410" t="n">
        <v>0</v>
      </c>
      <c r="AN410" t="n">
        <v>0</v>
      </c>
      <c r="AO410" t="n">
        <v>0</v>
      </c>
      <c r="AP410" t="inlineStr">
        <is>
          <t>No</t>
        </is>
      </c>
      <c r="AQ410" t="inlineStr">
        <is>
          <t>Yes</t>
        </is>
      </c>
      <c r="AR410">
        <f>HYPERLINK("http://catalog.hathitrust.org/Record/003082379","HathiTrust Record")</f>
        <v/>
      </c>
      <c r="AS410">
        <f>HYPERLINK("https://creighton-primo.hosted.exlibrisgroup.com/primo-explore/search?tab=default_tab&amp;search_scope=EVERYTHING&amp;vid=01CRU&amp;lang=en_US&amp;offset=0&amp;query=any,contains,991002598889702656","Catalog Record")</f>
        <v/>
      </c>
      <c r="AT410">
        <f>HYPERLINK("http://www.worldcat.org/oclc/34046859","WorldCat Record")</f>
        <v/>
      </c>
      <c r="AU410" t="inlineStr">
        <is>
          <t>2685502:eng</t>
        </is>
      </c>
      <c r="AV410" t="inlineStr">
        <is>
          <t>34046859</t>
        </is>
      </c>
      <c r="AW410" t="inlineStr">
        <is>
          <t>991002598889702656</t>
        </is>
      </c>
      <c r="AX410" t="inlineStr">
        <is>
          <t>991002598889702656</t>
        </is>
      </c>
      <c r="AY410" t="inlineStr">
        <is>
          <t>2263823990002656</t>
        </is>
      </c>
      <c r="AZ410" t="inlineStr">
        <is>
          <t>BOOK</t>
        </is>
      </c>
      <c r="BB410" t="inlineStr">
        <is>
          <t>9780674953581</t>
        </is>
      </c>
      <c r="BC410" t="inlineStr">
        <is>
          <t>32285002367075</t>
        </is>
      </c>
      <c r="BD410" t="inlineStr">
        <is>
          <t>893329296</t>
        </is>
      </c>
    </row>
    <row r="411">
      <c r="A411" t="inlineStr">
        <is>
          <t>No</t>
        </is>
      </c>
      <c r="B411" t="inlineStr">
        <is>
          <t>RC439 .B8</t>
        </is>
      </c>
      <c r="C411" t="inlineStr">
        <is>
          <t>0                      RC 0439000B  8</t>
        </is>
      </c>
      <c r="D411" t="inlineStr">
        <is>
          <t>Methods of madness : the mental hospital as a last resort / [by] Benjamin M. Braginsky, Dorothea D. Braginsky [and] Kenneth Ring. With an introd. by Jules D. Holzberg.</t>
        </is>
      </c>
      <c r="F411" t="inlineStr">
        <is>
          <t>No</t>
        </is>
      </c>
      <c r="G411" t="inlineStr">
        <is>
          <t>1</t>
        </is>
      </c>
      <c r="H411" t="inlineStr">
        <is>
          <t>No</t>
        </is>
      </c>
      <c r="I411" t="inlineStr">
        <is>
          <t>No</t>
        </is>
      </c>
      <c r="J411" t="inlineStr">
        <is>
          <t>0</t>
        </is>
      </c>
      <c r="K411" t="inlineStr">
        <is>
          <t>Braginsky, Benjamin M.</t>
        </is>
      </c>
      <c r="L411" t="inlineStr">
        <is>
          <t>New York : Holt, Rinehart, and Winston, [1969]</t>
        </is>
      </c>
      <c r="M411" t="inlineStr">
        <is>
          <t>1969</t>
        </is>
      </c>
      <c r="O411" t="inlineStr">
        <is>
          <t>eng</t>
        </is>
      </c>
      <c r="P411" t="inlineStr">
        <is>
          <t>nyu</t>
        </is>
      </c>
      <c r="R411" t="inlineStr">
        <is>
          <t xml:space="preserve">RC </t>
        </is>
      </c>
      <c r="S411" t="n">
        <v>6</v>
      </c>
      <c r="T411" t="n">
        <v>6</v>
      </c>
      <c r="U411" t="inlineStr">
        <is>
          <t>1998-09-28</t>
        </is>
      </c>
      <c r="V411" t="inlineStr">
        <is>
          <t>1998-09-28</t>
        </is>
      </c>
      <c r="W411" t="inlineStr">
        <is>
          <t>1992-12-16</t>
        </is>
      </c>
      <c r="X411" t="inlineStr">
        <is>
          <t>1992-12-16</t>
        </is>
      </c>
      <c r="Y411" t="n">
        <v>504</v>
      </c>
      <c r="Z411" t="n">
        <v>395</v>
      </c>
      <c r="AA411" t="n">
        <v>462</v>
      </c>
      <c r="AB411" t="n">
        <v>2</v>
      </c>
      <c r="AC411" t="n">
        <v>2</v>
      </c>
      <c r="AD411" t="n">
        <v>16</v>
      </c>
      <c r="AE411" t="n">
        <v>21</v>
      </c>
      <c r="AF411" t="n">
        <v>5</v>
      </c>
      <c r="AG411" t="n">
        <v>7</v>
      </c>
      <c r="AH411" t="n">
        <v>3</v>
      </c>
      <c r="AI411" t="n">
        <v>4</v>
      </c>
      <c r="AJ411" t="n">
        <v>12</v>
      </c>
      <c r="AK411" t="n">
        <v>15</v>
      </c>
      <c r="AL411" t="n">
        <v>1</v>
      </c>
      <c r="AM411" t="n">
        <v>1</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HYPERLINK("https://creighton-primo.hosted.exlibrisgroup.com/primo-explore/search?tab=default_tab&amp;search_scope=EVERYTHING&amp;vid=01CRU&amp;lang=en_US&amp;offset=0&amp;query=any,contains,991000006679702656","Catalog Record")</f>
        <v/>
      </c>
      <c r="AT411">
        <f>HYPERLINK("http://www.worldcat.org/oclc/13657","WorldCat Record")</f>
        <v/>
      </c>
      <c r="AU411" t="inlineStr">
        <is>
          <t>483555:eng</t>
        </is>
      </c>
      <c r="AV411" t="inlineStr">
        <is>
          <t>13657</t>
        </is>
      </c>
      <c r="AW411" t="inlineStr">
        <is>
          <t>991000006679702656</t>
        </is>
      </c>
      <c r="AX411" t="inlineStr">
        <is>
          <t>991000006679702656</t>
        </is>
      </c>
      <c r="AY411" t="inlineStr">
        <is>
          <t>2264446840002656</t>
        </is>
      </c>
      <c r="AZ411" t="inlineStr">
        <is>
          <t>BOOK</t>
        </is>
      </c>
      <c r="BC411" t="inlineStr">
        <is>
          <t>32285001403749</t>
        </is>
      </c>
      <c r="BD411" t="inlineStr">
        <is>
          <t>893242894</t>
        </is>
      </c>
    </row>
    <row r="412">
      <c r="A412" t="inlineStr">
        <is>
          <t>No</t>
        </is>
      </c>
      <c r="B412" t="inlineStr">
        <is>
          <t>RC439 .C78 1973</t>
        </is>
      </c>
      <c r="C412" t="inlineStr">
        <is>
          <t>0                      RC 0439000C  78          1973</t>
        </is>
      </c>
      <c r="D412" t="inlineStr">
        <is>
          <t>The treatment of the insane without mechanical restraints.</t>
        </is>
      </c>
      <c r="F412" t="inlineStr">
        <is>
          <t>No</t>
        </is>
      </c>
      <c r="G412" t="inlineStr">
        <is>
          <t>1</t>
        </is>
      </c>
      <c r="H412" t="inlineStr">
        <is>
          <t>No</t>
        </is>
      </c>
      <c r="I412" t="inlineStr">
        <is>
          <t>No</t>
        </is>
      </c>
      <c r="J412" t="inlineStr">
        <is>
          <t>0</t>
        </is>
      </c>
      <c r="K412" t="inlineStr">
        <is>
          <t>Conolly, John, 1794-1866.</t>
        </is>
      </c>
      <c r="L412" t="inlineStr">
        <is>
          <t>New York : Arno Press, 1973.</t>
        </is>
      </c>
      <c r="M412" t="inlineStr">
        <is>
          <t>1973</t>
        </is>
      </c>
      <c r="O412" t="inlineStr">
        <is>
          <t>eng</t>
        </is>
      </c>
      <c r="P412" t="inlineStr">
        <is>
          <t>nyu</t>
        </is>
      </c>
      <c r="Q412" t="inlineStr">
        <is>
          <t>Mental illness and social policy: the American experience</t>
        </is>
      </c>
      <c r="R412" t="inlineStr">
        <is>
          <t xml:space="preserve">RC </t>
        </is>
      </c>
      <c r="S412" t="n">
        <v>4</v>
      </c>
      <c r="T412" t="n">
        <v>4</v>
      </c>
      <c r="U412" t="inlineStr">
        <is>
          <t>1997-10-13</t>
        </is>
      </c>
      <c r="V412" t="inlineStr">
        <is>
          <t>1997-10-13</t>
        </is>
      </c>
      <c r="W412" t="inlineStr">
        <is>
          <t>1994-05-06</t>
        </is>
      </c>
      <c r="X412" t="inlineStr">
        <is>
          <t>1994-05-06</t>
        </is>
      </c>
      <c r="Y412" t="n">
        <v>111</v>
      </c>
      <c r="Z412" t="n">
        <v>101</v>
      </c>
      <c r="AA412" t="n">
        <v>193</v>
      </c>
      <c r="AB412" t="n">
        <v>1</v>
      </c>
      <c r="AC412" t="n">
        <v>1</v>
      </c>
      <c r="AD412" t="n">
        <v>1</v>
      </c>
      <c r="AE412" t="n">
        <v>1</v>
      </c>
      <c r="AF412" t="n">
        <v>0</v>
      </c>
      <c r="AG412" t="n">
        <v>0</v>
      </c>
      <c r="AH412" t="n">
        <v>0</v>
      </c>
      <c r="AI412" t="n">
        <v>0</v>
      </c>
      <c r="AJ412" t="n">
        <v>1</v>
      </c>
      <c r="AK412" t="n">
        <v>1</v>
      </c>
      <c r="AL412" t="n">
        <v>0</v>
      </c>
      <c r="AM412" t="n">
        <v>0</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HYPERLINK("https://creighton-primo.hosted.exlibrisgroup.com/primo-explore/search?tab=default_tab&amp;search_scope=EVERYTHING&amp;vid=01CRU&amp;lang=en_US&amp;offset=0&amp;query=any,contains,991003075089702656","Catalog Record")</f>
        <v/>
      </c>
      <c r="AT412">
        <f>HYPERLINK("http://www.worldcat.org/oclc/628245","WorldCat Record")</f>
        <v/>
      </c>
      <c r="AU412" t="inlineStr">
        <is>
          <t>1615547:eng</t>
        </is>
      </c>
      <c r="AV412" t="inlineStr">
        <is>
          <t>628245</t>
        </is>
      </c>
      <c r="AW412" t="inlineStr">
        <is>
          <t>991003075089702656</t>
        </is>
      </c>
      <c r="AX412" t="inlineStr">
        <is>
          <t>991003075089702656</t>
        </is>
      </c>
      <c r="AY412" t="inlineStr">
        <is>
          <t>2269508350002656</t>
        </is>
      </c>
      <c r="AZ412" t="inlineStr">
        <is>
          <t>BOOK</t>
        </is>
      </c>
      <c r="BB412" t="inlineStr">
        <is>
          <t>9780405052002</t>
        </is>
      </c>
      <c r="BC412" t="inlineStr">
        <is>
          <t>32285001908028</t>
        </is>
      </c>
      <c r="BD412" t="inlineStr">
        <is>
          <t>893704874</t>
        </is>
      </c>
    </row>
    <row r="413">
      <c r="A413" t="inlineStr">
        <is>
          <t>No</t>
        </is>
      </c>
      <c r="B413" t="inlineStr">
        <is>
          <t>RC439 .M75 1974</t>
        </is>
      </c>
      <c r="C413" t="inlineStr">
        <is>
          <t>0                      RC 0439000M  75          1974</t>
        </is>
      </c>
      <c r="D413" t="inlineStr">
        <is>
          <t>Evaluating treatment environments : a social ecological approach / Rudolf H. Moos.</t>
        </is>
      </c>
      <c r="F413" t="inlineStr">
        <is>
          <t>No</t>
        </is>
      </c>
      <c r="G413" t="inlineStr">
        <is>
          <t>1</t>
        </is>
      </c>
      <c r="H413" t="inlineStr">
        <is>
          <t>Yes</t>
        </is>
      </c>
      <c r="I413" t="inlineStr">
        <is>
          <t>No</t>
        </is>
      </c>
      <c r="J413" t="inlineStr">
        <is>
          <t>0</t>
        </is>
      </c>
      <c r="K413" t="inlineStr">
        <is>
          <t>Moos, Rudolf H., 1934-</t>
        </is>
      </c>
      <c r="L413" t="inlineStr">
        <is>
          <t>New York : Wiley, [1974]</t>
        </is>
      </c>
      <c r="M413" t="inlineStr">
        <is>
          <t>1974</t>
        </is>
      </c>
      <c r="O413" t="inlineStr">
        <is>
          <t>eng</t>
        </is>
      </c>
      <c r="P413" t="inlineStr">
        <is>
          <t>nyu</t>
        </is>
      </c>
      <c r="Q413" t="inlineStr">
        <is>
          <t>Health, medicine, and society</t>
        </is>
      </c>
      <c r="R413" t="inlineStr">
        <is>
          <t xml:space="preserve">RC </t>
        </is>
      </c>
      <c r="S413" t="n">
        <v>3</v>
      </c>
      <c r="T413" t="n">
        <v>3</v>
      </c>
      <c r="U413" t="inlineStr">
        <is>
          <t>2002-06-21</t>
        </is>
      </c>
      <c r="V413" t="inlineStr">
        <is>
          <t>2002-06-21</t>
        </is>
      </c>
      <c r="W413" t="inlineStr">
        <is>
          <t>1992-07-23</t>
        </is>
      </c>
      <c r="X413" t="inlineStr">
        <is>
          <t>1992-09-24</t>
        </is>
      </c>
      <c r="Y413" t="n">
        <v>478</v>
      </c>
      <c r="Z413" t="n">
        <v>351</v>
      </c>
      <c r="AA413" t="n">
        <v>354</v>
      </c>
      <c r="AB413" t="n">
        <v>6</v>
      </c>
      <c r="AC413" t="n">
        <v>6</v>
      </c>
      <c r="AD413" t="n">
        <v>14</v>
      </c>
      <c r="AE413" t="n">
        <v>14</v>
      </c>
      <c r="AF413" t="n">
        <v>2</v>
      </c>
      <c r="AG413" t="n">
        <v>2</v>
      </c>
      <c r="AH413" t="n">
        <v>5</v>
      </c>
      <c r="AI413" t="n">
        <v>5</v>
      </c>
      <c r="AJ413" t="n">
        <v>6</v>
      </c>
      <c r="AK413" t="n">
        <v>6</v>
      </c>
      <c r="AL413" t="n">
        <v>3</v>
      </c>
      <c r="AM413" t="n">
        <v>3</v>
      </c>
      <c r="AN413" t="n">
        <v>0</v>
      </c>
      <c r="AO413" t="n">
        <v>0</v>
      </c>
      <c r="AP413" t="inlineStr">
        <is>
          <t>No</t>
        </is>
      </c>
      <c r="AQ413" t="inlineStr">
        <is>
          <t>Yes</t>
        </is>
      </c>
      <c r="AR413">
        <f>HYPERLINK("http://catalog.hathitrust.org/Record/000741167","HathiTrust Record")</f>
        <v/>
      </c>
      <c r="AS413">
        <f>HYPERLINK("https://creighton-primo.hosted.exlibrisgroup.com/primo-explore/search?tab=default_tab&amp;search_scope=EVERYTHING&amp;vid=01CRU&amp;lang=en_US&amp;offset=0&amp;query=any,contains,991001675479702656","Catalog Record")</f>
        <v/>
      </c>
      <c r="AT413">
        <f>HYPERLINK("http://www.worldcat.org/oclc/730785","WorldCat Record")</f>
        <v/>
      </c>
      <c r="AU413" t="inlineStr">
        <is>
          <t>1754917:eng</t>
        </is>
      </c>
      <c r="AV413" t="inlineStr">
        <is>
          <t>730785</t>
        </is>
      </c>
      <c r="AW413" t="inlineStr">
        <is>
          <t>991001675479702656</t>
        </is>
      </c>
      <c r="AX413" t="inlineStr">
        <is>
          <t>991001675479702656</t>
        </is>
      </c>
      <c r="AY413" t="inlineStr">
        <is>
          <t>2267183090002656</t>
        </is>
      </c>
      <c r="AZ413" t="inlineStr">
        <is>
          <t>BOOK</t>
        </is>
      </c>
      <c r="BB413" t="inlineStr">
        <is>
          <t>9780471615033</t>
        </is>
      </c>
      <c r="BC413" t="inlineStr">
        <is>
          <t>32285001211134</t>
        </is>
      </c>
      <c r="BD413" t="inlineStr">
        <is>
          <t>893420515</t>
        </is>
      </c>
    </row>
    <row r="414">
      <c r="A414" t="inlineStr">
        <is>
          <t>No</t>
        </is>
      </c>
      <c r="B414" t="inlineStr">
        <is>
          <t>RC439 .P43</t>
        </is>
      </c>
      <c r="C414" t="inlineStr">
        <is>
          <t>0                      RC 0439000P  43</t>
        </is>
      </c>
      <c r="D414" t="inlineStr">
        <is>
          <t>Circle of madness : on being insane and institutionalized in America / Robert Perrucci.</t>
        </is>
      </c>
      <c r="F414" t="inlineStr">
        <is>
          <t>No</t>
        </is>
      </c>
      <c r="G414" t="inlineStr">
        <is>
          <t>1</t>
        </is>
      </c>
      <c r="H414" t="inlineStr">
        <is>
          <t>No</t>
        </is>
      </c>
      <c r="I414" t="inlineStr">
        <is>
          <t>No</t>
        </is>
      </c>
      <c r="J414" t="inlineStr">
        <is>
          <t>0</t>
        </is>
      </c>
      <c r="K414" t="inlineStr">
        <is>
          <t>Perrucci, Robert.</t>
        </is>
      </c>
      <c r="L414" t="inlineStr">
        <is>
          <t>Englewood Cliffs, N.J. : Prentice-Hall, [1974]</t>
        </is>
      </c>
      <c r="M414" t="inlineStr">
        <is>
          <t>1974</t>
        </is>
      </c>
      <c r="O414" t="inlineStr">
        <is>
          <t>eng</t>
        </is>
      </c>
      <c r="P414" t="inlineStr">
        <is>
          <t>nju</t>
        </is>
      </c>
      <c r="Q414" t="inlineStr">
        <is>
          <t>A Spectrum book ; S-349</t>
        </is>
      </c>
      <c r="R414" t="inlineStr">
        <is>
          <t xml:space="preserve">RC </t>
        </is>
      </c>
      <c r="S414" t="n">
        <v>4</v>
      </c>
      <c r="T414" t="n">
        <v>4</v>
      </c>
      <c r="U414" t="inlineStr">
        <is>
          <t>2003-09-24</t>
        </is>
      </c>
      <c r="V414" t="inlineStr">
        <is>
          <t>2003-09-24</t>
        </is>
      </c>
      <c r="W414" t="inlineStr">
        <is>
          <t>1990-08-10</t>
        </is>
      </c>
      <c r="X414" t="inlineStr">
        <is>
          <t>1990-08-10</t>
        </is>
      </c>
      <c r="Y414" t="n">
        <v>510</v>
      </c>
      <c r="Z414" t="n">
        <v>431</v>
      </c>
      <c r="AA414" t="n">
        <v>438</v>
      </c>
      <c r="AB414" t="n">
        <v>5</v>
      </c>
      <c r="AC414" t="n">
        <v>5</v>
      </c>
      <c r="AD414" t="n">
        <v>16</v>
      </c>
      <c r="AE414" t="n">
        <v>16</v>
      </c>
      <c r="AF414" t="n">
        <v>2</v>
      </c>
      <c r="AG414" t="n">
        <v>2</v>
      </c>
      <c r="AH414" t="n">
        <v>5</v>
      </c>
      <c r="AI414" t="n">
        <v>5</v>
      </c>
      <c r="AJ414" t="n">
        <v>8</v>
      </c>
      <c r="AK414" t="n">
        <v>8</v>
      </c>
      <c r="AL414" t="n">
        <v>3</v>
      </c>
      <c r="AM414" t="n">
        <v>3</v>
      </c>
      <c r="AN414" t="n">
        <v>1</v>
      </c>
      <c r="AO414" t="n">
        <v>1</v>
      </c>
      <c r="AP414" t="inlineStr">
        <is>
          <t>No</t>
        </is>
      </c>
      <c r="AQ414" t="inlineStr">
        <is>
          <t>Yes</t>
        </is>
      </c>
      <c r="AR414">
        <f>HYPERLINK("http://catalog.hathitrust.org/Record/000104878","HathiTrust Record")</f>
        <v/>
      </c>
      <c r="AS414">
        <f>HYPERLINK("https://creighton-primo.hosted.exlibrisgroup.com/primo-explore/search?tab=default_tab&amp;search_scope=EVERYTHING&amp;vid=01CRU&amp;lang=en_US&amp;offset=0&amp;query=any,contains,991003524159702656","Catalog Record")</f>
        <v/>
      </c>
      <c r="AT414">
        <f>HYPERLINK("http://www.worldcat.org/oclc/1085891","WorldCat Record")</f>
        <v/>
      </c>
      <c r="AU414" t="inlineStr">
        <is>
          <t>902468517:eng</t>
        </is>
      </c>
      <c r="AV414" t="inlineStr">
        <is>
          <t>1085891</t>
        </is>
      </c>
      <c r="AW414" t="inlineStr">
        <is>
          <t>991003524159702656</t>
        </is>
      </c>
      <c r="AX414" t="inlineStr">
        <is>
          <t>991003524159702656</t>
        </is>
      </c>
      <c r="AY414" t="inlineStr">
        <is>
          <t>2269511270002656</t>
        </is>
      </c>
      <c r="AZ414" t="inlineStr">
        <is>
          <t>BOOK</t>
        </is>
      </c>
      <c r="BB414" t="inlineStr">
        <is>
          <t>9780131338845</t>
        </is>
      </c>
      <c r="BC414" t="inlineStr">
        <is>
          <t>32285000243419</t>
        </is>
      </c>
      <c r="BD414" t="inlineStr">
        <is>
          <t>893318065</t>
        </is>
      </c>
    </row>
    <row r="415">
      <c r="A415" t="inlineStr">
        <is>
          <t>No</t>
        </is>
      </c>
      <c r="B415" t="inlineStr">
        <is>
          <t>RC439.5 .G64 1981</t>
        </is>
      </c>
      <c r="C415" t="inlineStr">
        <is>
          <t>0                      RC 0439500G  64          1981</t>
        </is>
      </c>
      <c r="D415" t="inlineStr">
        <is>
          <t>Psychological skill training : the structured learning technique / Arnold P. Goldstein.</t>
        </is>
      </c>
      <c r="F415" t="inlineStr">
        <is>
          <t>No</t>
        </is>
      </c>
      <c r="G415" t="inlineStr">
        <is>
          <t>1</t>
        </is>
      </c>
      <c r="H415" t="inlineStr">
        <is>
          <t>No</t>
        </is>
      </c>
      <c r="I415" t="inlineStr">
        <is>
          <t>No</t>
        </is>
      </c>
      <c r="J415" t="inlineStr">
        <is>
          <t>0</t>
        </is>
      </c>
      <c r="K415" t="inlineStr">
        <is>
          <t>Goldstein, Arnold P.</t>
        </is>
      </c>
      <c r="L415" t="inlineStr">
        <is>
          <t>New York : Pergamon Press, c1981.</t>
        </is>
      </c>
      <c r="M415" t="inlineStr">
        <is>
          <t>1981</t>
        </is>
      </c>
      <c r="O415" t="inlineStr">
        <is>
          <t>eng</t>
        </is>
      </c>
      <c r="P415" t="inlineStr">
        <is>
          <t>nyu</t>
        </is>
      </c>
      <c r="Q415" t="inlineStr">
        <is>
          <t>Pergamon general psychology series ; 99</t>
        </is>
      </c>
      <c r="R415" t="inlineStr">
        <is>
          <t xml:space="preserve">RC </t>
        </is>
      </c>
      <c r="S415" t="n">
        <v>3</v>
      </c>
      <c r="T415" t="n">
        <v>3</v>
      </c>
      <c r="U415" t="inlineStr">
        <is>
          <t>1998-03-26</t>
        </is>
      </c>
      <c r="V415" t="inlineStr">
        <is>
          <t>1998-03-26</t>
        </is>
      </c>
      <c r="W415" t="inlineStr">
        <is>
          <t>1993-03-19</t>
        </is>
      </c>
      <c r="X415" t="inlineStr">
        <is>
          <t>1993-03-19</t>
        </is>
      </c>
      <c r="Y415" t="n">
        <v>256</v>
      </c>
      <c r="Z415" t="n">
        <v>181</v>
      </c>
      <c r="AA415" t="n">
        <v>182</v>
      </c>
      <c r="AB415" t="n">
        <v>2</v>
      </c>
      <c r="AC415" t="n">
        <v>2</v>
      </c>
      <c r="AD415" t="n">
        <v>6</v>
      </c>
      <c r="AE415" t="n">
        <v>6</v>
      </c>
      <c r="AF415" t="n">
        <v>2</v>
      </c>
      <c r="AG415" t="n">
        <v>2</v>
      </c>
      <c r="AH415" t="n">
        <v>0</v>
      </c>
      <c r="AI415" t="n">
        <v>0</v>
      </c>
      <c r="AJ415" t="n">
        <v>4</v>
      </c>
      <c r="AK415" t="n">
        <v>4</v>
      </c>
      <c r="AL415" t="n">
        <v>1</v>
      </c>
      <c r="AM415" t="n">
        <v>1</v>
      </c>
      <c r="AN415" t="n">
        <v>0</v>
      </c>
      <c r="AO415" t="n">
        <v>0</v>
      </c>
      <c r="AP415" t="inlineStr">
        <is>
          <t>No</t>
        </is>
      </c>
      <c r="AQ415" t="inlineStr">
        <is>
          <t>Yes</t>
        </is>
      </c>
      <c r="AR415">
        <f>HYPERLINK("http://catalog.hathitrust.org/Record/007469887","HathiTrust Record")</f>
        <v/>
      </c>
      <c r="AS415">
        <f>HYPERLINK("https://creighton-primo.hosted.exlibrisgroup.com/primo-explore/search?tab=default_tab&amp;search_scope=EVERYTHING&amp;vid=01CRU&amp;lang=en_US&amp;offset=0&amp;query=any,contains,991005116799702656","Catalog Record")</f>
        <v/>
      </c>
      <c r="AT415">
        <f>HYPERLINK("http://www.worldcat.org/oclc/7463279","WorldCat Record")</f>
        <v/>
      </c>
      <c r="AU415" t="inlineStr">
        <is>
          <t>134116643:eng</t>
        </is>
      </c>
      <c r="AV415" t="inlineStr">
        <is>
          <t>7463279</t>
        </is>
      </c>
      <c r="AW415" t="inlineStr">
        <is>
          <t>991005116799702656</t>
        </is>
      </c>
      <c r="AX415" t="inlineStr">
        <is>
          <t>991005116799702656</t>
        </is>
      </c>
      <c r="AY415" t="inlineStr">
        <is>
          <t>2264234180002656</t>
        </is>
      </c>
      <c r="AZ415" t="inlineStr">
        <is>
          <t>BOOK</t>
        </is>
      </c>
      <c r="BB415" t="inlineStr">
        <is>
          <t>9780080263212</t>
        </is>
      </c>
      <c r="BC415" t="inlineStr">
        <is>
          <t>32285001605251</t>
        </is>
      </c>
      <c r="BD415" t="inlineStr">
        <is>
          <t>893688616</t>
        </is>
      </c>
    </row>
    <row r="416">
      <c r="A416" t="inlineStr">
        <is>
          <t>No</t>
        </is>
      </c>
      <c r="B416" t="inlineStr">
        <is>
          <t>RC439.5 .S43</t>
        </is>
      </c>
      <c r="C416" t="inlineStr">
        <is>
          <t>0                      RC 0439500S  43</t>
        </is>
      </c>
      <c r="D416" t="inlineStr">
        <is>
          <t>The mentally ill in community-based sheltered care : a study of community care and social integration / [Steven P. Segal, Uri Aviram]</t>
        </is>
      </c>
      <c r="F416" t="inlineStr">
        <is>
          <t>No</t>
        </is>
      </c>
      <c r="G416" t="inlineStr">
        <is>
          <t>1</t>
        </is>
      </c>
      <c r="H416" t="inlineStr">
        <is>
          <t>No</t>
        </is>
      </c>
      <c r="I416" t="inlineStr">
        <is>
          <t>No</t>
        </is>
      </c>
      <c r="J416" t="inlineStr">
        <is>
          <t>0</t>
        </is>
      </c>
      <c r="K416" t="inlineStr">
        <is>
          <t>Segal, Steven P., 1943-</t>
        </is>
      </c>
      <c r="L416" t="inlineStr">
        <is>
          <t>[New York : Wiley, c1978]</t>
        </is>
      </c>
      <c r="M416" t="inlineStr">
        <is>
          <t>1978</t>
        </is>
      </c>
      <c r="O416" t="inlineStr">
        <is>
          <t>eng</t>
        </is>
      </c>
      <c r="P416" t="inlineStr">
        <is>
          <t>nyu</t>
        </is>
      </c>
      <c r="Q416" t="inlineStr">
        <is>
          <t>Health, medicine, and society</t>
        </is>
      </c>
      <c r="R416" t="inlineStr">
        <is>
          <t xml:space="preserve">RC </t>
        </is>
      </c>
      <c r="S416" t="n">
        <v>10</v>
      </c>
      <c r="T416" t="n">
        <v>10</v>
      </c>
      <c r="U416" t="inlineStr">
        <is>
          <t>2003-04-13</t>
        </is>
      </c>
      <c r="V416" t="inlineStr">
        <is>
          <t>2003-04-13</t>
        </is>
      </c>
      <c r="W416" t="inlineStr">
        <is>
          <t>1993-03-19</t>
        </is>
      </c>
      <c r="X416" t="inlineStr">
        <is>
          <t>1993-03-19</t>
        </is>
      </c>
      <c r="Y416" t="n">
        <v>343</v>
      </c>
      <c r="Z416" t="n">
        <v>260</v>
      </c>
      <c r="AA416" t="n">
        <v>265</v>
      </c>
      <c r="AB416" t="n">
        <v>4</v>
      </c>
      <c r="AC416" t="n">
        <v>4</v>
      </c>
      <c r="AD416" t="n">
        <v>8</v>
      </c>
      <c r="AE416" t="n">
        <v>8</v>
      </c>
      <c r="AF416" t="n">
        <v>2</v>
      </c>
      <c r="AG416" t="n">
        <v>2</v>
      </c>
      <c r="AH416" t="n">
        <v>1</v>
      </c>
      <c r="AI416" t="n">
        <v>1</v>
      </c>
      <c r="AJ416" t="n">
        <v>4</v>
      </c>
      <c r="AK416" t="n">
        <v>4</v>
      </c>
      <c r="AL416" t="n">
        <v>3</v>
      </c>
      <c r="AM416" t="n">
        <v>3</v>
      </c>
      <c r="AN416" t="n">
        <v>0</v>
      </c>
      <c r="AO416" t="n">
        <v>0</v>
      </c>
      <c r="AP416" t="inlineStr">
        <is>
          <t>No</t>
        </is>
      </c>
      <c r="AQ416" t="inlineStr">
        <is>
          <t>Yes</t>
        </is>
      </c>
      <c r="AR416">
        <f>HYPERLINK("http://catalog.hathitrust.org/Record/000254033","HathiTrust Record")</f>
        <v/>
      </c>
      <c r="AS416">
        <f>HYPERLINK("https://creighton-primo.hosted.exlibrisgroup.com/primo-explore/search?tab=default_tab&amp;search_scope=EVERYTHING&amp;vid=01CRU&amp;lang=en_US&amp;offset=0&amp;query=any,contains,991004340039702656","Catalog Record")</f>
        <v/>
      </c>
      <c r="AT416">
        <f>HYPERLINK("http://www.worldcat.org/oclc/3088658","WorldCat Record")</f>
        <v/>
      </c>
      <c r="AU416" t="inlineStr">
        <is>
          <t>231865221:eng</t>
        </is>
      </c>
      <c r="AV416" t="inlineStr">
        <is>
          <t>3088658</t>
        </is>
      </c>
      <c r="AW416" t="inlineStr">
        <is>
          <t>991004340039702656</t>
        </is>
      </c>
      <c r="AX416" t="inlineStr">
        <is>
          <t>991004340039702656</t>
        </is>
      </c>
      <c r="AY416" t="inlineStr">
        <is>
          <t>2265963530002656</t>
        </is>
      </c>
      <c r="AZ416" t="inlineStr">
        <is>
          <t>BOOK</t>
        </is>
      </c>
      <c r="BB416" t="inlineStr">
        <is>
          <t>9780471774006</t>
        </is>
      </c>
      <c r="BC416" t="inlineStr">
        <is>
          <t>32285001605269</t>
        </is>
      </c>
      <c r="BD416" t="inlineStr">
        <is>
          <t>893593569</t>
        </is>
      </c>
    </row>
    <row r="417">
      <c r="A417" t="inlineStr">
        <is>
          <t>No</t>
        </is>
      </c>
      <c r="B417" t="inlineStr">
        <is>
          <t>RC439.5 .S53</t>
        </is>
      </c>
      <c r="C417" t="inlineStr">
        <is>
          <t>0                      RC 0439500S  53</t>
        </is>
      </c>
      <c r="D417" t="inlineStr">
        <is>
          <t>The Skills of career counseling / Richard M. Pierce ... [et al.].</t>
        </is>
      </c>
      <c r="F417" t="inlineStr">
        <is>
          <t>No</t>
        </is>
      </c>
      <c r="G417" t="inlineStr">
        <is>
          <t>1</t>
        </is>
      </c>
      <c r="H417" t="inlineStr">
        <is>
          <t>No</t>
        </is>
      </c>
      <c r="I417" t="inlineStr">
        <is>
          <t>No</t>
        </is>
      </c>
      <c r="J417" t="inlineStr">
        <is>
          <t>0</t>
        </is>
      </c>
      <c r="L417" t="inlineStr">
        <is>
          <t>Baltimore, Md. : University Park Press, c1980.</t>
        </is>
      </c>
      <c r="M417" t="inlineStr">
        <is>
          <t>1980</t>
        </is>
      </c>
      <c r="O417" t="inlineStr">
        <is>
          <t>eng</t>
        </is>
      </c>
      <c r="P417" t="inlineStr">
        <is>
          <t>mdu</t>
        </is>
      </c>
      <c r="Q417" t="inlineStr">
        <is>
          <t>Psychiatric rehabilitation practice series ; book 4</t>
        </is>
      </c>
      <c r="R417" t="inlineStr">
        <is>
          <t xml:space="preserve">RC </t>
        </is>
      </c>
      <c r="S417" t="n">
        <v>1</v>
      </c>
      <c r="T417" t="n">
        <v>1</v>
      </c>
      <c r="U417" t="inlineStr">
        <is>
          <t>1995-07-01</t>
        </is>
      </c>
      <c r="V417" t="inlineStr">
        <is>
          <t>1995-07-01</t>
        </is>
      </c>
      <c r="W417" t="inlineStr">
        <is>
          <t>1992-10-16</t>
        </is>
      </c>
      <c r="X417" t="inlineStr">
        <is>
          <t>1992-10-16</t>
        </is>
      </c>
      <c r="Y417" t="n">
        <v>120</v>
      </c>
      <c r="Z417" t="n">
        <v>93</v>
      </c>
      <c r="AA417" t="n">
        <v>95</v>
      </c>
      <c r="AB417" t="n">
        <v>2</v>
      </c>
      <c r="AC417" t="n">
        <v>2</v>
      </c>
      <c r="AD417" t="n">
        <v>4</v>
      </c>
      <c r="AE417" t="n">
        <v>4</v>
      </c>
      <c r="AF417" t="n">
        <v>3</v>
      </c>
      <c r="AG417" t="n">
        <v>3</v>
      </c>
      <c r="AH417" t="n">
        <v>0</v>
      </c>
      <c r="AI417" t="n">
        <v>0</v>
      </c>
      <c r="AJ417" t="n">
        <v>3</v>
      </c>
      <c r="AK417" t="n">
        <v>3</v>
      </c>
      <c r="AL417" t="n">
        <v>1</v>
      </c>
      <c r="AM417" t="n">
        <v>1</v>
      </c>
      <c r="AN417" t="n">
        <v>0</v>
      </c>
      <c r="AO417" t="n">
        <v>0</v>
      </c>
      <c r="AP417" t="inlineStr">
        <is>
          <t>No</t>
        </is>
      </c>
      <c r="AQ417" t="inlineStr">
        <is>
          <t>No</t>
        </is>
      </c>
      <c r="AS417">
        <f>HYPERLINK("https://creighton-primo.hosted.exlibrisgroup.com/primo-explore/search?tab=default_tab&amp;search_scope=EVERYTHING&amp;vid=01CRU&amp;lang=en_US&amp;offset=0&amp;query=any,contains,991004893199702656","Catalog Record")</f>
        <v/>
      </c>
      <c r="AT417">
        <f>HYPERLINK("http://www.worldcat.org/oclc/5889344","WorldCat Record")</f>
        <v/>
      </c>
      <c r="AU417" t="inlineStr">
        <is>
          <t>3859681482:eng</t>
        </is>
      </c>
      <c r="AV417" t="inlineStr">
        <is>
          <t>5889344</t>
        </is>
      </c>
      <c r="AW417" t="inlineStr">
        <is>
          <t>991004893199702656</t>
        </is>
      </c>
      <c r="AX417" t="inlineStr">
        <is>
          <t>991004893199702656</t>
        </is>
      </c>
      <c r="AY417" t="inlineStr">
        <is>
          <t>2271396010002656</t>
        </is>
      </c>
      <c r="AZ417" t="inlineStr">
        <is>
          <t>BOOK</t>
        </is>
      </c>
      <c r="BB417" t="inlineStr">
        <is>
          <t>9780839115793</t>
        </is>
      </c>
      <c r="BC417" t="inlineStr">
        <is>
          <t>32285001350239</t>
        </is>
      </c>
      <c r="BD417" t="inlineStr">
        <is>
          <t>893248086</t>
        </is>
      </c>
    </row>
    <row r="418">
      <c r="A418" t="inlineStr">
        <is>
          <t>No</t>
        </is>
      </c>
      <c r="B418" t="inlineStr">
        <is>
          <t>RC439.5 .W67 1991</t>
        </is>
      </c>
      <c r="C418" t="inlineStr">
        <is>
          <t>0                      RC 0439500W  67          1991</t>
        </is>
      </c>
      <c r="D418" t="inlineStr">
        <is>
          <t>Worlds of the mentally ill : how deinstitutionalization works in the city / Dan A. Lewis ... [et al.].</t>
        </is>
      </c>
      <c r="F418" t="inlineStr">
        <is>
          <t>No</t>
        </is>
      </c>
      <c r="G418" t="inlineStr">
        <is>
          <t>1</t>
        </is>
      </c>
      <c r="H418" t="inlineStr">
        <is>
          <t>No</t>
        </is>
      </c>
      <c r="I418" t="inlineStr">
        <is>
          <t>No</t>
        </is>
      </c>
      <c r="J418" t="inlineStr">
        <is>
          <t>0</t>
        </is>
      </c>
      <c r="L418" t="inlineStr">
        <is>
          <t>Carbondale : Southern Illinois University Press, c1991.</t>
        </is>
      </c>
      <c r="M418" t="inlineStr">
        <is>
          <t>1991</t>
        </is>
      </c>
      <c r="O418" t="inlineStr">
        <is>
          <t>eng</t>
        </is>
      </c>
      <c r="P418" t="inlineStr">
        <is>
          <t>ilu</t>
        </is>
      </c>
      <c r="R418" t="inlineStr">
        <is>
          <t xml:space="preserve">RC </t>
        </is>
      </c>
      <c r="S418" t="n">
        <v>3</v>
      </c>
      <c r="T418" t="n">
        <v>3</v>
      </c>
      <c r="U418" t="inlineStr">
        <is>
          <t>2006-07-20</t>
        </is>
      </c>
      <c r="V418" t="inlineStr">
        <is>
          <t>2006-07-20</t>
        </is>
      </c>
      <c r="W418" t="inlineStr">
        <is>
          <t>1995-07-21</t>
        </is>
      </c>
      <c r="X418" t="inlineStr">
        <is>
          <t>1995-07-21</t>
        </is>
      </c>
      <c r="Y418" t="n">
        <v>382</v>
      </c>
      <c r="Z418" t="n">
        <v>353</v>
      </c>
      <c r="AA418" t="n">
        <v>790</v>
      </c>
      <c r="AB418" t="n">
        <v>1</v>
      </c>
      <c r="AC418" t="n">
        <v>3</v>
      </c>
      <c r="AD418" t="n">
        <v>18</v>
      </c>
      <c r="AE418" t="n">
        <v>24</v>
      </c>
      <c r="AF418" t="n">
        <v>4</v>
      </c>
      <c r="AG418" t="n">
        <v>8</v>
      </c>
      <c r="AH418" t="n">
        <v>6</v>
      </c>
      <c r="AI418" t="n">
        <v>6</v>
      </c>
      <c r="AJ418" t="n">
        <v>12</v>
      </c>
      <c r="AK418" t="n">
        <v>13</v>
      </c>
      <c r="AL418" t="n">
        <v>0</v>
      </c>
      <c r="AM418" t="n">
        <v>2</v>
      </c>
      <c r="AN418" t="n">
        <v>1</v>
      </c>
      <c r="AO418" t="n">
        <v>1</v>
      </c>
      <c r="AP418" t="inlineStr">
        <is>
          <t>No</t>
        </is>
      </c>
      <c r="AQ418" t="inlineStr">
        <is>
          <t>Yes</t>
        </is>
      </c>
      <c r="AR418">
        <f>HYPERLINK("http://catalog.hathitrust.org/Record/002427867","HathiTrust Record")</f>
        <v/>
      </c>
      <c r="AS418">
        <f>HYPERLINK("https://creighton-primo.hosted.exlibrisgroup.com/primo-explore/search?tab=default_tab&amp;search_scope=EVERYTHING&amp;vid=01CRU&amp;lang=en_US&amp;offset=0&amp;query=any,contains,991001487959702656","Catalog Record")</f>
        <v/>
      </c>
      <c r="AT418">
        <f>HYPERLINK("http://www.worldcat.org/oclc/19671692","WorldCat Record")</f>
        <v/>
      </c>
      <c r="AU418" t="inlineStr">
        <is>
          <t>797090163:eng</t>
        </is>
      </c>
      <c r="AV418" t="inlineStr">
        <is>
          <t>19671692</t>
        </is>
      </c>
      <c r="AW418" t="inlineStr">
        <is>
          <t>991001487959702656</t>
        </is>
      </c>
      <c r="AX418" t="inlineStr">
        <is>
          <t>991001487959702656</t>
        </is>
      </c>
      <c r="AY418" t="inlineStr">
        <is>
          <t>2264630950002656</t>
        </is>
      </c>
      <c r="AZ418" t="inlineStr">
        <is>
          <t>BOOK</t>
        </is>
      </c>
      <c r="BB418" t="inlineStr">
        <is>
          <t>9780809314775</t>
        </is>
      </c>
      <c r="BC418" t="inlineStr">
        <is>
          <t>32285002054970</t>
        </is>
      </c>
      <c r="BD418" t="inlineStr">
        <is>
          <t>893709320</t>
        </is>
      </c>
    </row>
    <row r="419">
      <c r="A419" t="inlineStr">
        <is>
          <t>No</t>
        </is>
      </c>
      <c r="B419" t="inlineStr">
        <is>
          <t>RC440 .A38</t>
        </is>
      </c>
      <c r="C419" t="inlineStr">
        <is>
          <t>0                      RC 0440000A  38</t>
        </is>
      </c>
      <c r="D419" t="inlineStr">
        <is>
          <t>Review of psychiatric nursing / Donna Conant Aguilera.</t>
        </is>
      </c>
      <c r="F419" t="inlineStr">
        <is>
          <t>No</t>
        </is>
      </c>
      <c r="G419" t="inlineStr">
        <is>
          <t>1</t>
        </is>
      </c>
      <c r="H419" t="inlineStr">
        <is>
          <t>Yes</t>
        </is>
      </c>
      <c r="I419" t="inlineStr">
        <is>
          <t>No</t>
        </is>
      </c>
      <c r="J419" t="inlineStr">
        <is>
          <t>0</t>
        </is>
      </c>
      <c r="K419" t="inlineStr">
        <is>
          <t>Aguilera, Donna C.</t>
        </is>
      </c>
      <c r="L419" t="inlineStr">
        <is>
          <t>Saint Louis : Mosby, 1977.</t>
        </is>
      </c>
      <c r="M419" t="inlineStr">
        <is>
          <t>1977</t>
        </is>
      </c>
      <c r="O419" t="inlineStr">
        <is>
          <t>eng</t>
        </is>
      </c>
      <c r="P419" t="inlineStr">
        <is>
          <t>mou</t>
        </is>
      </c>
      <c r="R419" t="inlineStr">
        <is>
          <t xml:space="preserve">RC </t>
        </is>
      </c>
      <c r="S419" t="n">
        <v>2</v>
      </c>
      <c r="T419" t="n">
        <v>2</v>
      </c>
      <c r="U419" t="inlineStr">
        <is>
          <t>1998-09-29</t>
        </is>
      </c>
      <c r="V419" t="inlineStr">
        <is>
          <t>1998-09-29</t>
        </is>
      </c>
      <c r="W419" t="inlineStr">
        <is>
          <t>1993-03-19</t>
        </is>
      </c>
      <c r="X419" t="inlineStr">
        <is>
          <t>1993-03-19</t>
        </is>
      </c>
      <c r="Y419" t="n">
        <v>157</v>
      </c>
      <c r="Z419" t="n">
        <v>124</v>
      </c>
      <c r="AA419" t="n">
        <v>124</v>
      </c>
      <c r="AB419" t="n">
        <v>2</v>
      </c>
      <c r="AC419" t="n">
        <v>2</v>
      </c>
      <c r="AD419" t="n">
        <v>3</v>
      </c>
      <c r="AE419" t="n">
        <v>3</v>
      </c>
      <c r="AF419" t="n">
        <v>1</v>
      </c>
      <c r="AG419" t="n">
        <v>1</v>
      </c>
      <c r="AH419" t="n">
        <v>0</v>
      </c>
      <c r="AI419" t="n">
        <v>0</v>
      </c>
      <c r="AJ419" t="n">
        <v>2</v>
      </c>
      <c r="AK419" t="n">
        <v>2</v>
      </c>
      <c r="AL419" t="n">
        <v>0</v>
      </c>
      <c r="AM419" t="n">
        <v>0</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HYPERLINK("https://creighton-primo.hosted.exlibrisgroup.com/primo-explore/search?tab=default_tab&amp;search_scope=EVERYTHING&amp;vid=01CRU&amp;lang=en_US&amp;offset=0&amp;query=any,contains,991001776869702656","Catalog Record")</f>
        <v/>
      </c>
      <c r="AT419">
        <f>HYPERLINK("http://www.worldcat.org/oclc/2425046","WorldCat Record")</f>
        <v/>
      </c>
      <c r="AU419" t="inlineStr">
        <is>
          <t>5074082:eng</t>
        </is>
      </c>
      <c r="AV419" t="inlineStr">
        <is>
          <t>2425046</t>
        </is>
      </c>
      <c r="AW419" t="inlineStr">
        <is>
          <t>991001776869702656</t>
        </is>
      </c>
      <c r="AX419" t="inlineStr">
        <is>
          <t>991001776869702656</t>
        </is>
      </c>
      <c r="AY419" t="inlineStr">
        <is>
          <t>2264283590002656</t>
        </is>
      </c>
      <c r="AZ419" t="inlineStr">
        <is>
          <t>BOOK</t>
        </is>
      </c>
      <c r="BB419" t="inlineStr">
        <is>
          <t>9780801600906</t>
        </is>
      </c>
      <c r="BC419" t="inlineStr">
        <is>
          <t>32285001605293</t>
        </is>
      </c>
      <c r="BD419" t="inlineStr">
        <is>
          <t>893250496</t>
        </is>
      </c>
    </row>
    <row r="420">
      <c r="A420" t="inlineStr">
        <is>
          <t>No</t>
        </is>
      </c>
      <c r="B420" t="inlineStr">
        <is>
          <t>RC440 .T74</t>
        </is>
      </c>
      <c r="C420" t="inlineStr">
        <is>
          <t>0                      RC 0440000T  74</t>
        </is>
      </c>
      <c r="D420" t="inlineStr">
        <is>
          <t>Intervention in psychiatric nursing: process in the one-to-one relationship / Joyce Travelbee.</t>
        </is>
      </c>
      <c r="F420" t="inlineStr">
        <is>
          <t>No</t>
        </is>
      </c>
      <c r="G420" t="inlineStr">
        <is>
          <t>1</t>
        </is>
      </c>
      <c r="H420" t="inlineStr">
        <is>
          <t>Yes</t>
        </is>
      </c>
      <c r="I420" t="inlineStr">
        <is>
          <t>No</t>
        </is>
      </c>
      <c r="J420" t="inlineStr">
        <is>
          <t>0</t>
        </is>
      </c>
      <c r="K420" t="inlineStr">
        <is>
          <t>Travelbee, Joyce.</t>
        </is>
      </c>
      <c r="L420" t="inlineStr">
        <is>
          <t>Philadelphia : F. A. Davis, c1969, 1975 printing.</t>
        </is>
      </c>
      <c r="M420" t="inlineStr">
        <is>
          <t>1969</t>
        </is>
      </c>
      <c r="O420" t="inlineStr">
        <is>
          <t>eng</t>
        </is>
      </c>
      <c r="P420" t="inlineStr">
        <is>
          <t>pau</t>
        </is>
      </c>
      <c r="R420" t="inlineStr">
        <is>
          <t xml:space="preserve">RC </t>
        </is>
      </c>
      <c r="S420" t="n">
        <v>1</v>
      </c>
      <c r="T420" t="n">
        <v>4</v>
      </c>
      <c r="U420" t="inlineStr">
        <is>
          <t>2003-12-10</t>
        </is>
      </c>
      <c r="V420" t="inlineStr">
        <is>
          <t>2003-12-10</t>
        </is>
      </c>
      <c r="W420" t="inlineStr">
        <is>
          <t>1993-03-19</t>
        </is>
      </c>
      <c r="X420" t="inlineStr">
        <is>
          <t>1993-03-19</t>
        </is>
      </c>
      <c r="Y420" t="n">
        <v>248</v>
      </c>
      <c r="Z420" t="n">
        <v>210</v>
      </c>
      <c r="AA420" t="n">
        <v>213</v>
      </c>
      <c r="AB420" t="n">
        <v>3</v>
      </c>
      <c r="AC420" t="n">
        <v>3</v>
      </c>
      <c r="AD420" t="n">
        <v>10</v>
      </c>
      <c r="AE420" t="n">
        <v>10</v>
      </c>
      <c r="AF420" t="n">
        <v>3</v>
      </c>
      <c r="AG420" t="n">
        <v>3</v>
      </c>
      <c r="AH420" t="n">
        <v>2</v>
      </c>
      <c r="AI420" t="n">
        <v>2</v>
      </c>
      <c r="AJ420" t="n">
        <v>7</v>
      </c>
      <c r="AK420" t="n">
        <v>7</v>
      </c>
      <c r="AL420" t="n">
        <v>1</v>
      </c>
      <c r="AM420" t="n">
        <v>1</v>
      </c>
      <c r="AN420" t="n">
        <v>0</v>
      </c>
      <c r="AO420" t="n">
        <v>0</v>
      </c>
      <c r="AP420" t="inlineStr">
        <is>
          <t>No</t>
        </is>
      </c>
      <c r="AQ420" t="inlineStr">
        <is>
          <t>Yes</t>
        </is>
      </c>
      <c r="AR420">
        <f>HYPERLINK("http://catalog.hathitrust.org/Record/001563723","HathiTrust Record")</f>
        <v/>
      </c>
      <c r="AS420">
        <f>HYPERLINK("https://creighton-primo.hosted.exlibrisgroup.com/primo-explore/search?tab=default_tab&amp;search_scope=EVERYTHING&amp;vid=01CRU&amp;lang=en_US&amp;offset=0&amp;query=any,contains,991001776909702656","Catalog Record")</f>
        <v/>
      </c>
      <c r="AT420">
        <f>HYPERLINK("http://www.worldcat.org/oclc/34466","WorldCat Record")</f>
        <v/>
      </c>
      <c r="AU420" t="inlineStr">
        <is>
          <t>1193444:eng</t>
        </is>
      </c>
      <c r="AV420" t="inlineStr">
        <is>
          <t>34466</t>
        </is>
      </c>
      <c r="AW420" t="inlineStr">
        <is>
          <t>991001776909702656</t>
        </is>
      </c>
      <c r="AX420" t="inlineStr">
        <is>
          <t>991001776909702656</t>
        </is>
      </c>
      <c r="AY420" t="inlineStr">
        <is>
          <t>2259799860002656</t>
        </is>
      </c>
      <c r="AZ420" t="inlineStr">
        <is>
          <t>BOOK</t>
        </is>
      </c>
      <c r="BC420" t="inlineStr">
        <is>
          <t>32285001605368</t>
        </is>
      </c>
      <c r="BD420" t="inlineStr">
        <is>
          <t>893709533</t>
        </is>
      </c>
    </row>
    <row r="421">
      <c r="A421" t="inlineStr">
        <is>
          <t>No</t>
        </is>
      </c>
      <c r="B421" t="inlineStr">
        <is>
          <t>RC440.8 .T56 2010</t>
        </is>
      </c>
      <c r="C421" t="inlineStr">
        <is>
          <t>0                      RC 0440800T  56          2010</t>
        </is>
      </c>
      <c r="D421" t="inlineStr">
        <is>
          <t>The ethics of supervision and consultation : practical guidance for mental health professionals / Janet T. Thomas.</t>
        </is>
      </c>
      <c r="F421" t="inlineStr">
        <is>
          <t>No</t>
        </is>
      </c>
      <c r="G421" t="inlineStr">
        <is>
          <t>1</t>
        </is>
      </c>
      <c r="H421" t="inlineStr">
        <is>
          <t>No</t>
        </is>
      </c>
      <c r="I421" t="inlineStr">
        <is>
          <t>No</t>
        </is>
      </c>
      <c r="J421" t="inlineStr">
        <is>
          <t>0</t>
        </is>
      </c>
      <c r="K421" t="inlineStr">
        <is>
          <t>Thomas, Janet T.</t>
        </is>
      </c>
      <c r="L421" t="inlineStr">
        <is>
          <t>Washington, DC : American Psychological Association, c2010.</t>
        </is>
      </c>
      <c r="M421" t="inlineStr">
        <is>
          <t>2010</t>
        </is>
      </c>
      <c r="N421" t="inlineStr">
        <is>
          <t>1st ed.</t>
        </is>
      </c>
      <c r="O421" t="inlineStr">
        <is>
          <t>eng</t>
        </is>
      </c>
      <c r="P421" t="inlineStr">
        <is>
          <t>dcu</t>
        </is>
      </c>
      <c r="R421" t="inlineStr">
        <is>
          <t xml:space="preserve">RC </t>
        </is>
      </c>
      <c r="S421" t="n">
        <v>1</v>
      </c>
      <c r="T421" t="n">
        <v>1</v>
      </c>
      <c r="U421" t="inlineStr">
        <is>
          <t>2010-11-22</t>
        </is>
      </c>
      <c r="V421" t="inlineStr">
        <is>
          <t>2010-11-22</t>
        </is>
      </c>
      <c r="W421" t="inlineStr">
        <is>
          <t>2010-11-22</t>
        </is>
      </c>
      <c r="X421" t="inlineStr">
        <is>
          <t>2010-11-22</t>
        </is>
      </c>
      <c r="Y421" t="n">
        <v>200</v>
      </c>
      <c r="Z421" t="n">
        <v>137</v>
      </c>
      <c r="AA421" t="n">
        <v>195</v>
      </c>
      <c r="AB421" t="n">
        <v>2</v>
      </c>
      <c r="AC421" t="n">
        <v>2</v>
      </c>
      <c r="AD421" t="n">
        <v>8</v>
      </c>
      <c r="AE421" t="n">
        <v>10</v>
      </c>
      <c r="AF421" t="n">
        <v>2</v>
      </c>
      <c r="AG421" t="n">
        <v>2</v>
      </c>
      <c r="AH421" t="n">
        <v>4</v>
      </c>
      <c r="AI421" t="n">
        <v>4</v>
      </c>
      <c r="AJ421" t="n">
        <v>4</v>
      </c>
      <c r="AK421" t="n">
        <v>6</v>
      </c>
      <c r="AL421" t="n">
        <v>1</v>
      </c>
      <c r="AM421" t="n">
        <v>1</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HYPERLINK("https://creighton-primo.hosted.exlibrisgroup.com/primo-explore/search?tab=default_tab&amp;search_scope=EVERYTHING&amp;vid=01CRU&amp;lang=en_US&amp;offset=0&amp;query=any,contains,991000222379702656","Catalog Record")</f>
        <v/>
      </c>
      <c r="AT421">
        <f>HYPERLINK("http://www.worldcat.org/oclc/427608867","WorldCat Record")</f>
        <v/>
      </c>
      <c r="AU421" t="inlineStr">
        <is>
          <t>315061257:eng</t>
        </is>
      </c>
      <c r="AV421" t="inlineStr">
        <is>
          <t>427608867</t>
        </is>
      </c>
      <c r="AW421" t="inlineStr">
        <is>
          <t>991000222379702656</t>
        </is>
      </c>
      <c r="AX421" t="inlineStr">
        <is>
          <t>991000222379702656</t>
        </is>
      </c>
      <c r="AY421" t="inlineStr">
        <is>
          <t>2258323130002656</t>
        </is>
      </c>
      <c r="AZ421" t="inlineStr">
        <is>
          <t>BOOK</t>
        </is>
      </c>
      <c r="BB421" t="inlineStr">
        <is>
          <t>9781433807237</t>
        </is>
      </c>
      <c r="BC421" t="inlineStr">
        <is>
          <t>32285005607220</t>
        </is>
      </c>
      <c r="BD421" t="inlineStr">
        <is>
          <t>893496062</t>
        </is>
      </c>
    </row>
    <row r="422">
      <c r="A422" t="inlineStr">
        <is>
          <t>No</t>
        </is>
      </c>
      <c r="B422" t="inlineStr">
        <is>
          <t>RC443 .D415 1973</t>
        </is>
      </c>
      <c r="C422" t="inlineStr">
        <is>
          <t>0                      RC 0443000D  415         1973</t>
        </is>
      </c>
      <c r="D422" t="inlineStr">
        <is>
          <t>The shame of the States.</t>
        </is>
      </c>
      <c r="F422" t="inlineStr">
        <is>
          <t>No</t>
        </is>
      </c>
      <c r="G422" t="inlineStr">
        <is>
          <t>1</t>
        </is>
      </c>
      <c r="H422" t="inlineStr">
        <is>
          <t>No</t>
        </is>
      </c>
      <c r="I422" t="inlineStr">
        <is>
          <t>No</t>
        </is>
      </c>
      <c r="J422" t="inlineStr">
        <is>
          <t>0</t>
        </is>
      </c>
      <c r="K422" t="inlineStr">
        <is>
          <t>Deutsch, Albert, 1905-1961.</t>
        </is>
      </c>
      <c r="L422" t="inlineStr">
        <is>
          <t>New York : Arno Press, 1973 [c1948]</t>
        </is>
      </c>
      <c r="M422" t="inlineStr">
        <is>
          <t>1973</t>
        </is>
      </c>
      <c r="N422" t="inlineStr">
        <is>
          <t>[1st ed.]</t>
        </is>
      </c>
      <c r="O422" t="inlineStr">
        <is>
          <t>eng</t>
        </is>
      </c>
      <c r="P422" t="inlineStr">
        <is>
          <t>nyu</t>
        </is>
      </c>
      <c r="Q422" t="inlineStr">
        <is>
          <t>Mental illness and social policy: the American experience</t>
        </is>
      </c>
      <c r="R422" t="inlineStr">
        <is>
          <t xml:space="preserve">RC </t>
        </is>
      </c>
      <c r="S422" t="n">
        <v>2</v>
      </c>
      <c r="T422" t="n">
        <v>2</v>
      </c>
      <c r="U422" t="inlineStr">
        <is>
          <t>2003-09-24</t>
        </is>
      </c>
      <c r="V422" t="inlineStr">
        <is>
          <t>2003-09-24</t>
        </is>
      </c>
      <c r="W422" t="inlineStr">
        <is>
          <t>1993-11-11</t>
        </is>
      </c>
      <c r="X422" t="inlineStr">
        <is>
          <t>1993-11-11</t>
        </is>
      </c>
      <c r="Y422" t="n">
        <v>116</v>
      </c>
      <c r="Z422" t="n">
        <v>105</v>
      </c>
      <c r="AA422" t="n">
        <v>413</v>
      </c>
      <c r="AB422" t="n">
        <v>1</v>
      </c>
      <c r="AC422" t="n">
        <v>4</v>
      </c>
      <c r="AD422" t="n">
        <v>2</v>
      </c>
      <c r="AE422" t="n">
        <v>17</v>
      </c>
      <c r="AF422" t="n">
        <v>0</v>
      </c>
      <c r="AG422" t="n">
        <v>4</v>
      </c>
      <c r="AH422" t="n">
        <v>0</v>
      </c>
      <c r="AI422" t="n">
        <v>3</v>
      </c>
      <c r="AJ422" t="n">
        <v>2</v>
      </c>
      <c r="AK422" t="n">
        <v>10</v>
      </c>
      <c r="AL422" t="n">
        <v>0</v>
      </c>
      <c r="AM422" t="n">
        <v>3</v>
      </c>
      <c r="AN422" t="n">
        <v>0</v>
      </c>
      <c r="AO422" t="n">
        <v>1</v>
      </c>
      <c r="AP422" t="inlineStr">
        <is>
          <t>No</t>
        </is>
      </c>
      <c r="AQ422" t="inlineStr">
        <is>
          <t>No</t>
        </is>
      </c>
      <c r="AS422">
        <f>HYPERLINK("https://creighton-primo.hosted.exlibrisgroup.com/primo-explore/search?tab=default_tab&amp;search_scope=EVERYTHING&amp;vid=01CRU&amp;lang=en_US&amp;offset=0&amp;query=any,contains,991003080129702656","Catalog Record")</f>
        <v/>
      </c>
      <c r="AT422">
        <f>HYPERLINK("http://www.worldcat.org/oclc/632287","WorldCat Record")</f>
        <v/>
      </c>
      <c r="AU422" t="inlineStr">
        <is>
          <t>1747304:eng</t>
        </is>
      </c>
      <c r="AV422" t="inlineStr">
        <is>
          <t>632287</t>
        </is>
      </c>
      <c r="AW422" t="inlineStr">
        <is>
          <t>991003080129702656</t>
        </is>
      </c>
      <c r="AX422" t="inlineStr">
        <is>
          <t>991003080129702656</t>
        </is>
      </c>
      <c r="AY422" t="inlineStr">
        <is>
          <t>2263836450002656</t>
        </is>
      </c>
      <c r="AZ422" t="inlineStr">
        <is>
          <t>BOOK</t>
        </is>
      </c>
      <c r="BB422" t="inlineStr">
        <is>
          <t>9780405052026</t>
        </is>
      </c>
      <c r="BC422" t="inlineStr">
        <is>
          <t>32285001797892</t>
        </is>
      </c>
      <c r="BD422" t="inlineStr">
        <is>
          <t>893774373</t>
        </is>
      </c>
    </row>
    <row r="423">
      <c r="A423" t="inlineStr">
        <is>
          <t>No</t>
        </is>
      </c>
      <c r="B423" t="inlineStr">
        <is>
          <t>RC443 .I53 1984</t>
        </is>
      </c>
      <c r="C423" t="inlineStr">
        <is>
          <t>0                      RC 0443000I  53          1984</t>
        </is>
      </c>
      <c r="D423" t="inlineStr">
        <is>
          <t>Informed consent : a study of decisionmaking in psychiatry / Charles W. Lidz ... [et al.] foreword by Alan A. Stone.</t>
        </is>
      </c>
      <c r="F423" t="inlineStr">
        <is>
          <t>No</t>
        </is>
      </c>
      <c r="G423" t="inlineStr">
        <is>
          <t>1</t>
        </is>
      </c>
      <c r="H423" t="inlineStr">
        <is>
          <t>Yes</t>
        </is>
      </c>
      <c r="I423" t="inlineStr">
        <is>
          <t>No</t>
        </is>
      </c>
      <c r="J423" t="inlineStr">
        <is>
          <t>0</t>
        </is>
      </c>
      <c r="L423" t="inlineStr">
        <is>
          <t>New York : Guilford Press, c1984.</t>
        </is>
      </c>
      <c r="M423" t="inlineStr">
        <is>
          <t>1984</t>
        </is>
      </c>
      <c r="O423" t="inlineStr">
        <is>
          <t>eng</t>
        </is>
      </c>
      <c r="P423" t="inlineStr">
        <is>
          <t>nyu</t>
        </is>
      </c>
      <c r="Q423" t="inlineStr">
        <is>
          <t>The Guilford law and behavior series</t>
        </is>
      </c>
      <c r="R423" t="inlineStr">
        <is>
          <t xml:space="preserve">RC </t>
        </is>
      </c>
      <c r="S423" t="n">
        <v>4</v>
      </c>
      <c r="T423" t="n">
        <v>4</v>
      </c>
      <c r="U423" t="inlineStr">
        <is>
          <t>2008-01-19</t>
        </is>
      </c>
      <c r="V423" t="inlineStr">
        <is>
          <t>2008-01-19</t>
        </is>
      </c>
      <c r="W423" t="inlineStr">
        <is>
          <t>1993-03-19</t>
        </is>
      </c>
      <c r="X423" t="inlineStr">
        <is>
          <t>1993-03-19</t>
        </is>
      </c>
      <c r="Y423" t="n">
        <v>477</v>
      </c>
      <c r="Z423" t="n">
        <v>412</v>
      </c>
      <c r="AA423" t="n">
        <v>414</v>
      </c>
      <c r="AB423" t="n">
        <v>4</v>
      </c>
      <c r="AC423" t="n">
        <v>4</v>
      </c>
      <c r="AD423" t="n">
        <v>27</v>
      </c>
      <c r="AE423" t="n">
        <v>27</v>
      </c>
      <c r="AF423" t="n">
        <v>5</v>
      </c>
      <c r="AG423" t="n">
        <v>5</v>
      </c>
      <c r="AH423" t="n">
        <v>3</v>
      </c>
      <c r="AI423" t="n">
        <v>3</v>
      </c>
      <c r="AJ423" t="n">
        <v>9</v>
      </c>
      <c r="AK423" t="n">
        <v>9</v>
      </c>
      <c r="AL423" t="n">
        <v>1</v>
      </c>
      <c r="AM423" t="n">
        <v>1</v>
      </c>
      <c r="AN423" t="n">
        <v>14</v>
      </c>
      <c r="AO423" t="n">
        <v>14</v>
      </c>
      <c r="AP423" t="inlineStr">
        <is>
          <t>No</t>
        </is>
      </c>
      <c r="AQ423" t="inlineStr">
        <is>
          <t>No</t>
        </is>
      </c>
      <c r="AS423">
        <f>HYPERLINK("https://creighton-primo.hosted.exlibrisgroup.com/primo-explore/search?tab=default_tab&amp;search_scope=EVERYTHING&amp;vid=01CRU&amp;lang=en_US&amp;offset=0&amp;query=any,contains,991000205749702656","Catalog Record")</f>
        <v/>
      </c>
      <c r="AT423">
        <f>HYPERLINK("http://www.worldcat.org/oclc/9489094","WorldCat Record")</f>
        <v/>
      </c>
      <c r="AU423" t="inlineStr">
        <is>
          <t>905864707:eng</t>
        </is>
      </c>
      <c r="AV423" t="inlineStr">
        <is>
          <t>9489094</t>
        </is>
      </c>
      <c r="AW423" t="inlineStr">
        <is>
          <t>991000205749702656</t>
        </is>
      </c>
      <c r="AX423" t="inlineStr">
        <is>
          <t>991000205749702656</t>
        </is>
      </c>
      <c r="AY423" t="inlineStr">
        <is>
          <t>2256370080002656</t>
        </is>
      </c>
      <c r="AZ423" t="inlineStr">
        <is>
          <t>BOOK</t>
        </is>
      </c>
      <c r="BB423" t="inlineStr">
        <is>
          <t>9780898622751</t>
        </is>
      </c>
      <c r="BC423" t="inlineStr">
        <is>
          <t>32285001605426</t>
        </is>
      </c>
      <c r="BD423" t="inlineStr">
        <is>
          <t>893345479</t>
        </is>
      </c>
    </row>
    <row r="424">
      <c r="A424" t="inlineStr">
        <is>
          <t>No</t>
        </is>
      </c>
      <c r="B424" t="inlineStr">
        <is>
          <t>RC443 .P35</t>
        </is>
      </c>
      <c r="C424" t="inlineStr">
        <is>
          <t>0                      RC 0443000P  35</t>
        </is>
      </c>
      <c r="D424" t="inlineStr">
        <is>
          <t>Transactions in families / John Papajohn, John Spiegel.</t>
        </is>
      </c>
      <c r="F424" t="inlineStr">
        <is>
          <t>No</t>
        </is>
      </c>
      <c r="G424" t="inlineStr">
        <is>
          <t>1</t>
        </is>
      </c>
      <c r="H424" t="inlineStr">
        <is>
          <t>No</t>
        </is>
      </c>
      <c r="I424" t="inlineStr">
        <is>
          <t>No</t>
        </is>
      </c>
      <c r="J424" t="inlineStr">
        <is>
          <t>0</t>
        </is>
      </c>
      <c r="K424" t="inlineStr">
        <is>
          <t>Papajohn, John.</t>
        </is>
      </c>
      <c r="L424" t="inlineStr">
        <is>
          <t>San Francisco : Jossey-Bass, 1975.</t>
        </is>
      </c>
      <c r="M424" t="inlineStr">
        <is>
          <t>1975</t>
        </is>
      </c>
      <c r="N424" t="inlineStr">
        <is>
          <t>1st ed.</t>
        </is>
      </c>
      <c r="O424" t="inlineStr">
        <is>
          <t>eng</t>
        </is>
      </c>
      <c r="P424" t="inlineStr">
        <is>
          <t>cau</t>
        </is>
      </c>
      <c r="Q424" t="inlineStr">
        <is>
          <t>Jossey-Bass behavioral science series</t>
        </is>
      </c>
      <c r="R424" t="inlineStr">
        <is>
          <t xml:space="preserve">RC </t>
        </is>
      </c>
      <c r="S424" t="n">
        <v>7</v>
      </c>
      <c r="T424" t="n">
        <v>7</v>
      </c>
      <c r="U424" t="inlineStr">
        <is>
          <t>1997-11-13</t>
        </is>
      </c>
      <c r="V424" t="inlineStr">
        <is>
          <t>1997-11-13</t>
        </is>
      </c>
      <c r="W424" t="inlineStr">
        <is>
          <t>1991-12-23</t>
        </is>
      </c>
      <c r="X424" t="inlineStr">
        <is>
          <t>1991-12-23</t>
        </is>
      </c>
      <c r="Y424" t="n">
        <v>491</v>
      </c>
      <c r="Z424" t="n">
        <v>425</v>
      </c>
      <c r="AA424" t="n">
        <v>460</v>
      </c>
      <c r="AB424" t="n">
        <v>5</v>
      </c>
      <c r="AC424" t="n">
        <v>5</v>
      </c>
      <c r="AD424" t="n">
        <v>19</v>
      </c>
      <c r="AE424" t="n">
        <v>21</v>
      </c>
      <c r="AF424" t="n">
        <v>3</v>
      </c>
      <c r="AG424" t="n">
        <v>4</v>
      </c>
      <c r="AH424" t="n">
        <v>4</v>
      </c>
      <c r="AI424" t="n">
        <v>5</v>
      </c>
      <c r="AJ424" t="n">
        <v>13</v>
      </c>
      <c r="AK424" t="n">
        <v>13</v>
      </c>
      <c r="AL424" t="n">
        <v>4</v>
      </c>
      <c r="AM424" t="n">
        <v>4</v>
      </c>
      <c r="AN424" t="n">
        <v>0</v>
      </c>
      <c r="AO424" t="n">
        <v>0</v>
      </c>
      <c r="AP424" t="inlineStr">
        <is>
          <t>No</t>
        </is>
      </c>
      <c r="AQ424" t="inlineStr">
        <is>
          <t>Yes</t>
        </is>
      </c>
      <c r="AR424">
        <f>HYPERLINK("http://catalog.hathitrust.org/Record/000035395","HathiTrust Record")</f>
        <v/>
      </c>
      <c r="AS424">
        <f>HYPERLINK("https://creighton-primo.hosted.exlibrisgroup.com/primo-explore/search?tab=default_tab&amp;search_scope=EVERYTHING&amp;vid=01CRU&amp;lang=en_US&amp;offset=0&amp;query=any,contains,991003558659702656","Catalog Record")</f>
        <v/>
      </c>
      <c r="AT424">
        <f>HYPERLINK("http://www.worldcat.org/oclc/1127985","WorldCat Record")</f>
        <v/>
      </c>
      <c r="AU424" t="inlineStr">
        <is>
          <t>2040270:eng</t>
        </is>
      </c>
      <c r="AV424" t="inlineStr">
        <is>
          <t>1127985</t>
        </is>
      </c>
      <c r="AW424" t="inlineStr">
        <is>
          <t>991003558659702656</t>
        </is>
      </c>
      <c r="AX424" t="inlineStr">
        <is>
          <t>991003558659702656</t>
        </is>
      </c>
      <c r="AY424" t="inlineStr">
        <is>
          <t>2267316590002656</t>
        </is>
      </c>
      <c r="AZ424" t="inlineStr">
        <is>
          <t>BOOK</t>
        </is>
      </c>
      <c r="BB424" t="inlineStr">
        <is>
          <t>9780875892375</t>
        </is>
      </c>
      <c r="BC424" t="inlineStr">
        <is>
          <t>32285000900091</t>
        </is>
      </c>
      <c r="BD424" t="inlineStr">
        <is>
          <t>893441423</t>
        </is>
      </c>
    </row>
    <row r="425">
      <c r="A425" t="inlineStr">
        <is>
          <t>No</t>
        </is>
      </c>
      <c r="B425" t="inlineStr">
        <is>
          <t>RC443 .T67 2008</t>
        </is>
      </c>
      <c r="C425" t="inlineStr">
        <is>
          <t>0                      RC 0443000T  67          2008</t>
        </is>
      </c>
      <c r="D425" t="inlineStr">
        <is>
          <t>The insanity offense : how America's failure to treat the seriously mentally ill endangers its citizens / E. Fuller Torrey.</t>
        </is>
      </c>
      <c r="F425" t="inlineStr">
        <is>
          <t>No</t>
        </is>
      </c>
      <c r="G425" t="inlineStr">
        <is>
          <t>1</t>
        </is>
      </c>
      <c r="H425" t="inlineStr">
        <is>
          <t>No</t>
        </is>
      </c>
      <c r="I425" t="inlineStr">
        <is>
          <t>No</t>
        </is>
      </c>
      <c r="J425" t="inlineStr">
        <is>
          <t>0</t>
        </is>
      </c>
      <c r="K425" t="inlineStr">
        <is>
          <t>Torrey, E. Fuller (Edwin Fuller), 1937-</t>
        </is>
      </c>
      <c r="L425" t="inlineStr">
        <is>
          <t>New York : W.W. Norton, c2008.</t>
        </is>
      </c>
      <c r="M425" t="inlineStr">
        <is>
          <t>2008</t>
        </is>
      </c>
      <c r="N425" t="inlineStr">
        <is>
          <t>1st ed.</t>
        </is>
      </c>
      <c r="O425" t="inlineStr">
        <is>
          <t>eng</t>
        </is>
      </c>
      <c r="P425" t="inlineStr">
        <is>
          <t>nyu</t>
        </is>
      </c>
      <c r="R425" t="inlineStr">
        <is>
          <t xml:space="preserve">RC </t>
        </is>
      </c>
      <c r="S425" t="n">
        <v>1</v>
      </c>
      <c r="T425" t="n">
        <v>1</v>
      </c>
      <c r="U425" t="inlineStr">
        <is>
          <t>2009-03-25</t>
        </is>
      </c>
      <c r="V425" t="inlineStr">
        <is>
          <t>2009-03-25</t>
        </is>
      </c>
      <c r="W425" t="inlineStr">
        <is>
          <t>2009-03-25</t>
        </is>
      </c>
      <c r="X425" t="inlineStr">
        <is>
          <t>2009-03-25</t>
        </is>
      </c>
      <c r="Y425" t="n">
        <v>1345</v>
      </c>
      <c r="Z425" t="n">
        <v>1296</v>
      </c>
      <c r="AA425" t="n">
        <v>1378</v>
      </c>
      <c r="AB425" t="n">
        <v>9</v>
      </c>
      <c r="AC425" t="n">
        <v>9</v>
      </c>
      <c r="AD425" t="n">
        <v>33</v>
      </c>
      <c r="AE425" t="n">
        <v>36</v>
      </c>
      <c r="AF425" t="n">
        <v>13</v>
      </c>
      <c r="AG425" t="n">
        <v>14</v>
      </c>
      <c r="AH425" t="n">
        <v>4</v>
      </c>
      <c r="AI425" t="n">
        <v>5</v>
      </c>
      <c r="AJ425" t="n">
        <v>13</v>
      </c>
      <c r="AK425" t="n">
        <v>14</v>
      </c>
      <c r="AL425" t="n">
        <v>5</v>
      </c>
      <c r="AM425" t="n">
        <v>5</v>
      </c>
      <c r="AN425" t="n">
        <v>4</v>
      </c>
      <c r="AO425" t="n">
        <v>4</v>
      </c>
      <c r="AP425" t="inlineStr">
        <is>
          <t>No</t>
        </is>
      </c>
      <c r="AQ425" t="inlineStr">
        <is>
          <t>No</t>
        </is>
      </c>
      <c r="AS425">
        <f>HYPERLINK("https://creighton-primo.hosted.exlibrisgroup.com/primo-explore/search?tab=default_tab&amp;search_scope=EVERYTHING&amp;vid=01CRU&amp;lang=en_US&amp;offset=0&amp;query=any,contains,991005301429702656","Catalog Record")</f>
        <v/>
      </c>
      <c r="AT425">
        <f>HYPERLINK("http://www.worldcat.org/oclc/181139537","WorldCat Record")</f>
        <v/>
      </c>
      <c r="AU425" t="inlineStr">
        <is>
          <t>1043466285:eng</t>
        </is>
      </c>
      <c r="AV425" t="inlineStr">
        <is>
          <t>181139537</t>
        </is>
      </c>
      <c r="AW425" t="inlineStr">
        <is>
          <t>991005301429702656</t>
        </is>
      </c>
      <c r="AX425" t="inlineStr">
        <is>
          <t>991005301429702656</t>
        </is>
      </c>
      <c r="AY425" t="inlineStr">
        <is>
          <t>2265000490002656</t>
        </is>
      </c>
      <c r="AZ425" t="inlineStr">
        <is>
          <t>BOOK</t>
        </is>
      </c>
      <c r="BB425" t="inlineStr">
        <is>
          <t>9780393066586</t>
        </is>
      </c>
      <c r="BC425" t="inlineStr">
        <is>
          <t>32285005509822</t>
        </is>
      </c>
      <c r="BD425" t="inlineStr">
        <is>
          <t>893905364</t>
        </is>
      </c>
    </row>
    <row r="426">
      <c r="A426" t="inlineStr">
        <is>
          <t>No</t>
        </is>
      </c>
      <c r="B426" t="inlineStr">
        <is>
          <t>RC445.I28 F3 1965</t>
        </is>
      </c>
      <c r="C426" t="inlineStr">
        <is>
          <t>0                      RC 0445000I  28                 F  3           1965</t>
        </is>
      </c>
      <c r="D426" t="inlineStr">
        <is>
          <t>Mental disorders in urban areas : an ecological study of schizophrenia and other psychoses / Robert E.L. Faris, H. Warren Dunham.</t>
        </is>
      </c>
      <c r="F426" t="inlineStr">
        <is>
          <t>No</t>
        </is>
      </c>
      <c r="G426" t="inlineStr">
        <is>
          <t>1</t>
        </is>
      </c>
      <c r="H426" t="inlineStr">
        <is>
          <t>No</t>
        </is>
      </c>
      <c r="I426" t="inlineStr">
        <is>
          <t>No</t>
        </is>
      </c>
      <c r="J426" t="inlineStr">
        <is>
          <t>0</t>
        </is>
      </c>
      <c r="K426" t="inlineStr">
        <is>
          <t>Faris, Robert E. L. (Robert E. Lee), 1907-1998.</t>
        </is>
      </c>
      <c r="L426" t="inlineStr">
        <is>
          <t>Chicago : University of Chicago Press, [1965, c1939]</t>
        </is>
      </c>
      <c r="M426" t="inlineStr">
        <is>
          <t>1965</t>
        </is>
      </c>
      <c r="O426" t="inlineStr">
        <is>
          <t>eng</t>
        </is>
      </c>
      <c r="P426" t="inlineStr">
        <is>
          <t>ilu</t>
        </is>
      </c>
      <c r="Q426" t="inlineStr">
        <is>
          <t>Phoenix books</t>
        </is>
      </c>
      <c r="R426" t="inlineStr">
        <is>
          <t xml:space="preserve">RC </t>
        </is>
      </c>
      <c r="S426" t="n">
        <v>0</v>
      </c>
      <c r="T426" t="n">
        <v>0</v>
      </c>
      <c r="U426" t="inlineStr">
        <is>
          <t>2006-09-18</t>
        </is>
      </c>
      <c r="V426" t="inlineStr">
        <is>
          <t>2006-09-18</t>
        </is>
      </c>
      <c r="W426" t="inlineStr">
        <is>
          <t>1997-08-11</t>
        </is>
      </c>
      <c r="X426" t="inlineStr">
        <is>
          <t>1997-08-11</t>
        </is>
      </c>
      <c r="Y426" t="n">
        <v>267</v>
      </c>
      <c r="Z426" t="n">
        <v>212</v>
      </c>
      <c r="AA426" t="n">
        <v>538</v>
      </c>
      <c r="AB426" t="n">
        <v>1</v>
      </c>
      <c r="AC426" t="n">
        <v>3</v>
      </c>
      <c r="AD426" t="n">
        <v>13</v>
      </c>
      <c r="AE426" t="n">
        <v>22</v>
      </c>
      <c r="AF426" t="n">
        <v>5</v>
      </c>
      <c r="AG426" t="n">
        <v>7</v>
      </c>
      <c r="AH426" t="n">
        <v>2</v>
      </c>
      <c r="AI426" t="n">
        <v>4</v>
      </c>
      <c r="AJ426" t="n">
        <v>7</v>
      </c>
      <c r="AK426" t="n">
        <v>12</v>
      </c>
      <c r="AL426" t="n">
        <v>0</v>
      </c>
      <c r="AM426" t="n">
        <v>2</v>
      </c>
      <c r="AN426" t="n">
        <v>1</v>
      </c>
      <c r="AO426" t="n">
        <v>1</v>
      </c>
      <c r="AP426" t="inlineStr">
        <is>
          <t>No</t>
        </is>
      </c>
      <c r="AQ426" t="inlineStr">
        <is>
          <t>No</t>
        </is>
      </c>
      <c r="AS426">
        <f>HYPERLINK("https://creighton-primo.hosted.exlibrisgroup.com/primo-explore/search?tab=default_tab&amp;search_scope=EVERYTHING&amp;vid=01CRU&amp;lang=en_US&amp;offset=0&amp;query=any,contains,991004355469702656","Catalog Record")</f>
        <v/>
      </c>
      <c r="AT426">
        <f>HYPERLINK("http://www.worldcat.org/oclc/3136822","WorldCat Record")</f>
        <v/>
      </c>
      <c r="AU426" t="inlineStr">
        <is>
          <t>233757503:eng</t>
        </is>
      </c>
      <c r="AV426" t="inlineStr">
        <is>
          <t>3136822</t>
        </is>
      </c>
      <c r="AW426" t="inlineStr">
        <is>
          <t>991004355469702656</t>
        </is>
      </c>
      <c r="AX426" t="inlineStr">
        <is>
          <t>991004355469702656</t>
        </is>
      </c>
      <c r="AY426" t="inlineStr">
        <is>
          <t>2256186240002656</t>
        </is>
      </c>
      <c r="AZ426" t="inlineStr">
        <is>
          <t>BOOK</t>
        </is>
      </c>
      <c r="BC426" t="inlineStr">
        <is>
          <t>32285003090379</t>
        </is>
      </c>
      <c r="BD426" t="inlineStr">
        <is>
          <t>893429962</t>
        </is>
      </c>
    </row>
    <row r="427">
      <c r="A427" t="inlineStr">
        <is>
          <t>No</t>
        </is>
      </c>
      <c r="B427" t="inlineStr">
        <is>
          <t>RC445.N68 E4</t>
        </is>
      </c>
      <c r="C427" t="inlineStr">
        <is>
          <t>0                      RC 0445000N  68                 E  4</t>
        </is>
      </c>
      <c r="D427" t="inlineStr">
        <is>
          <t>Public image of mental health services / [by] Jack Elinson, Elena Padilla [and] Marvin E. Perkins.</t>
        </is>
      </c>
      <c r="F427" t="inlineStr">
        <is>
          <t>No</t>
        </is>
      </c>
      <c r="G427" t="inlineStr">
        <is>
          <t>1</t>
        </is>
      </c>
      <c r="H427" t="inlineStr">
        <is>
          <t>No</t>
        </is>
      </c>
      <c r="I427" t="inlineStr">
        <is>
          <t>No</t>
        </is>
      </c>
      <c r="J427" t="inlineStr">
        <is>
          <t>0</t>
        </is>
      </c>
      <c r="K427" t="inlineStr">
        <is>
          <t>Elinson, Jack.</t>
        </is>
      </c>
      <c r="L427" t="inlineStr">
        <is>
          <t>New York : Mental Health Materials Center, 1967.</t>
        </is>
      </c>
      <c r="M427" t="inlineStr">
        <is>
          <t>1967</t>
        </is>
      </c>
      <c r="O427" t="inlineStr">
        <is>
          <t>eng</t>
        </is>
      </c>
      <c r="P427" t="inlineStr">
        <is>
          <t>nyu</t>
        </is>
      </c>
      <c r="R427" t="inlineStr">
        <is>
          <t xml:space="preserve">RC </t>
        </is>
      </c>
      <c r="S427" t="n">
        <v>3</v>
      </c>
      <c r="T427" t="n">
        <v>3</v>
      </c>
      <c r="U427" t="inlineStr">
        <is>
          <t>1995-04-17</t>
        </is>
      </c>
      <c r="V427" t="inlineStr">
        <is>
          <t>1995-04-17</t>
        </is>
      </c>
      <c r="W427" t="inlineStr">
        <is>
          <t>1993-11-11</t>
        </is>
      </c>
      <c r="X427" t="inlineStr">
        <is>
          <t>1993-11-11</t>
        </is>
      </c>
      <c r="Y427" t="n">
        <v>199</v>
      </c>
      <c r="Z427" t="n">
        <v>180</v>
      </c>
      <c r="AA427" t="n">
        <v>190</v>
      </c>
      <c r="AB427" t="n">
        <v>1</v>
      </c>
      <c r="AC427" t="n">
        <v>1</v>
      </c>
      <c r="AD427" t="n">
        <v>6</v>
      </c>
      <c r="AE427" t="n">
        <v>6</v>
      </c>
      <c r="AF427" t="n">
        <v>0</v>
      </c>
      <c r="AG427" t="n">
        <v>0</v>
      </c>
      <c r="AH427" t="n">
        <v>2</v>
      </c>
      <c r="AI427" t="n">
        <v>2</v>
      </c>
      <c r="AJ427" t="n">
        <v>4</v>
      </c>
      <c r="AK427" t="n">
        <v>4</v>
      </c>
      <c r="AL427" t="n">
        <v>0</v>
      </c>
      <c r="AM427" t="n">
        <v>0</v>
      </c>
      <c r="AN427" t="n">
        <v>0</v>
      </c>
      <c r="AO427" t="n">
        <v>0</v>
      </c>
      <c r="AP427" t="inlineStr">
        <is>
          <t>No</t>
        </is>
      </c>
      <c r="AQ427" t="inlineStr">
        <is>
          <t>Yes</t>
        </is>
      </c>
      <c r="AR427">
        <f>HYPERLINK("http://catalog.hathitrust.org/Record/001563782","HathiTrust Record")</f>
        <v/>
      </c>
      <c r="AS427">
        <f>HYPERLINK("https://creighton-primo.hosted.exlibrisgroup.com/primo-explore/search?tab=default_tab&amp;search_scope=EVERYTHING&amp;vid=01CRU&amp;lang=en_US&amp;offset=0&amp;query=any,contains,991003092219702656","Catalog Record")</f>
        <v/>
      </c>
      <c r="AT427">
        <f>HYPERLINK("http://www.worldcat.org/oclc/642270","WorldCat Record")</f>
        <v/>
      </c>
      <c r="AU427" t="inlineStr">
        <is>
          <t>1799869:eng</t>
        </is>
      </c>
      <c r="AV427" t="inlineStr">
        <is>
          <t>642270</t>
        </is>
      </c>
      <c r="AW427" t="inlineStr">
        <is>
          <t>991003092219702656</t>
        </is>
      </c>
      <c r="AX427" t="inlineStr">
        <is>
          <t>991003092219702656</t>
        </is>
      </c>
      <c r="AY427" t="inlineStr">
        <is>
          <t>2262289390002656</t>
        </is>
      </c>
      <c r="AZ427" t="inlineStr">
        <is>
          <t>BOOK</t>
        </is>
      </c>
      <c r="BC427" t="inlineStr">
        <is>
          <t>32285001797884</t>
        </is>
      </c>
      <c r="BD427" t="inlineStr">
        <is>
          <t>893604428</t>
        </is>
      </c>
    </row>
    <row r="428">
      <c r="A428" t="inlineStr">
        <is>
          <t>No</t>
        </is>
      </c>
      <c r="B428" t="inlineStr">
        <is>
          <t>RC449.I7 D65 1992</t>
        </is>
      </c>
      <c r="C428" t="inlineStr">
        <is>
          <t>0                      RC 0449000I  7                  D  65          1992</t>
        </is>
      </c>
      <c r="D428" t="inlineStr">
        <is>
          <t>Majnūn : the madman in medieval Islamic society / Michael W. Dols ; edited by Diana E. Immisch.</t>
        </is>
      </c>
      <c r="F428" t="inlineStr">
        <is>
          <t>No</t>
        </is>
      </c>
      <c r="G428" t="inlineStr">
        <is>
          <t>1</t>
        </is>
      </c>
      <c r="H428" t="inlineStr">
        <is>
          <t>No</t>
        </is>
      </c>
      <c r="I428" t="inlineStr">
        <is>
          <t>No</t>
        </is>
      </c>
      <c r="J428" t="inlineStr">
        <is>
          <t>0</t>
        </is>
      </c>
      <c r="K428" t="inlineStr">
        <is>
          <t>Dols, Michael W. (Michael Walters), 1942-</t>
        </is>
      </c>
      <c r="L428" t="inlineStr">
        <is>
          <t>Oxford : Clarendon Press ; New York : Oxford University Press, 1992.</t>
        </is>
      </c>
      <c r="M428" t="inlineStr">
        <is>
          <t>1992</t>
        </is>
      </c>
      <c r="O428" t="inlineStr">
        <is>
          <t>eng</t>
        </is>
      </c>
      <c r="P428" t="inlineStr">
        <is>
          <t>enk</t>
        </is>
      </c>
      <c r="R428" t="inlineStr">
        <is>
          <t xml:space="preserve">RC </t>
        </is>
      </c>
      <c r="S428" t="n">
        <v>7</v>
      </c>
      <c r="T428" t="n">
        <v>7</v>
      </c>
      <c r="U428" t="inlineStr">
        <is>
          <t>1995-04-02</t>
        </is>
      </c>
      <c r="V428" t="inlineStr">
        <is>
          <t>1995-04-02</t>
        </is>
      </c>
      <c r="W428" t="inlineStr">
        <is>
          <t>1992-11-24</t>
        </is>
      </c>
      <c r="X428" t="inlineStr">
        <is>
          <t>1992-11-24</t>
        </is>
      </c>
      <c r="Y428" t="n">
        <v>233</v>
      </c>
      <c r="Z428" t="n">
        <v>153</v>
      </c>
      <c r="AA428" t="n">
        <v>196</v>
      </c>
      <c r="AB428" t="n">
        <v>2</v>
      </c>
      <c r="AC428" t="n">
        <v>2</v>
      </c>
      <c r="AD428" t="n">
        <v>9</v>
      </c>
      <c r="AE428" t="n">
        <v>11</v>
      </c>
      <c r="AF428" t="n">
        <v>1</v>
      </c>
      <c r="AG428" t="n">
        <v>1</v>
      </c>
      <c r="AH428" t="n">
        <v>4</v>
      </c>
      <c r="AI428" t="n">
        <v>6</v>
      </c>
      <c r="AJ428" t="n">
        <v>6</v>
      </c>
      <c r="AK428" t="n">
        <v>6</v>
      </c>
      <c r="AL428" t="n">
        <v>1</v>
      </c>
      <c r="AM428" t="n">
        <v>1</v>
      </c>
      <c r="AN428" t="n">
        <v>0</v>
      </c>
      <c r="AO428" t="n">
        <v>0</v>
      </c>
      <c r="AP428" t="inlineStr">
        <is>
          <t>No</t>
        </is>
      </c>
      <c r="AQ428" t="inlineStr">
        <is>
          <t>Yes</t>
        </is>
      </c>
      <c r="AR428">
        <f>HYPERLINK("http://catalog.hathitrust.org/Record/002617628","HathiTrust Record")</f>
        <v/>
      </c>
      <c r="AS428">
        <f>HYPERLINK("https://creighton-primo.hosted.exlibrisgroup.com/primo-explore/search?tab=default_tab&amp;search_scope=EVERYTHING&amp;vid=01CRU&amp;lang=en_US&amp;offset=0&amp;query=any,contains,991002020509702656","Catalog Record")</f>
        <v/>
      </c>
      <c r="AT428">
        <f>HYPERLINK("http://www.worldcat.org/oclc/25707836","WorldCat Record")</f>
        <v/>
      </c>
      <c r="AU428" t="inlineStr">
        <is>
          <t>505357484:eng</t>
        </is>
      </c>
      <c r="AV428" t="inlineStr">
        <is>
          <t>25707836</t>
        </is>
      </c>
      <c r="AW428" t="inlineStr">
        <is>
          <t>991002020509702656</t>
        </is>
      </c>
      <c r="AX428" t="inlineStr">
        <is>
          <t>991002020509702656</t>
        </is>
      </c>
      <c r="AY428" t="inlineStr">
        <is>
          <t>2260907780002656</t>
        </is>
      </c>
      <c r="AZ428" t="inlineStr">
        <is>
          <t>BOOK</t>
        </is>
      </c>
      <c r="BB428" t="inlineStr">
        <is>
          <t>9780198202219</t>
        </is>
      </c>
      <c r="BC428" t="inlineStr">
        <is>
          <t>32285001364842</t>
        </is>
      </c>
      <c r="BD428" t="inlineStr">
        <is>
          <t>893347022</t>
        </is>
      </c>
    </row>
    <row r="429">
      <c r="A429" t="inlineStr">
        <is>
          <t>No</t>
        </is>
      </c>
      <c r="B429" t="inlineStr">
        <is>
          <t>RC450.A1 B4</t>
        </is>
      </c>
      <c r="C429" t="inlineStr">
        <is>
          <t>0                      RC 0450000A  1                  B  4</t>
        </is>
      </c>
      <c r="D429" t="inlineStr">
        <is>
          <t>Schizophrenia : a review of the syndrome / with the collaboration of Paul K. Benedict.</t>
        </is>
      </c>
      <c r="F429" t="inlineStr">
        <is>
          <t>No</t>
        </is>
      </c>
      <c r="G429" t="inlineStr">
        <is>
          <t>1</t>
        </is>
      </c>
      <c r="H429" t="inlineStr">
        <is>
          <t>No</t>
        </is>
      </c>
      <c r="I429" t="inlineStr">
        <is>
          <t>No</t>
        </is>
      </c>
      <c r="J429" t="inlineStr">
        <is>
          <t>0</t>
        </is>
      </c>
      <c r="K429" t="inlineStr">
        <is>
          <t>Bellak, Leopold, 1916-2000 editor.</t>
        </is>
      </c>
      <c r="L429" t="inlineStr">
        <is>
          <t>New York : Grune &amp; Stratton, 1958.</t>
        </is>
      </c>
      <c r="M429" t="inlineStr">
        <is>
          <t>1958</t>
        </is>
      </c>
      <c r="O429" t="inlineStr">
        <is>
          <t>eng</t>
        </is>
      </c>
      <c r="P429" t="inlineStr">
        <is>
          <t>nyu</t>
        </is>
      </c>
      <c r="R429" t="inlineStr">
        <is>
          <t xml:space="preserve">RC </t>
        </is>
      </c>
      <c r="S429" t="n">
        <v>12</v>
      </c>
      <c r="T429" t="n">
        <v>12</v>
      </c>
      <c r="U429" t="inlineStr">
        <is>
          <t>2006-03-03</t>
        </is>
      </c>
      <c r="V429" t="inlineStr">
        <is>
          <t>2006-03-03</t>
        </is>
      </c>
      <c r="W429" t="inlineStr">
        <is>
          <t>1992-02-26</t>
        </is>
      </c>
      <c r="X429" t="inlineStr">
        <is>
          <t>1992-02-26</t>
        </is>
      </c>
      <c r="Y429" t="n">
        <v>28</v>
      </c>
      <c r="Z429" t="n">
        <v>26</v>
      </c>
      <c r="AA429" t="n">
        <v>464</v>
      </c>
      <c r="AB429" t="n">
        <v>1</v>
      </c>
      <c r="AC429" t="n">
        <v>5</v>
      </c>
      <c r="AD429" t="n">
        <v>1</v>
      </c>
      <c r="AE429" t="n">
        <v>24</v>
      </c>
      <c r="AF429" t="n">
        <v>0</v>
      </c>
      <c r="AG429" t="n">
        <v>7</v>
      </c>
      <c r="AH429" t="n">
        <v>0</v>
      </c>
      <c r="AI429" t="n">
        <v>5</v>
      </c>
      <c r="AJ429" t="n">
        <v>1</v>
      </c>
      <c r="AK429" t="n">
        <v>12</v>
      </c>
      <c r="AL429" t="n">
        <v>0</v>
      </c>
      <c r="AM429" t="n">
        <v>4</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HYPERLINK("https://creighton-primo.hosted.exlibrisgroup.com/primo-explore/search?tab=default_tab&amp;search_scope=EVERYTHING&amp;vid=01CRU&amp;lang=en_US&amp;offset=0&amp;query=any,contains,991004226469702656","Catalog Record")</f>
        <v/>
      </c>
      <c r="AT429">
        <f>HYPERLINK("http://www.worldcat.org/oclc/2732200","WorldCat Record")</f>
        <v/>
      </c>
      <c r="AU429" t="inlineStr">
        <is>
          <t>144828304:eng</t>
        </is>
      </c>
      <c r="AV429" t="inlineStr">
        <is>
          <t>2732200</t>
        </is>
      </c>
      <c r="AW429" t="inlineStr">
        <is>
          <t>991004226469702656</t>
        </is>
      </c>
      <c r="AX429" t="inlineStr">
        <is>
          <t>991004226469702656</t>
        </is>
      </c>
      <c r="AY429" t="inlineStr">
        <is>
          <t>2255951150002656</t>
        </is>
      </c>
      <c r="AZ429" t="inlineStr">
        <is>
          <t>BOOK</t>
        </is>
      </c>
      <c r="BC429" t="inlineStr">
        <is>
          <t>32285000975507</t>
        </is>
      </c>
      <c r="BD429" t="inlineStr">
        <is>
          <t>893500291</t>
        </is>
      </c>
    </row>
    <row r="430">
      <c r="A430" t="inlineStr">
        <is>
          <t>No</t>
        </is>
      </c>
      <c r="B430" t="inlineStr">
        <is>
          <t>RC450.A1 D6413 1981</t>
        </is>
      </c>
      <c r="C430" t="inlineStr">
        <is>
          <t>0                      RC 0450000A  1                  D  6413        1981</t>
        </is>
      </c>
      <c r="D430" t="inlineStr">
        <is>
          <t>Madmen and the bourgeoisie : a social history of insanity and psychiatry / Klaus Doerner ; translated by Joachim Neugroschel and Jean Steinberg.</t>
        </is>
      </c>
      <c r="F430" t="inlineStr">
        <is>
          <t>No</t>
        </is>
      </c>
      <c r="G430" t="inlineStr">
        <is>
          <t>1</t>
        </is>
      </c>
      <c r="H430" t="inlineStr">
        <is>
          <t>No</t>
        </is>
      </c>
      <c r="I430" t="inlineStr">
        <is>
          <t>No</t>
        </is>
      </c>
      <c r="J430" t="inlineStr">
        <is>
          <t>0</t>
        </is>
      </c>
      <c r="K430" t="inlineStr">
        <is>
          <t>Dörner, Klaus.</t>
        </is>
      </c>
      <c r="L430" t="inlineStr">
        <is>
          <t>Oxford : B. Blackwell, 1981.</t>
        </is>
      </c>
      <c r="M430" t="inlineStr">
        <is>
          <t>1981</t>
        </is>
      </c>
      <c r="O430" t="inlineStr">
        <is>
          <t>eng</t>
        </is>
      </c>
      <c r="P430" t="inlineStr">
        <is>
          <t>enk</t>
        </is>
      </c>
      <c r="R430" t="inlineStr">
        <is>
          <t xml:space="preserve">RC </t>
        </is>
      </c>
      <c r="S430" t="n">
        <v>1</v>
      </c>
      <c r="T430" t="n">
        <v>1</v>
      </c>
      <c r="U430" t="inlineStr">
        <is>
          <t>2003-09-29</t>
        </is>
      </c>
      <c r="V430" t="inlineStr">
        <is>
          <t>2003-09-29</t>
        </is>
      </c>
      <c r="W430" t="inlineStr">
        <is>
          <t>2003-09-29</t>
        </is>
      </c>
      <c r="X430" t="inlineStr">
        <is>
          <t>2003-09-29</t>
        </is>
      </c>
      <c r="Y430" t="n">
        <v>428</v>
      </c>
      <c r="Z430" t="n">
        <v>280</v>
      </c>
      <c r="AA430" t="n">
        <v>282</v>
      </c>
      <c r="AB430" t="n">
        <v>1</v>
      </c>
      <c r="AC430" t="n">
        <v>1</v>
      </c>
      <c r="AD430" t="n">
        <v>11</v>
      </c>
      <c r="AE430" t="n">
        <v>11</v>
      </c>
      <c r="AF430" t="n">
        <v>4</v>
      </c>
      <c r="AG430" t="n">
        <v>4</v>
      </c>
      <c r="AH430" t="n">
        <v>4</v>
      </c>
      <c r="AI430" t="n">
        <v>4</v>
      </c>
      <c r="AJ430" t="n">
        <v>6</v>
      </c>
      <c r="AK430" t="n">
        <v>6</v>
      </c>
      <c r="AL430" t="n">
        <v>0</v>
      </c>
      <c r="AM430" t="n">
        <v>0</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HYPERLINK("https://creighton-primo.hosted.exlibrisgroup.com/primo-explore/search?tab=default_tab&amp;search_scope=EVERYTHING&amp;vid=01CRU&amp;lang=en_US&amp;offset=0&amp;query=any,contains,991004139589702656","Catalog Record")</f>
        <v/>
      </c>
      <c r="AT430">
        <f>HYPERLINK("http://www.worldcat.org/oclc/7912397","WorldCat Record")</f>
        <v/>
      </c>
      <c r="AU430" t="inlineStr">
        <is>
          <t>3901242195:eng</t>
        </is>
      </c>
      <c r="AV430" t="inlineStr">
        <is>
          <t>7912397</t>
        </is>
      </c>
      <c r="AW430" t="inlineStr">
        <is>
          <t>991004139589702656</t>
        </is>
      </c>
      <c r="AX430" t="inlineStr">
        <is>
          <t>991004139589702656</t>
        </is>
      </c>
      <c r="AY430" t="inlineStr">
        <is>
          <t>2270606240002656</t>
        </is>
      </c>
      <c r="AZ430" t="inlineStr">
        <is>
          <t>BOOK</t>
        </is>
      </c>
      <c r="BB430" t="inlineStr">
        <is>
          <t>9780631101819</t>
        </is>
      </c>
      <c r="BC430" t="inlineStr">
        <is>
          <t>32285004785662</t>
        </is>
      </c>
      <c r="BD430" t="inlineStr">
        <is>
          <t>893882105</t>
        </is>
      </c>
    </row>
    <row r="431">
      <c r="A431" t="inlineStr">
        <is>
          <t>No</t>
        </is>
      </c>
      <c r="B431" t="inlineStr">
        <is>
          <t>RC450.G72 N673 2003</t>
        </is>
      </c>
      <c r="C431" t="inlineStr">
        <is>
          <t>0                      RC 0450000G  72                 N  673         2003</t>
        </is>
      </c>
      <c r="D431" t="inlineStr">
        <is>
          <t>Mental health care in modern England : the Norfolk Lunatic Asylum/St. Andrew's Hospital c. 1810-1998 / Steven Cherry.</t>
        </is>
      </c>
      <c r="F431" t="inlineStr">
        <is>
          <t>No</t>
        </is>
      </c>
      <c r="G431" t="inlineStr">
        <is>
          <t>1</t>
        </is>
      </c>
      <c r="H431" t="inlineStr">
        <is>
          <t>No</t>
        </is>
      </c>
      <c r="I431" t="inlineStr">
        <is>
          <t>No</t>
        </is>
      </c>
      <c r="J431" t="inlineStr">
        <is>
          <t>0</t>
        </is>
      </c>
      <c r="K431" t="inlineStr">
        <is>
          <t>Cherry, Steven.</t>
        </is>
      </c>
      <c r="L431" t="inlineStr">
        <is>
          <t>Woodbridge, Suffolk, UK ; Rochester, N.Y. : Boydell Press, 2003.</t>
        </is>
      </c>
      <c r="M431" t="inlineStr">
        <is>
          <t>2003</t>
        </is>
      </c>
      <c r="O431" t="inlineStr">
        <is>
          <t>eng</t>
        </is>
      </c>
      <c r="P431" t="inlineStr">
        <is>
          <t>enk</t>
        </is>
      </c>
      <c r="R431" t="inlineStr">
        <is>
          <t xml:space="preserve">RC </t>
        </is>
      </c>
      <c r="S431" t="n">
        <v>1</v>
      </c>
      <c r="T431" t="n">
        <v>1</v>
      </c>
      <c r="U431" t="inlineStr">
        <is>
          <t>2004-09-30</t>
        </is>
      </c>
      <c r="V431" t="inlineStr">
        <is>
          <t>2004-09-30</t>
        </is>
      </c>
      <c r="W431" t="inlineStr">
        <is>
          <t>2004-09-30</t>
        </is>
      </c>
      <c r="X431" t="inlineStr">
        <is>
          <t>2004-09-30</t>
        </is>
      </c>
      <c r="Y431" t="n">
        <v>107</v>
      </c>
      <c r="Z431" t="n">
        <v>76</v>
      </c>
      <c r="AA431" t="n">
        <v>622</v>
      </c>
      <c r="AB431" t="n">
        <v>1</v>
      </c>
      <c r="AC431" t="n">
        <v>29</v>
      </c>
      <c r="AD431" t="n">
        <v>6</v>
      </c>
      <c r="AE431" t="n">
        <v>30</v>
      </c>
      <c r="AF431" t="n">
        <v>1</v>
      </c>
      <c r="AG431" t="n">
        <v>9</v>
      </c>
      <c r="AH431" t="n">
        <v>2</v>
      </c>
      <c r="AI431" t="n">
        <v>5</v>
      </c>
      <c r="AJ431" t="n">
        <v>6</v>
      </c>
      <c r="AK431" t="n">
        <v>13</v>
      </c>
      <c r="AL431" t="n">
        <v>0</v>
      </c>
      <c r="AM431" t="n">
        <v>10</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HYPERLINK("https://creighton-primo.hosted.exlibrisgroup.com/primo-explore/search?tab=default_tab&amp;search_scope=EVERYTHING&amp;vid=01CRU&amp;lang=en_US&amp;offset=0&amp;query=any,contains,991004363959702656","Catalog Record")</f>
        <v/>
      </c>
      <c r="AT431">
        <f>HYPERLINK("http://www.worldcat.org/oclc/50334045","WorldCat Record")</f>
        <v/>
      </c>
      <c r="AU431" t="inlineStr">
        <is>
          <t>1028852:eng</t>
        </is>
      </c>
      <c r="AV431" t="inlineStr">
        <is>
          <t>50334045</t>
        </is>
      </c>
      <c r="AW431" t="inlineStr">
        <is>
          <t>991004363959702656</t>
        </is>
      </c>
      <c r="AX431" t="inlineStr">
        <is>
          <t>991004363959702656</t>
        </is>
      </c>
      <c r="AY431" t="inlineStr">
        <is>
          <t>2261078660002656</t>
        </is>
      </c>
      <c r="AZ431" t="inlineStr">
        <is>
          <t>BOOK</t>
        </is>
      </c>
      <c r="BB431" t="inlineStr">
        <is>
          <t>9780851159201</t>
        </is>
      </c>
      <c r="BC431" t="inlineStr">
        <is>
          <t>32285005000293</t>
        </is>
      </c>
      <c r="BD431" t="inlineStr">
        <is>
          <t>893612258</t>
        </is>
      </c>
    </row>
    <row r="432">
      <c r="A432" t="inlineStr">
        <is>
          <t>No</t>
        </is>
      </c>
      <c r="B432" t="inlineStr">
        <is>
          <t>RC451.4.A5 H38 1992</t>
        </is>
      </c>
      <c r="C432" t="inlineStr">
        <is>
          <t>0                      RC 0451400A  5                  H  38          1992</t>
        </is>
      </c>
      <c r="D432" t="inlineStr">
        <is>
          <t>Handbook of mental health and aging / editors, James E. Birren, R. Bruce Sloane, Gene D. Cohen ; associate editors, Nancy R. Hooyman, Barry D. Lebowitz, May Wykle.</t>
        </is>
      </c>
      <c r="F432" t="inlineStr">
        <is>
          <t>No</t>
        </is>
      </c>
      <c r="G432" t="inlineStr">
        <is>
          <t>1</t>
        </is>
      </c>
      <c r="H432" t="inlineStr">
        <is>
          <t>Yes</t>
        </is>
      </c>
      <c r="I432" t="inlineStr">
        <is>
          <t>No</t>
        </is>
      </c>
      <c r="J432" t="inlineStr">
        <is>
          <t>0</t>
        </is>
      </c>
      <c r="L432" t="inlineStr">
        <is>
          <t>San Diego : Academic Press, c1992.</t>
        </is>
      </c>
      <c r="M432" t="inlineStr">
        <is>
          <t>1992</t>
        </is>
      </c>
      <c r="N432" t="inlineStr">
        <is>
          <t>2nd ed.</t>
        </is>
      </c>
      <c r="O432" t="inlineStr">
        <is>
          <t>eng</t>
        </is>
      </c>
      <c r="P432" t="inlineStr">
        <is>
          <t>cau</t>
        </is>
      </c>
      <c r="R432" t="inlineStr">
        <is>
          <t xml:space="preserve">RC </t>
        </is>
      </c>
      <c r="S432" t="n">
        <v>16</v>
      </c>
      <c r="T432" t="n">
        <v>25</v>
      </c>
      <c r="U432" t="inlineStr">
        <is>
          <t>2001-12-05</t>
        </is>
      </c>
      <c r="V432" t="inlineStr">
        <is>
          <t>2001-12-05</t>
        </is>
      </c>
      <c r="W432" t="inlineStr">
        <is>
          <t>1992-09-14</t>
        </is>
      </c>
      <c r="X432" t="inlineStr">
        <is>
          <t>1992-09-14</t>
        </is>
      </c>
      <c r="Y432" t="n">
        <v>506</v>
      </c>
      <c r="Z432" t="n">
        <v>377</v>
      </c>
      <c r="AA432" t="n">
        <v>676</v>
      </c>
      <c r="AB432" t="n">
        <v>4</v>
      </c>
      <c r="AC432" t="n">
        <v>5</v>
      </c>
      <c r="AD432" t="n">
        <v>18</v>
      </c>
      <c r="AE432" t="n">
        <v>28</v>
      </c>
      <c r="AF432" t="n">
        <v>6</v>
      </c>
      <c r="AG432" t="n">
        <v>11</v>
      </c>
      <c r="AH432" t="n">
        <v>5</v>
      </c>
      <c r="AI432" t="n">
        <v>7</v>
      </c>
      <c r="AJ432" t="n">
        <v>13</v>
      </c>
      <c r="AK432" t="n">
        <v>16</v>
      </c>
      <c r="AL432" t="n">
        <v>2</v>
      </c>
      <c r="AM432" t="n">
        <v>3</v>
      </c>
      <c r="AN432" t="n">
        <v>0</v>
      </c>
      <c r="AO432" t="n">
        <v>0</v>
      </c>
      <c r="AP432" t="inlineStr">
        <is>
          <t>No</t>
        </is>
      </c>
      <c r="AQ432" t="inlineStr">
        <is>
          <t>Yes</t>
        </is>
      </c>
      <c r="AR432">
        <f>HYPERLINK("http://catalog.hathitrust.org/Record/002514735","HathiTrust Record")</f>
        <v/>
      </c>
      <c r="AS432">
        <f>HYPERLINK("https://creighton-primo.hosted.exlibrisgroup.com/primo-explore/search?tab=default_tab&amp;search_scope=EVERYTHING&amp;vid=01CRU&amp;lang=en_US&amp;offset=0&amp;query=any,contains,991001793879702656","Catalog Record")</f>
        <v/>
      </c>
      <c r="AT432">
        <f>HYPERLINK("http://www.worldcat.org/oclc/24701105","WorldCat Record")</f>
        <v/>
      </c>
      <c r="AU432" t="inlineStr">
        <is>
          <t>54338416:eng</t>
        </is>
      </c>
      <c r="AV432" t="inlineStr">
        <is>
          <t>24701105</t>
        </is>
      </c>
      <c r="AW432" t="inlineStr">
        <is>
          <t>991001793879702656</t>
        </is>
      </c>
      <c r="AX432" t="inlineStr">
        <is>
          <t>991001793879702656</t>
        </is>
      </c>
      <c r="AY432" t="inlineStr">
        <is>
          <t>2268979890002656</t>
        </is>
      </c>
      <c r="AZ432" t="inlineStr">
        <is>
          <t>BOOK</t>
        </is>
      </c>
      <c r="BB432" t="inlineStr">
        <is>
          <t>9780121012779</t>
        </is>
      </c>
      <c r="BC432" t="inlineStr">
        <is>
          <t>32285001286599</t>
        </is>
      </c>
      <c r="BD432" t="inlineStr">
        <is>
          <t>893256521</t>
        </is>
      </c>
    </row>
    <row r="433">
      <c r="A433" t="inlineStr">
        <is>
          <t>No</t>
        </is>
      </c>
      <c r="B433" t="inlineStr">
        <is>
          <t>RC451.4.A5 H87 1981</t>
        </is>
      </c>
      <c r="C433" t="inlineStr">
        <is>
          <t>0                      RC 0451400A  5                  H  87          1981</t>
        </is>
      </c>
      <c r="D433" t="inlineStr">
        <is>
          <t>Geriatric psychology : a behavioral perspective / Richard A. Hussian.</t>
        </is>
      </c>
      <c r="F433" t="inlineStr">
        <is>
          <t>No</t>
        </is>
      </c>
      <c r="G433" t="inlineStr">
        <is>
          <t>1</t>
        </is>
      </c>
      <c r="H433" t="inlineStr">
        <is>
          <t>Yes</t>
        </is>
      </c>
      <c r="I433" t="inlineStr">
        <is>
          <t>No</t>
        </is>
      </c>
      <c r="J433" t="inlineStr">
        <is>
          <t>0</t>
        </is>
      </c>
      <c r="K433" t="inlineStr">
        <is>
          <t>Hussian, Richard A.</t>
        </is>
      </c>
      <c r="L433" t="inlineStr">
        <is>
          <t>New York : Van Nostrand Reinhold, c1981.</t>
        </is>
      </c>
      <c r="M433" t="inlineStr">
        <is>
          <t>1981</t>
        </is>
      </c>
      <c r="O433" t="inlineStr">
        <is>
          <t>eng</t>
        </is>
      </c>
      <c r="P433" t="inlineStr">
        <is>
          <t>nyu</t>
        </is>
      </c>
      <c r="R433" t="inlineStr">
        <is>
          <t xml:space="preserve">RC </t>
        </is>
      </c>
      <c r="S433" t="n">
        <v>6</v>
      </c>
      <c r="T433" t="n">
        <v>6</v>
      </c>
      <c r="U433" t="inlineStr">
        <is>
          <t>1997-09-09</t>
        </is>
      </c>
      <c r="V433" t="inlineStr">
        <is>
          <t>1997-09-09</t>
        </is>
      </c>
      <c r="W433" t="inlineStr">
        <is>
          <t>1993-03-19</t>
        </is>
      </c>
      <c r="X433" t="inlineStr">
        <is>
          <t>1993-03-19</t>
        </is>
      </c>
      <c r="Y433" t="n">
        <v>432</v>
      </c>
      <c r="Z433" t="n">
        <v>371</v>
      </c>
      <c r="AA433" t="n">
        <v>378</v>
      </c>
      <c r="AB433" t="n">
        <v>3</v>
      </c>
      <c r="AC433" t="n">
        <v>3</v>
      </c>
      <c r="AD433" t="n">
        <v>15</v>
      </c>
      <c r="AE433" t="n">
        <v>15</v>
      </c>
      <c r="AF433" t="n">
        <v>6</v>
      </c>
      <c r="AG433" t="n">
        <v>6</v>
      </c>
      <c r="AH433" t="n">
        <v>4</v>
      </c>
      <c r="AI433" t="n">
        <v>4</v>
      </c>
      <c r="AJ433" t="n">
        <v>10</v>
      </c>
      <c r="AK433" t="n">
        <v>10</v>
      </c>
      <c r="AL433" t="n">
        <v>1</v>
      </c>
      <c r="AM433" t="n">
        <v>1</v>
      </c>
      <c r="AN433" t="n">
        <v>0</v>
      </c>
      <c r="AO433" t="n">
        <v>0</v>
      </c>
      <c r="AP433" t="inlineStr">
        <is>
          <t>No</t>
        </is>
      </c>
      <c r="AQ433" t="inlineStr">
        <is>
          <t>Yes</t>
        </is>
      </c>
      <c r="AR433">
        <f>HYPERLINK("http://catalog.hathitrust.org/Record/000139696","HathiTrust Record")</f>
        <v/>
      </c>
      <c r="AS433">
        <f>HYPERLINK("https://creighton-primo.hosted.exlibrisgroup.com/primo-explore/search?tab=default_tab&amp;search_scope=EVERYTHING&amp;vid=01CRU&amp;lang=en_US&amp;offset=0&amp;query=any,contains,991005112589702656","Catalog Record")</f>
        <v/>
      </c>
      <c r="AT433">
        <f>HYPERLINK("http://www.worldcat.org/oclc/7459500","WorldCat Record")</f>
        <v/>
      </c>
      <c r="AU433" t="inlineStr">
        <is>
          <t>427119184:eng</t>
        </is>
      </c>
      <c r="AV433" t="inlineStr">
        <is>
          <t>7459500</t>
        </is>
      </c>
      <c r="AW433" t="inlineStr">
        <is>
          <t>991005112589702656</t>
        </is>
      </c>
      <c r="AX433" t="inlineStr">
        <is>
          <t>991005112589702656</t>
        </is>
      </c>
      <c r="AY433" t="inlineStr">
        <is>
          <t>2255348180002656</t>
        </is>
      </c>
      <c r="AZ433" t="inlineStr">
        <is>
          <t>BOOK</t>
        </is>
      </c>
      <c r="BB433" t="inlineStr">
        <is>
          <t>9780442219161</t>
        </is>
      </c>
      <c r="BC433" t="inlineStr">
        <is>
          <t>32285001605509</t>
        </is>
      </c>
      <c r="BD433" t="inlineStr">
        <is>
          <t>893719793</t>
        </is>
      </c>
    </row>
    <row r="434">
      <c r="A434" t="inlineStr">
        <is>
          <t>No</t>
        </is>
      </c>
      <c r="B434" t="inlineStr">
        <is>
          <t>RC451.4.A5 H88 1985</t>
        </is>
      </c>
      <c r="C434" t="inlineStr">
        <is>
          <t>0                      RC 0451400A  5                  H  88          1985</t>
        </is>
      </c>
      <c r="D434" t="inlineStr">
        <is>
          <t>Responsive care : behavioral interventions with elderly persons / Richard A. Hussian, Ronald L. Davis.</t>
        </is>
      </c>
      <c r="F434" t="inlineStr">
        <is>
          <t>No</t>
        </is>
      </c>
      <c r="G434" t="inlineStr">
        <is>
          <t>1</t>
        </is>
      </c>
      <c r="H434" t="inlineStr">
        <is>
          <t>No</t>
        </is>
      </c>
      <c r="I434" t="inlineStr">
        <is>
          <t>No</t>
        </is>
      </c>
      <c r="J434" t="inlineStr">
        <is>
          <t>0</t>
        </is>
      </c>
      <c r="K434" t="inlineStr">
        <is>
          <t>Hussian, Richard A.</t>
        </is>
      </c>
      <c r="L434" t="inlineStr">
        <is>
          <t>Champaign, Ill. : Research Press, c1985.</t>
        </is>
      </c>
      <c r="M434" t="inlineStr">
        <is>
          <t>1985</t>
        </is>
      </c>
      <c r="O434" t="inlineStr">
        <is>
          <t>eng</t>
        </is>
      </c>
      <c r="P434" t="inlineStr">
        <is>
          <t>ilu</t>
        </is>
      </c>
      <c r="R434" t="inlineStr">
        <is>
          <t xml:space="preserve">RC </t>
        </is>
      </c>
      <c r="S434" t="n">
        <v>6</v>
      </c>
      <c r="T434" t="n">
        <v>6</v>
      </c>
      <c r="U434" t="inlineStr">
        <is>
          <t>1997-09-09</t>
        </is>
      </c>
      <c r="V434" t="inlineStr">
        <is>
          <t>1997-09-09</t>
        </is>
      </c>
      <c r="W434" t="inlineStr">
        <is>
          <t>1993-03-19</t>
        </is>
      </c>
      <c r="X434" t="inlineStr">
        <is>
          <t>1993-03-19</t>
        </is>
      </c>
      <c r="Y434" t="n">
        <v>294</v>
      </c>
      <c r="Z434" t="n">
        <v>253</v>
      </c>
      <c r="AA434" t="n">
        <v>260</v>
      </c>
      <c r="AB434" t="n">
        <v>4</v>
      </c>
      <c r="AC434" t="n">
        <v>4</v>
      </c>
      <c r="AD434" t="n">
        <v>11</v>
      </c>
      <c r="AE434" t="n">
        <v>11</v>
      </c>
      <c r="AF434" t="n">
        <v>4</v>
      </c>
      <c r="AG434" t="n">
        <v>4</v>
      </c>
      <c r="AH434" t="n">
        <v>3</v>
      </c>
      <c r="AI434" t="n">
        <v>3</v>
      </c>
      <c r="AJ434" t="n">
        <v>5</v>
      </c>
      <c r="AK434" t="n">
        <v>5</v>
      </c>
      <c r="AL434" t="n">
        <v>3</v>
      </c>
      <c r="AM434" t="n">
        <v>3</v>
      </c>
      <c r="AN434" t="n">
        <v>0</v>
      </c>
      <c r="AO434" t="n">
        <v>0</v>
      </c>
      <c r="AP434" t="inlineStr">
        <is>
          <t>No</t>
        </is>
      </c>
      <c r="AQ434" t="inlineStr">
        <is>
          <t>Yes</t>
        </is>
      </c>
      <c r="AR434">
        <f>HYPERLINK("http://catalog.hathitrust.org/Record/000473988","HathiTrust Record")</f>
        <v/>
      </c>
      <c r="AS434">
        <f>HYPERLINK("https://creighton-primo.hosted.exlibrisgroup.com/primo-explore/search?tab=default_tab&amp;search_scope=EVERYTHING&amp;vid=01CRU&amp;lang=en_US&amp;offset=0&amp;query=any,contains,991005292709702656","Catalog Record")</f>
        <v/>
      </c>
      <c r="AT434">
        <f>HYPERLINK("http://www.worldcat.org/oclc/12638636","WorldCat Record")</f>
        <v/>
      </c>
      <c r="AU434" t="inlineStr">
        <is>
          <t>889534976:eng</t>
        </is>
      </c>
      <c r="AV434" t="inlineStr">
        <is>
          <t>12638636</t>
        </is>
      </c>
      <c r="AW434" t="inlineStr">
        <is>
          <t>991005292709702656</t>
        </is>
      </c>
      <c r="AX434" t="inlineStr">
        <is>
          <t>991005292709702656</t>
        </is>
      </c>
      <c r="AY434" t="inlineStr">
        <is>
          <t>2260695660002656</t>
        </is>
      </c>
      <c r="AZ434" t="inlineStr">
        <is>
          <t>BOOK</t>
        </is>
      </c>
      <c r="BB434" t="inlineStr">
        <is>
          <t>9780878222452</t>
        </is>
      </c>
      <c r="BC434" t="inlineStr">
        <is>
          <t>32285001605517</t>
        </is>
      </c>
      <c r="BD434" t="inlineStr">
        <is>
          <t>893236605</t>
        </is>
      </c>
    </row>
    <row r="435">
      <c r="A435" t="inlineStr">
        <is>
          <t>No</t>
        </is>
      </c>
      <c r="B435" t="inlineStr">
        <is>
          <t>RC451.4.A5 L46 1990</t>
        </is>
      </c>
      <c r="C435" t="inlineStr">
        <is>
          <t>0                      RC 0451400A  5                  L  46          1990</t>
        </is>
      </c>
      <c r="D435" t="inlineStr">
        <is>
          <t>Psychological care in old age / Nicholas R.C. Leng.</t>
        </is>
      </c>
      <c r="F435" t="inlineStr">
        <is>
          <t>No</t>
        </is>
      </c>
      <c r="G435" t="inlineStr">
        <is>
          <t>1</t>
        </is>
      </c>
      <c r="H435" t="inlineStr">
        <is>
          <t>No</t>
        </is>
      </c>
      <c r="I435" t="inlineStr">
        <is>
          <t>No</t>
        </is>
      </c>
      <c r="J435" t="inlineStr">
        <is>
          <t>0</t>
        </is>
      </c>
      <c r="K435" t="inlineStr">
        <is>
          <t>Leng, Nicholas R. C.</t>
        </is>
      </c>
      <c r="L435" t="inlineStr">
        <is>
          <t>New York : Hemisphere Pub. Corp., c1990.</t>
        </is>
      </c>
      <c r="M435" t="inlineStr">
        <is>
          <t>1990</t>
        </is>
      </c>
      <c r="O435" t="inlineStr">
        <is>
          <t>eng</t>
        </is>
      </c>
      <c r="P435" t="inlineStr">
        <is>
          <t>nyu</t>
        </is>
      </c>
      <c r="Q435" t="inlineStr">
        <is>
          <t>Series in death education, aging, and health care, 0275-3510</t>
        </is>
      </c>
      <c r="R435" t="inlineStr">
        <is>
          <t xml:space="preserve">RC </t>
        </is>
      </c>
      <c r="S435" t="n">
        <v>10</v>
      </c>
      <c r="T435" t="n">
        <v>10</v>
      </c>
      <c r="U435" t="inlineStr">
        <is>
          <t>1998-09-29</t>
        </is>
      </c>
      <c r="V435" t="inlineStr">
        <is>
          <t>1998-09-29</t>
        </is>
      </c>
      <c r="W435" t="inlineStr">
        <is>
          <t>1991-02-08</t>
        </is>
      </c>
      <c r="X435" t="inlineStr">
        <is>
          <t>1991-02-08</t>
        </is>
      </c>
      <c r="Y435" t="n">
        <v>249</v>
      </c>
      <c r="Z435" t="n">
        <v>193</v>
      </c>
      <c r="AA435" t="n">
        <v>193</v>
      </c>
      <c r="AB435" t="n">
        <v>4</v>
      </c>
      <c r="AC435" t="n">
        <v>4</v>
      </c>
      <c r="AD435" t="n">
        <v>8</v>
      </c>
      <c r="AE435" t="n">
        <v>8</v>
      </c>
      <c r="AF435" t="n">
        <v>1</v>
      </c>
      <c r="AG435" t="n">
        <v>1</v>
      </c>
      <c r="AH435" t="n">
        <v>2</v>
      </c>
      <c r="AI435" t="n">
        <v>2</v>
      </c>
      <c r="AJ435" t="n">
        <v>3</v>
      </c>
      <c r="AK435" t="n">
        <v>3</v>
      </c>
      <c r="AL435" t="n">
        <v>3</v>
      </c>
      <c r="AM435" t="n">
        <v>3</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HYPERLINK("https://creighton-primo.hosted.exlibrisgroup.com/primo-explore/search?tab=default_tab&amp;search_scope=EVERYTHING&amp;vid=01CRU&amp;lang=en_US&amp;offset=0&amp;query=any,contains,991001625979702656","Catalog Record")</f>
        <v/>
      </c>
      <c r="AT435">
        <f>HYPERLINK("http://www.worldcat.org/oclc/20852618","WorldCat Record")</f>
        <v/>
      </c>
      <c r="AU435" t="inlineStr">
        <is>
          <t>22024728:eng</t>
        </is>
      </c>
      <c r="AV435" t="inlineStr">
        <is>
          <t>20852618</t>
        </is>
      </c>
      <c r="AW435" t="inlineStr">
        <is>
          <t>991001625979702656</t>
        </is>
      </c>
      <c r="AX435" t="inlineStr">
        <is>
          <t>991001625979702656</t>
        </is>
      </c>
      <c r="AY435" t="inlineStr">
        <is>
          <t>2264980980002656</t>
        </is>
      </c>
      <c r="AZ435" t="inlineStr">
        <is>
          <t>BOOK</t>
        </is>
      </c>
      <c r="BB435" t="inlineStr">
        <is>
          <t>9781560320494</t>
        </is>
      </c>
      <c r="BC435" t="inlineStr">
        <is>
          <t>32285000463710</t>
        </is>
      </c>
      <c r="BD435" t="inlineStr">
        <is>
          <t>893444730</t>
        </is>
      </c>
    </row>
    <row r="436">
      <c r="A436" t="inlineStr">
        <is>
          <t>No</t>
        </is>
      </c>
      <c r="B436" t="inlineStr">
        <is>
          <t>RC451.4.A5 O84 1985</t>
        </is>
      </c>
      <c r="C436" t="inlineStr">
        <is>
          <t>0                      RC 0451400A  5                  O  84          1985</t>
        </is>
      </c>
      <c r="D436" t="inlineStr">
        <is>
          <t>Suicide in the elderly : a practioner's guide to diagnosis and mental health intervention / Nancy J. Osgood.</t>
        </is>
      </c>
      <c r="F436" t="inlineStr">
        <is>
          <t>No</t>
        </is>
      </c>
      <c r="G436" t="inlineStr">
        <is>
          <t>1</t>
        </is>
      </c>
      <c r="H436" t="inlineStr">
        <is>
          <t>Yes</t>
        </is>
      </c>
      <c r="I436" t="inlineStr">
        <is>
          <t>No</t>
        </is>
      </c>
      <c r="J436" t="inlineStr">
        <is>
          <t>0</t>
        </is>
      </c>
      <c r="K436" t="inlineStr">
        <is>
          <t>Osgood, Nancy J.</t>
        </is>
      </c>
      <c r="L436" t="inlineStr">
        <is>
          <t>Rockville, Md. : Aspen Systems Corp., 1985.</t>
        </is>
      </c>
      <c r="M436" t="inlineStr">
        <is>
          <t>1985</t>
        </is>
      </c>
      <c r="O436" t="inlineStr">
        <is>
          <t>eng</t>
        </is>
      </c>
      <c r="P436" t="inlineStr">
        <is>
          <t>mdu</t>
        </is>
      </c>
      <c r="R436" t="inlineStr">
        <is>
          <t xml:space="preserve">RC </t>
        </is>
      </c>
      <c r="S436" t="n">
        <v>6</v>
      </c>
      <c r="T436" t="n">
        <v>10</v>
      </c>
      <c r="U436" t="inlineStr">
        <is>
          <t>2005-10-03</t>
        </is>
      </c>
      <c r="V436" t="inlineStr">
        <is>
          <t>2005-10-03</t>
        </is>
      </c>
      <c r="W436" t="inlineStr">
        <is>
          <t>1990-03-20</t>
        </is>
      </c>
      <c r="X436" t="inlineStr">
        <is>
          <t>1990-03-20</t>
        </is>
      </c>
      <c r="Y436" t="n">
        <v>373</v>
      </c>
      <c r="Z436" t="n">
        <v>339</v>
      </c>
      <c r="AA436" t="n">
        <v>365</v>
      </c>
      <c r="AB436" t="n">
        <v>3</v>
      </c>
      <c r="AC436" t="n">
        <v>3</v>
      </c>
      <c r="AD436" t="n">
        <v>10</v>
      </c>
      <c r="AE436" t="n">
        <v>11</v>
      </c>
      <c r="AF436" t="n">
        <v>5</v>
      </c>
      <c r="AG436" t="n">
        <v>5</v>
      </c>
      <c r="AH436" t="n">
        <v>0</v>
      </c>
      <c r="AI436" t="n">
        <v>1</v>
      </c>
      <c r="AJ436" t="n">
        <v>6</v>
      </c>
      <c r="AK436" t="n">
        <v>7</v>
      </c>
      <c r="AL436" t="n">
        <v>1</v>
      </c>
      <c r="AM436" t="n">
        <v>1</v>
      </c>
      <c r="AN436" t="n">
        <v>0</v>
      </c>
      <c r="AO436" t="n">
        <v>0</v>
      </c>
      <c r="AP436" t="inlineStr">
        <is>
          <t>No</t>
        </is>
      </c>
      <c r="AQ436" t="inlineStr">
        <is>
          <t>Yes</t>
        </is>
      </c>
      <c r="AR436">
        <f>HYPERLINK("http://catalog.hathitrust.org/Record/000344697","HathiTrust Record")</f>
        <v/>
      </c>
      <c r="AS436">
        <f>HYPERLINK("https://creighton-primo.hosted.exlibrisgroup.com/primo-explore/search?tab=default_tab&amp;search_scope=EVERYTHING&amp;vid=01CRU&amp;lang=en_US&amp;offset=0&amp;query=any,contains,991001767179702656","Catalog Record")</f>
        <v/>
      </c>
      <c r="AT436">
        <f>HYPERLINK("http://www.worldcat.org/oclc/11677210","WorldCat Record")</f>
        <v/>
      </c>
      <c r="AU436" t="inlineStr">
        <is>
          <t>197889465:eng</t>
        </is>
      </c>
      <c r="AV436" t="inlineStr">
        <is>
          <t>11677210</t>
        </is>
      </c>
      <c r="AW436" t="inlineStr">
        <is>
          <t>991001767179702656</t>
        </is>
      </c>
      <c r="AX436" t="inlineStr">
        <is>
          <t>991001767179702656</t>
        </is>
      </c>
      <c r="AY436" t="inlineStr">
        <is>
          <t>2255179860002656</t>
        </is>
      </c>
      <c r="AZ436" t="inlineStr">
        <is>
          <t>BOOK</t>
        </is>
      </c>
      <c r="BB436" t="inlineStr">
        <is>
          <t>9780871890887</t>
        </is>
      </c>
      <c r="BC436" t="inlineStr">
        <is>
          <t>32285000088517</t>
        </is>
      </c>
      <c r="BD436" t="inlineStr">
        <is>
          <t>893509894</t>
        </is>
      </c>
    </row>
    <row r="437">
      <c r="A437" t="inlineStr">
        <is>
          <t>No</t>
        </is>
      </c>
      <c r="B437" t="inlineStr">
        <is>
          <t>RC451.4.A5 P45</t>
        </is>
      </c>
      <c r="C437" t="inlineStr">
        <is>
          <t>0                      RC 0451400A  5                  P  45</t>
        </is>
      </c>
      <c r="D437" t="inlineStr">
        <is>
          <t>Physicians' handbook on psychotherapeutic drug use in the aged / edited by Thomas Crook and Gene D. Cohen.</t>
        </is>
      </c>
      <c r="F437" t="inlineStr">
        <is>
          <t>No</t>
        </is>
      </c>
      <c r="G437" t="inlineStr">
        <is>
          <t>1</t>
        </is>
      </c>
      <c r="H437" t="inlineStr">
        <is>
          <t>No</t>
        </is>
      </c>
      <c r="I437" t="inlineStr">
        <is>
          <t>No</t>
        </is>
      </c>
      <c r="J437" t="inlineStr">
        <is>
          <t>0</t>
        </is>
      </c>
      <c r="L437" t="inlineStr">
        <is>
          <t>New Canaan, Conn. : Mark Powley Associates, c1981.</t>
        </is>
      </c>
      <c r="M437" t="inlineStr">
        <is>
          <t>1981</t>
        </is>
      </c>
      <c r="O437" t="inlineStr">
        <is>
          <t>eng</t>
        </is>
      </c>
      <c r="P437" t="inlineStr">
        <is>
          <t>ctu</t>
        </is>
      </c>
      <c r="R437" t="inlineStr">
        <is>
          <t xml:space="preserve">RC </t>
        </is>
      </c>
      <c r="S437" t="n">
        <v>7</v>
      </c>
      <c r="T437" t="n">
        <v>7</v>
      </c>
      <c r="U437" t="inlineStr">
        <is>
          <t>1999-03-15</t>
        </is>
      </c>
      <c r="V437" t="inlineStr">
        <is>
          <t>1999-03-15</t>
        </is>
      </c>
      <c r="W437" t="inlineStr">
        <is>
          <t>1993-03-19</t>
        </is>
      </c>
      <c r="X437" t="inlineStr">
        <is>
          <t>1993-03-19</t>
        </is>
      </c>
      <c r="Y437" t="n">
        <v>32</v>
      </c>
      <c r="Z437" t="n">
        <v>31</v>
      </c>
      <c r="AA437" t="n">
        <v>33</v>
      </c>
      <c r="AB437" t="n">
        <v>1</v>
      </c>
      <c r="AC437" t="n">
        <v>1</v>
      </c>
      <c r="AD437" t="n">
        <v>0</v>
      </c>
      <c r="AE437" t="n">
        <v>0</v>
      </c>
      <c r="AF437" t="n">
        <v>0</v>
      </c>
      <c r="AG437" t="n">
        <v>0</v>
      </c>
      <c r="AH437" t="n">
        <v>0</v>
      </c>
      <c r="AI437" t="n">
        <v>0</v>
      </c>
      <c r="AJ437" t="n">
        <v>0</v>
      </c>
      <c r="AK437" t="n">
        <v>0</v>
      </c>
      <c r="AL437" t="n">
        <v>0</v>
      </c>
      <c r="AM437" t="n">
        <v>0</v>
      </c>
      <c r="AN437" t="n">
        <v>0</v>
      </c>
      <c r="AO437" t="n">
        <v>0</v>
      </c>
      <c r="AP437" t="inlineStr">
        <is>
          <t>No</t>
        </is>
      </c>
      <c r="AQ437" t="inlineStr">
        <is>
          <t>Yes</t>
        </is>
      </c>
      <c r="AR437">
        <f>HYPERLINK("http://catalog.hathitrust.org/Record/000226905","HathiTrust Record")</f>
        <v/>
      </c>
      <c r="AS437">
        <f>HYPERLINK("https://creighton-primo.hosted.exlibrisgroup.com/primo-explore/search?tab=default_tab&amp;search_scope=EVERYTHING&amp;vid=01CRU&amp;lang=en_US&amp;offset=0&amp;query=any,contains,991005157039702656","Catalog Record")</f>
        <v/>
      </c>
      <c r="AT437">
        <f>HYPERLINK("http://www.worldcat.org/oclc/7741005","WorldCat Record")</f>
        <v/>
      </c>
      <c r="AU437" t="inlineStr">
        <is>
          <t>29799915:eng</t>
        </is>
      </c>
      <c r="AV437" t="inlineStr">
        <is>
          <t>7741005</t>
        </is>
      </c>
      <c r="AW437" t="inlineStr">
        <is>
          <t>991005157039702656</t>
        </is>
      </c>
      <c r="AX437" t="inlineStr">
        <is>
          <t>991005157039702656</t>
        </is>
      </c>
      <c r="AY437" t="inlineStr">
        <is>
          <t>2262314460002656</t>
        </is>
      </c>
      <c r="AZ437" t="inlineStr">
        <is>
          <t>BOOK</t>
        </is>
      </c>
      <c r="BB437" t="inlineStr">
        <is>
          <t>9780936048994</t>
        </is>
      </c>
      <c r="BC437" t="inlineStr">
        <is>
          <t>32285001605541</t>
        </is>
      </c>
      <c r="BD437" t="inlineStr">
        <is>
          <t>893694835</t>
        </is>
      </c>
    </row>
    <row r="438">
      <c r="A438" t="inlineStr">
        <is>
          <t>No</t>
        </is>
      </c>
      <c r="B438" t="inlineStr">
        <is>
          <t>RC451.4.A5 P778 1979</t>
        </is>
      </c>
      <c r="C438" t="inlineStr">
        <is>
          <t>0                      RC 0451400A  5                  P  778         1979</t>
        </is>
      </c>
      <c r="D438" t="inlineStr">
        <is>
          <t>Psychopathology of aging / edited by Oscar J. Kaplan.</t>
        </is>
      </c>
      <c r="F438" t="inlineStr">
        <is>
          <t>No</t>
        </is>
      </c>
      <c r="G438" t="inlineStr">
        <is>
          <t>1</t>
        </is>
      </c>
      <c r="H438" t="inlineStr">
        <is>
          <t>Yes</t>
        </is>
      </c>
      <c r="I438" t="inlineStr">
        <is>
          <t>No</t>
        </is>
      </c>
      <c r="J438" t="inlineStr">
        <is>
          <t>0</t>
        </is>
      </c>
      <c r="L438" t="inlineStr">
        <is>
          <t>New York : Academic Press, 1979.</t>
        </is>
      </c>
      <c r="M438" t="inlineStr">
        <is>
          <t>1979</t>
        </is>
      </c>
      <c r="O438" t="inlineStr">
        <is>
          <t>eng</t>
        </is>
      </c>
      <c r="P438" t="inlineStr">
        <is>
          <t>nyu</t>
        </is>
      </c>
      <c r="R438" t="inlineStr">
        <is>
          <t xml:space="preserve">RC </t>
        </is>
      </c>
      <c r="S438" t="n">
        <v>4</v>
      </c>
      <c r="T438" t="n">
        <v>4</v>
      </c>
      <c r="U438" t="inlineStr">
        <is>
          <t>1997-03-09</t>
        </is>
      </c>
      <c r="V438" t="inlineStr">
        <is>
          <t>1997-03-09</t>
        </is>
      </c>
      <c r="W438" t="inlineStr">
        <is>
          <t>1993-03-19</t>
        </is>
      </c>
      <c r="X438" t="inlineStr">
        <is>
          <t>1993-03-19</t>
        </is>
      </c>
      <c r="Y438" t="n">
        <v>456</v>
      </c>
      <c r="Z438" t="n">
        <v>356</v>
      </c>
      <c r="AA438" t="n">
        <v>363</v>
      </c>
      <c r="AB438" t="n">
        <v>5</v>
      </c>
      <c r="AC438" t="n">
        <v>5</v>
      </c>
      <c r="AD438" t="n">
        <v>14</v>
      </c>
      <c r="AE438" t="n">
        <v>14</v>
      </c>
      <c r="AF438" t="n">
        <v>3</v>
      </c>
      <c r="AG438" t="n">
        <v>3</v>
      </c>
      <c r="AH438" t="n">
        <v>1</v>
      </c>
      <c r="AI438" t="n">
        <v>1</v>
      </c>
      <c r="AJ438" t="n">
        <v>10</v>
      </c>
      <c r="AK438" t="n">
        <v>10</v>
      </c>
      <c r="AL438" t="n">
        <v>3</v>
      </c>
      <c r="AM438" t="n">
        <v>3</v>
      </c>
      <c r="AN438" t="n">
        <v>0</v>
      </c>
      <c r="AO438" t="n">
        <v>0</v>
      </c>
      <c r="AP438" t="inlineStr">
        <is>
          <t>No</t>
        </is>
      </c>
      <c r="AQ438" t="inlineStr">
        <is>
          <t>Yes</t>
        </is>
      </c>
      <c r="AR438">
        <f>HYPERLINK("http://catalog.hathitrust.org/Record/000044450","HathiTrust Record")</f>
        <v/>
      </c>
      <c r="AS438">
        <f>HYPERLINK("https://creighton-primo.hosted.exlibrisgroup.com/primo-explore/search?tab=default_tab&amp;search_scope=EVERYTHING&amp;vid=01CRU&amp;lang=en_US&amp;offset=0&amp;query=any,contains,991004840159702656","Catalog Record")</f>
        <v/>
      </c>
      <c r="AT438">
        <f>HYPERLINK("http://www.worldcat.org/oclc/5496422","WorldCat Record")</f>
        <v/>
      </c>
      <c r="AU438" t="inlineStr">
        <is>
          <t>409255:eng</t>
        </is>
      </c>
      <c r="AV438" t="inlineStr">
        <is>
          <t>5496422</t>
        </is>
      </c>
      <c r="AW438" t="inlineStr">
        <is>
          <t>991004840159702656</t>
        </is>
      </c>
      <c r="AX438" t="inlineStr">
        <is>
          <t>991004840159702656</t>
        </is>
      </c>
      <c r="AY438" t="inlineStr">
        <is>
          <t>2266386610002656</t>
        </is>
      </c>
      <c r="AZ438" t="inlineStr">
        <is>
          <t>BOOK</t>
        </is>
      </c>
      <c r="BB438" t="inlineStr">
        <is>
          <t>9780123969507</t>
        </is>
      </c>
      <c r="BC438" t="inlineStr">
        <is>
          <t>32285001605558</t>
        </is>
      </c>
      <c r="BD438" t="inlineStr">
        <is>
          <t>893700740</t>
        </is>
      </c>
    </row>
    <row r="439">
      <c r="A439" t="inlineStr">
        <is>
          <t>No</t>
        </is>
      </c>
      <c r="B439" t="inlineStr">
        <is>
          <t>RC451.4.A5 T53 1996</t>
        </is>
      </c>
      <c r="C439" t="inlineStr">
        <is>
          <t>0                      RC 0451400A  5                  T  53          1996</t>
        </is>
      </c>
      <c r="D439" t="inlineStr">
        <is>
          <t>Mental health issues &amp; aging : building on the strengths of older persons / Carolyn J. Tice, Kathleen Perkins.</t>
        </is>
      </c>
      <c r="F439" t="inlineStr">
        <is>
          <t>No</t>
        </is>
      </c>
      <c r="G439" t="inlineStr">
        <is>
          <t>1</t>
        </is>
      </c>
      <c r="H439" t="inlineStr">
        <is>
          <t>No</t>
        </is>
      </c>
      <c r="I439" t="inlineStr">
        <is>
          <t>No</t>
        </is>
      </c>
      <c r="J439" t="inlineStr">
        <is>
          <t>0</t>
        </is>
      </c>
      <c r="K439" t="inlineStr">
        <is>
          <t>Tice, Carolyn J.</t>
        </is>
      </c>
      <c r="L439" t="inlineStr">
        <is>
          <t>Pacific Grove, Cal. : Brooks/Cole, c1996.</t>
        </is>
      </c>
      <c r="M439" t="inlineStr">
        <is>
          <t>1996</t>
        </is>
      </c>
      <c r="O439" t="inlineStr">
        <is>
          <t>eng</t>
        </is>
      </c>
      <c r="P439" t="inlineStr">
        <is>
          <t>cau</t>
        </is>
      </c>
      <c r="R439" t="inlineStr">
        <is>
          <t xml:space="preserve">RC </t>
        </is>
      </c>
      <c r="S439" t="n">
        <v>6</v>
      </c>
      <c r="T439" t="n">
        <v>6</v>
      </c>
      <c r="U439" t="inlineStr">
        <is>
          <t>2005-04-03</t>
        </is>
      </c>
      <c r="V439" t="inlineStr">
        <is>
          <t>2005-04-03</t>
        </is>
      </c>
      <c r="W439" t="inlineStr">
        <is>
          <t>1996-06-05</t>
        </is>
      </c>
      <c r="X439" t="inlineStr">
        <is>
          <t>1996-06-05</t>
        </is>
      </c>
      <c r="Y439" t="n">
        <v>436</v>
      </c>
      <c r="Z439" t="n">
        <v>367</v>
      </c>
      <c r="AA439" t="n">
        <v>375</v>
      </c>
      <c r="AB439" t="n">
        <v>2</v>
      </c>
      <c r="AC439" t="n">
        <v>2</v>
      </c>
      <c r="AD439" t="n">
        <v>20</v>
      </c>
      <c r="AE439" t="n">
        <v>20</v>
      </c>
      <c r="AF439" t="n">
        <v>6</v>
      </c>
      <c r="AG439" t="n">
        <v>6</v>
      </c>
      <c r="AH439" t="n">
        <v>5</v>
      </c>
      <c r="AI439" t="n">
        <v>5</v>
      </c>
      <c r="AJ439" t="n">
        <v>13</v>
      </c>
      <c r="AK439" t="n">
        <v>13</v>
      </c>
      <c r="AL439" t="n">
        <v>1</v>
      </c>
      <c r="AM439" t="n">
        <v>1</v>
      </c>
      <c r="AN439" t="n">
        <v>0</v>
      </c>
      <c r="AO439" t="n">
        <v>0</v>
      </c>
      <c r="AP439" t="inlineStr">
        <is>
          <t>No</t>
        </is>
      </c>
      <c r="AQ439" t="inlineStr">
        <is>
          <t>Yes</t>
        </is>
      </c>
      <c r="AR439">
        <f>HYPERLINK("http://catalog.hathitrust.org/Record/003036626","HathiTrust Record")</f>
        <v/>
      </c>
      <c r="AS439">
        <f>HYPERLINK("https://creighton-primo.hosted.exlibrisgroup.com/primo-explore/search?tab=default_tab&amp;search_scope=EVERYTHING&amp;vid=01CRU&amp;lang=en_US&amp;offset=0&amp;query=any,contains,991002567379702656","Catalog Record")</f>
        <v/>
      </c>
      <c r="AT439">
        <f>HYPERLINK("http://www.worldcat.org/oclc/33360119","WorldCat Record")</f>
        <v/>
      </c>
      <c r="AU439" t="inlineStr">
        <is>
          <t>37608069:eng</t>
        </is>
      </c>
      <c r="AV439" t="inlineStr">
        <is>
          <t>33360119</t>
        </is>
      </c>
      <c r="AW439" t="inlineStr">
        <is>
          <t>991002567379702656</t>
        </is>
      </c>
      <c r="AX439" t="inlineStr">
        <is>
          <t>991002567379702656</t>
        </is>
      </c>
      <c r="AY439" t="inlineStr">
        <is>
          <t>2265684100002656</t>
        </is>
      </c>
      <c r="AZ439" t="inlineStr">
        <is>
          <t>BOOK</t>
        </is>
      </c>
      <c r="BB439" t="inlineStr">
        <is>
          <t>9780534207540</t>
        </is>
      </c>
      <c r="BC439" t="inlineStr">
        <is>
          <t>32285002187812</t>
        </is>
      </c>
      <c r="BD439" t="inlineStr">
        <is>
          <t>893603744</t>
        </is>
      </c>
    </row>
    <row r="440">
      <c r="A440" t="inlineStr">
        <is>
          <t>No</t>
        </is>
      </c>
      <c r="B440" t="inlineStr">
        <is>
          <t>RC451.4.A5 Z374 1998</t>
        </is>
      </c>
      <c r="C440" t="inlineStr">
        <is>
          <t>0                      RC 0451400A  5                  Z  374         1998</t>
        </is>
      </c>
      <c r="D440" t="inlineStr">
        <is>
          <t>Mental disorders in older adults : fundamentals of assessment and treatment / Steven H. Zarit and Judy M. Zarit.</t>
        </is>
      </c>
      <c r="F440" t="inlineStr">
        <is>
          <t>No</t>
        </is>
      </c>
      <c r="G440" t="inlineStr">
        <is>
          <t>1</t>
        </is>
      </c>
      <c r="H440" t="inlineStr">
        <is>
          <t>No</t>
        </is>
      </c>
      <c r="I440" t="inlineStr">
        <is>
          <t>No</t>
        </is>
      </c>
      <c r="J440" t="inlineStr">
        <is>
          <t>0</t>
        </is>
      </c>
      <c r="K440" t="inlineStr">
        <is>
          <t>Zarit, Steven H.</t>
        </is>
      </c>
      <c r="L440" t="inlineStr">
        <is>
          <t>New York : Guilford Press, c1998.</t>
        </is>
      </c>
      <c r="M440" t="inlineStr">
        <is>
          <t>1998</t>
        </is>
      </c>
      <c r="O440" t="inlineStr">
        <is>
          <t>eng</t>
        </is>
      </c>
      <c r="P440" t="inlineStr">
        <is>
          <t>nyu</t>
        </is>
      </c>
      <c r="R440" t="inlineStr">
        <is>
          <t xml:space="preserve">RC </t>
        </is>
      </c>
      <c r="S440" t="n">
        <v>1</v>
      </c>
      <c r="T440" t="n">
        <v>1</v>
      </c>
      <c r="U440" t="inlineStr">
        <is>
          <t>2000-10-08</t>
        </is>
      </c>
      <c r="V440" t="inlineStr">
        <is>
          <t>2000-10-08</t>
        </is>
      </c>
      <c r="W440" t="inlineStr">
        <is>
          <t>1999-12-07</t>
        </is>
      </c>
      <c r="X440" t="inlineStr">
        <is>
          <t>1999-12-07</t>
        </is>
      </c>
      <c r="Y440" t="n">
        <v>562</v>
      </c>
      <c r="Z440" t="n">
        <v>477</v>
      </c>
      <c r="AA440" t="n">
        <v>776</v>
      </c>
      <c r="AB440" t="n">
        <v>2</v>
      </c>
      <c r="AC440" t="n">
        <v>5</v>
      </c>
      <c r="AD440" t="n">
        <v>19</v>
      </c>
      <c r="AE440" t="n">
        <v>32</v>
      </c>
      <c r="AF440" t="n">
        <v>7</v>
      </c>
      <c r="AG440" t="n">
        <v>14</v>
      </c>
      <c r="AH440" t="n">
        <v>6</v>
      </c>
      <c r="AI440" t="n">
        <v>7</v>
      </c>
      <c r="AJ440" t="n">
        <v>11</v>
      </c>
      <c r="AK440" t="n">
        <v>16</v>
      </c>
      <c r="AL440" t="n">
        <v>1</v>
      </c>
      <c r="AM440" t="n">
        <v>4</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HYPERLINK("https://creighton-primo.hosted.exlibrisgroup.com/primo-explore/search?tab=default_tab&amp;search_scope=EVERYTHING&amp;vid=01CRU&amp;lang=en_US&amp;offset=0&amp;query=any,contains,991002936059702656","Catalog Record")</f>
        <v/>
      </c>
      <c r="AT440">
        <f>HYPERLINK("http://www.worldcat.org/oclc/39051751","WorldCat Record")</f>
        <v/>
      </c>
      <c r="AU440" t="inlineStr">
        <is>
          <t>795139513:eng</t>
        </is>
      </c>
      <c r="AV440" t="inlineStr">
        <is>
          <t>39051751</t>
        </is>
      </c>
      <c r="AW440" t="inlineStr">
        <is>
          <t>991002936059702656</t>
        </is>
      </c>
      <c r="AX440" t="inlineStr">
        <is>
          <t>991002936059702656</t>
        </is>
      </c>
      <c r="AY440" t="inlineStr">
        <is>
          <t>2255350170002656</t>
        </is>
      </c>
      <c r="AZ440" t="inlineStr">
        <is>
          <t>BOOK</t>
        </is>
      </c>
      <c r="BB440" t="inlineStr">
        <is>
          <t>9781572303683</t>
        </is>
      </c>
      <c r="BC440" t="inlineStr">
        <is>
          <t>32285003628780</t>
        </is>
      </c>
      <c r="BD440" t="inlineStr">
        <is>
          <t>893685974</t>
        </is>
      </c>
    </row>
    <row r="441">
      <c r="A441" t="inlineStr">
        <is>
          <t>No</t>
        </is>
      </c>
      <c r="B441" t="inlineStr">
        <is>
          <t>RC451.4.A83 C68 1999</t>
        </is>
      </c>
      <c r="C441" t="inlineStr">
        <is>
          <t>0                      RC 0451400A  83                 C  68          1999</t>
        </is>
      </c>
      <c r="D441" t="inlineStr">
        <is>
          <t>Counseling in sports medicine / [editors], Richard Ray, Diane M. Wiese-Bjornstal.</t>
        </is>
      </c>
      <c r="F441" t="inlineStr">
        <is>
          <t>No</t>
        </is>
      </c>
      <c r="G441" t="inlineStr">
        <is>
          <t>1</t>
        </is>
      </c>
      <c r="H441" t="inlineStr">
        <is>
          <t>No</t>
        </is>
      </c>
      <c r="I441" t="inlineStr">
        <is>
          <t>No</t>
        </is>
      </c>
      <c r="J441" t="inlineStr">
        <is>
          <t>0</t>
        </is>
      </c>
      <c r="L441" t="inlineStr">
        <is>
          <t>Champaign, IL : Human Kinetics, 1999.</t>
        </is>
      </c>
      <c r="M441" t="inlineStr">
        <is>
          <t>1999</t>
        </is>
      </c>
      <c r="O441" t="inlineStr">
        <is>
          <t>eng</t>
        </is>
      </c>
      <c r="P441" t="inlineStr">
        <is>
          <t>ilu</t>
        </is>
      </c>
      <c r="R441" t="inlineStr">
        <is>
          <t xml:space="preserve">RC </t>
        </is>
      </c>
      <c r="S441" t="n">
        <v>2</v>
      </c>
      <c r="T441" t="n">
        <v>2</v>
      </c>
      <c r="U441" t="inlineStr">
        <is>
          <t>2005-04-12</t>
        </is>
      </c>
      <c r="V441" t="inlineStr">
        <is>
          <t>2005-04-12</t>
        </is>
      </c>
      <c r="W441" t="inlineStr">
        <is>
          <t>2005-04-12</t>
        </is>
      </c>
      <c r="X441" t="inlineStr">
        <is>
          <t>2005-04-12</t>
        </is>
      </c>
      <c r="Y441" t="n">
        <v>383</v>
      </c>
      <c r="Z441" t="n">
        <v>304</v>
      </c>
      <c r="AA441" t="n">
        <v>309</v>
      </c>
      <c r="AB441" t="n">
        <v>3</v>
      </c>
      <c r="AC441" t="n">
        <v>3</v>
      </c>
      <c r="AD441" t="n">
        <v>12</v>
      </c>
      <c r="AE441" t="n">
        <v>12</v>
      </c>
      <c r="AF441" t="n">
        <v>7</v>
      </c>
      <c r="AG441" t="n">
        <v>7</v>
      </c>
      <c r="AH441" t="n">
        <v>1</v>
      </c>
      <c r="AI441" t="n">
        <v>1</v>
      </c>
      <c r="AJ441" t="n">
        <v>6</v>
      </c>
      <c r="AK441" t="n">
        <v>6</v>
      </c>
      <c r="AL441" t="n">
        <v>2</v>
      </c>
      <c r="AM441" t="n">
        <v>2</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HYPERLINK("https://creighton-primo.hosted.exlibrisgroup.com/primo-explore/search?tab=default_tab&amp;search_scope=EVERYTHING&amp;vid=01CRU&amp;lang=en_US&amp;offset=0&amp;query=any,contains,991004512159702656","Catalog Record")</f>
        <v/>
      </c>
      <c r="AT441">
        <f>HYPERLINK("http://www.worldcat.org/oclc/39714826","WorldCat Record")</f>
        <v/>
      </c>
      <c r="AU441" t="inlineStr">
        <is>
          <t>346796901:eng</t>
        </is>
      </c>
      <c r="AV441" t="inlineStr">
        <is>
          <t>39714826</t>
        </is>
      </c>
      <c r="AW441" t="inlineStr">
        <is>
          <t>991004512159702656</t>
        </is>
      </c>
      <c r="AX441" t="inlineStr">
        <is>
          <t>991004512159702656</t>
        </is>
      </c>
      <c r="AY441" t="inlineStr">
        <is>
          <t>2259800870002656</t>
        </is>
      </c>
      <c r="AZ441" t="inlineStr">
        <is>
          <t>BOOK</t>
        </is>
      </c>
      <c r="BB441" t="inlineStr">
        <is>
          <t>9780880115278</t>
        </is>
      </c>
      <c r="BC441" t="inlineStr">
        <is>
          <t>32285005049332</t>
        </is>
      </c>
      <c r="BD441" t="inlineStr">
        <is>
          <t>893337828</t>
        </is>
      </c>
    </row>
    <row r="442">
      <c r="A442" t="inlineStr">
        <is>
          <t>No</t>
        </is>
      </c>
      <c r="B442" t="inlineStr">
        <is>
          <t>RC451.4.B57 B43 2007</t>
        </is>
      </c>
      <c r="C442" t="inlineStr">
        <is>
          <t>0                      RC 0451400B  57                 B  43          2007</t>
        </is>
      </c>
      <c r="D442" t="inlineStr">
        <is>
          <t>Becoming visible : counseling bisexuals across the lifespan / [edited by] Beth A. Firestein.</t>
        </is>
      </c>
      <c r="F442" t="inlineStr">
        <is>
          <t>No</t>
        </is>
      </c>
      <c r="G442" t="inlineStr">
        <is>
          <t>1</t>
        </is>
      </c>
      <c r="H442" t="inlineStr">
        <is>
          <t>No</t>
        </is>
      </c>
      <c r="I442" t="inlineStr">
        <is>
          <t>No</t>
        </is>
      </c>
      <c r="J442" t="inlineStr">
        <is>
          <t>0</t>
        </is>
      </c>
      <c r="L442" t="inlineStr">
        <is>
          <t>New York : Columbia University Press, c2007.</t>
        </is>
      </c>
      <c r="M442" t="inlineStr">
        <is>
          <t>2007</t>
        </is>
      </c>
      <c r="O442" t="inlineStr">
        <is>
          <t>eng</t>
        </is>
      </c>
      <c r="P442" t="inlineStr">
        <is>
          <t>nyu</t>
        </is>
      </c>
      <c r="R442" t="inlineStr">
        <is>
          <t xml:space="preserve">RC </t>
        </is>
      </c>
      <c r="S442" t="n">
        <v>1</v>
      </c>
      <c r="T442" t="n">
        <v>1</v>
      </c>
      <c r="U442" t="inlineStr">
        <is>
          <t>2008-01-29</t>
        </is>
      </c>
      <c r="V442" t="inlineStr">
        <is>
          <t>2008-01-29</t>
        </is>
      </c>
      <c r="W442" t="inlineStr">
        <is>
          <t>2008-01-29</t>
        </is>
      </c>
      <c r="X442" t="inlineStr">
        <is>
          <t>2008-01-29</t>
        </is>
      </c>
      <c r="Y442" t="n">
        <v>330</v>
      </c>
      <c r="Z442" t="n">
        <v>273</v>
      </c>
      <c r="AA442" t="n">
        <v>275</v>
      </c>
      <c r="AB442" t="n">
        <v>2</v>
      </c>
      <c r="AC442" t="n">
        <v>2</v>
      </c>
      <c r="AD442" t="n">
        <v>17</v>
      </c>
      <c r="AE442" t="n">
        <v>17</v>
      </c>
      <c r="AF442" t="n">
        <v>8</v>
      </c>
      <c r="AG442" t="n">
        <v>8</v>
      </c>
      <c r="AH442" t="n">
        <v>4</v>
      </c>
      <c r="AI442" t="n">
        <v>4</v>
      </c>
      <c r="AJ442" t="n">
        <v>9</v>
      </c>
      <c r="AK442" t="n">
        <v>9</v>
      </c>
      <c r="AL442" t="n">
        <v>1</v>
      </c>
      <c r="AM442" t="n">
        <v>1</v>
      </c>
      <c r="AN442" t="n">
        <v>0</v>
      </c>
      <c r="AO442" t="n">
        <v>0</v>
      </c>
      <c r="AP442" t="inlineStr">
        <is>
          <t>No</t>
        </is>
      </c>
      <c r="AQ442" t="inlineStr">
        <is>
          <t>Yes</t>
        </is>
      </c>
      <c r="AR442">
        <f>HYPERLINK("http://catalog.hathitrust.org/Record/102053539","HathiTrust Record")</f>
        <v/>
      </c>
      <c r="AS442">
        <f>HYPERLINK("https://creighton-primo.hosted.exlibrisgroup.com/primo-explore/search?tab=default_tab&amp;search_scope=EVERYTHING&amp;vid=01CRU&amp;lang=en_US&amp;offset=0&amp;query=any,contains,991005167359702656","Catalog Record")</f>
        <v/>
      </c>
      <c r="AT442">
        <f>HYPERLINK("http://www.worldcat.org/oclc/76937265","WorldCat Record")</f>
        <v/>
      </c>
      <c r="AU442" t="inlineStr">
        <is>
          <t>62686589:eng</t>
        </is>
      </c>
      <c r="AV442" t="inlineStr">
        <is>
          <t>76937265</t>
        </is>
      </c>
      <c r="AW442" t="inlineStr">
        <is>
          <t>991005167359702656</t>
        </is>
      </c>
      <c r="AX442" t="inlineStr">
        <is>
          <t>991005167359702656</t>
        </is>
      </c>
      <c r="AY442" t="inlineStr">
        <is>
          <t>2265700290002656</t>
        </is>
      </c>
      <c r="AZ442" t="inlineStr">
        <is>
          <t>BOOK</t>
        </is>
      </c>
      <c r="BB442" t="inlineStr">
        <is>
          <t>9780231137249</t>
        </is>
      </c>
      <c r="BC442" t="inlineStr">
        <is>
          <t>32285005390876</t>
        </is>
      </c>
      <c r="BD442" t="inlineStr">
        <is>
          <t>893507716</t>
        </is>
      </c>
    </row>
    <row r="443">
      <c r="A443" t="inlineStr">
        <is>
          <t>No</t>
        </is>
      </c>
      <c r="B443" t="inlineStr">
        <is>
          <t>RC451.4.D4 D42</t>
        </is>
      </c>
      <c r="C443" t="inlineStr">
        <is>
          <t>0                      RC 0451400D  4                  D  42</t>
        </is>
      </c>
      <c r="D443" t="inlineStr">
        <is>
          <t>Deafness and mental health / edited by Laszlo K. Stein, Eugene D. Mindel, Theresa Jabaley.</t>
        </is>
      </c>
      <c r="F443" t="inlineStr">
        <is>
          <t>No</t>
        </is>
      </c>
      <c r="G443" t="inlineStr">
        <is>
          <t>1</t>
        </is>
      </c>
      <c r="H443" t="inlineStr">
        <is>
          <t>No</t>
        </is>
      </c>
      <c r="I443" t="inlineStr">
        <is>
          <t>No</t>
        </is>
      </c>
      <c r="J443" t="inlineStr">
        <is>
          <t>0</t>
        </is>
      </c>
      <c r="L443" t="inlineStr">
        <is>
          <t>New York : Grune &amp; Stratton, c1981.</t>
        </is>
      </c>
      <c r="M443" t="inlineStr">
        <is>
          <t>1981</t>
        </is>
      </c>
      <c r="O443" t="inlineStr">
        <is>
          <t>eng</t>
        </is>
      </c>
      <c r="P443" t="inlineStr">
        <is>
          <t>nyu</t>
        </is>
      </c>
      <c r="R443" t="inlineStr">
        <is>
          <t xml:space="preserve">RC </t>
        </is>
      </c>
      <c r="S443" t="n">
        <v>1</v>
      </c>
      <c r="T443" t="n">
        <v>1</v>
      </c>
      <c r="U443" t="inlineStr">
        <is>
          <t>1997-10-06</t>
        </is>
      </c>
      <c r="V443" t="inlineStr">
        <is>
          <t>1997-10-06</t>
        </is>
      </c>
      <c r="W443" t="inlineStr">
        <is>
          <t>1990-04-09</t>
        </is>
      </c>
      <c r="X443" t="inlineStr">
        <is>
          <t>1990-04-09</t>
        </is>
      </c>
      <c r="Y443" t="n">
        <v>253</v>
      </c>
      <c r="Z443" t="n">
        <v>204</v>
      </c>
      <c r="AA443" t="n">
        <v>206</v>
      </c>
      <c r="AB443" t="n">
        <v>2</v>
      </c>
      <c r="AC443" t="n">
        <v>2</v>
      </c>
      <c r="AD443" t="n">
        <v>5</v>
      </c>
      <c r="AE443" t="n">
        <v>5</v>
      </c>
      <c r="AF443" t="n">
        <v>2</v>
      </c>
      <c r="AG443" t="n">
        <v>2</v>
      </c>
      <c r="AH443" t="n">
        <v>1</v>
      </c>
      <c r="AI443" t="n">
        <v>1</v>
      </c>
      <c r="AJ443" t="n">
        <v>2</v>
      </c>
      <c r="AK443" t="n">
        <v>2</v>
      </c>
      <c r="AL443" t="n">
        <v>1</v>
      </c>
      <c r="AM443" t="n">
        <v>1</v>
      </c>
      <c r="AN443" t="n">
        <v>0</v>
      </c>
      <c r="AO443" t="n">
        <v>0</v>
      </c>
      <c r="AP443" t="inlineStr">
        <is>
          <t>No</t>
        </is>
      </c>
      <c r="AQ443" t="inlineStr">
        <is>
          <t>Yes</t>
        </is>
      </c>
      <c r="AR443">
        <f>HYPERLINK("http://catalog.hathitrust.org/Record/000102829","HathiTrust Record")</f>
        <v/>
      </c>
      <c r="AS443">
        <f>HYPERLINK("https://creighton-primo.hosted.exlibrisgroup.com/primo-explore/search?tab=default_tab&amp;search_scope=EVERYTHING&amp;vid=01CRU&amp;lang=en_US&amp;offset=0&amp;query=any,contains,991005137849702656","Catalog Record")</f>
        <v/>
      </c>
      <c r="AT443">
        <f>HYPERLINK("http://www.worldcat.org/oclc/7587097","WorldCat Record")</f>
        <v/>
      </c>
      <c r="AU443" t="inlineStr">
        <is>
          <t>29070238:eng</t>
        </is>
      </c>
      <c r="AV443" t="inlineStr">
        <is>
          <t>7587097</t>
        </is>
      </c>
      <c r="AW443" t="inlineStr">
        <is>
          <t>991005137849702656</t>
        </is>
      </c>
      <c r="AX443" t="inlineStr">
        <is>
          <t>991005137849702656</t>
        </is>
      </c>
      <c r="AY443" t="inlineStr">
        <is>
          <t>2272632120002656</t>
        </is>
      </c>
      <c r="AZ443" t="inlineStr">
        <is>
          <t>BOOK</t>
        </is>
      </c>
      <c r="BB443" t="inlineStr">
        <is>
          <t>9780808913474</t>
        </is>
      </c>
      <c r="BC443" t="inlineStr">
        <is>
          <t>32285000112978</t>
        </is>
      </c>
      <c r="BD443" t="inlineStr">
        <is>
          <t>893424607</t>
        </is>
      </c>
    </row>
    <row r="444">
      <c r="A444" t="inlineStr">
        <is>
          <t>No</t>
        </is>
      </c>
      <c r="B444" t="inlineStr">
        <is>
          <t>RC451.4.M45 C68</t>
        </is>
      </c>
      <c r="C444" t="inlineStr">
        <is>
          <t>0                      RC 0451400M  45                 C  68</t>
        </is>
      </c>
      <c r="D444" t="inlineStr">
        <is>
          <t>Counseling men / edited by Thomas M. Skovholt, Paul G. Schauble, Richard Davis.</t>
        </is>
      </c>
      <c r="F444" t="inlineStr">
        <is>
          <t>No</t>
        </is>
      </c>
      <c r="G444" t="inlineStr">
        <is>
          <t>1</t>
        </is>
      </c>
      <c r="H444" t="inlineStr">
        <is>
          <t>No</t>
        </is>
      </c>
      <c r="I444" t="inlineStr">
        <is>
          <t>No</t>
        </is>
      </c>
      <c r="J444" t="inlineStr">
        <is>
          <t>0</t>
        </is>
      </c>
      <c r="L444" t="inlineStr">
        <is>
          <t>Monterey, Calif. : Brooks/Cole Pub. Co., c1980.</t>
        </is>
      </c>
      <c r="M444" t="inlineStr">
        <is>
          <t>1980</t>
        </is>
      </c>
      <c r="O444" t="inlineStr">
        <is>
          <t>eng</t>
        </is>
      </c>
      <c r="P444" t="inlineStr">
        <is>
          <t>cau</t>
        </is>
      </c>
      <c r="Q444" t="inlineStr">
        <is>
          <t>Brooks/Cole series in counseling psychology</t>
        </is>
      </c>
      <c r="R444" t="inlineStr">
        <is>
          <t xml:space="preserve">RC </t>
        </is>
      </c>
      <c r="S444" t="n">
        <v>4</v>
      </c>
      <c r="T444" t="n">
        <v>4</v>
      </c>
      <c r="U444" t="inlineStr">
        <is>
          <t>1998-03-28</t>
        </is>
      </c>
      <c r="V444" t="inlineStr">
        <is>
          <t>1998-03-28</t>
        </is>
      </c>
      <c r="W444" t="inlineStr">
        <is>
          <t>1993-03-19</t>
        </is>
      </c>
      <c r="X444" t="inlineStr">
        <is>
          <t>1993-03-19</t>
        </is>
      </c>
      <c r="Y444" t="n">
        <v>282</v>
      </c>
      <c r="Z444" t="n">
        <v>254</v>
      </c>
      <c r="AA444" t="n">
        <v>259</v>
      </c>
      <c r="AB444" t="n">
        <v>4</v>
      </c>
      <c r="AC444" t="n">
        <v>4</v>
      </c>
      <c r="AD444" t="n">
        <v>9</v>
      </c>
      <c r="AE444" t="n">
        <v>9</v>
      </c>
      <c r="AF444" t="n">
        <v>2</v>
      </c>
      <c r="AG444" t="n">
        <v>2</v>
      </c>
      <c r="AH444" t="n">
        <v>0</v>
      </c>
      <c r="AI444" t="n">
        <v>0</v>
      </c>
      <c r="AJ444" t="n">
        <v>5</v>
      </c>
      <c r="AK444" t="n">
        <v>5</v>
      </c>
      <c r="AL444" t="n">
        <v>3</v>
      </c>
      <c r="AM444" t="n">
        <v>3</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HYPERLINK("https://creighton-primo.hosted.exlibrisgroup.com/primo-explore/search?tab=default_tab&amp;search_scope=EVERYTHING&amp;vid=01CRU&amp;lang=en_US&amp;offset=0&amp;query=any,contains,991004893259702656","Catalog Record")</f>
        <v/>
      </c>
      <c r="AT444">
        <f>HYPERLINK("http://www.worldcat.org/oclc/5889385","WorldCat Record")</f>
        <v/>
      </c>
      <c r="AU444" t="inlineStr">
        <is>
          <t>352000637:eng</t>
        </is>
      </c>
      <c r="AV444" t="inlineStr">
        <is>
          <t>5889385</t>
        </is>
      </c>
      <c r="AW444" t="inlineStr">
        <is>
          <t>991004893259702656</t>
        </is>
      </c>
      <c r="AX444" t="inlineStr">
        <is>
          <t>991004893259702656</t>
        </is>
      </c>
      <c r="AY444" t="inlineStr">
        <is>
          <t>2271392020002656</t>
        </is>
      </c>
      <c r="AZ444" t="inlineStr">
        <is>
          <t>BOOK</t>
        </is>
      </c>
      <c r="BB444" t="inlineStr">
        <is>
          <t>9780818503726</t>
        </is>
      </c>
      <c r="BC444" t="inlineStr">
        <is>
          <t>32285001605574</t>
        </is>
      </c>
      <c r="BD444" t="inlineStr">
        <is>
          <t>893350472</t>
        </is>
      </c>
    </row>
    <row r="445">
      <c r="A445" t="inlineStr">
        <is>
          <t>No</t>
        </is>
      </c>
      <c r="B445" t="inlineStr">
        <is>
          <t>RC451.4.M47 E45</t>
        </is>
      </c>
      <c r="C445" t="inlineStr">
        <is>
          <t>0                      RC 0451400M  47                 E  45</t>
        </is>
      </c>
      <c r="D445" t="inlineStr">
        <is>
          <t>Emotional disorders of mentally retarded persons : assessment, treatment, and consultation / edited by Ludwik S. Szymanski and Peter E. Tanguay.</t>
        </is>
      </c>
      <c r="F445" t="inlineStr">
        <is>
          <t>No</t>
        </is>
      </c>
      <c r="G445" t="inlineStr">
        <is>
          <t>1</t>
        </is>
      </c>
      <c r="H445" t="inlineStr">
        <is>
          <t>No</t>
        </is>
      </c>
      <c r="I445" t="inlineStr">
        <is>
          <t>No</t>
        </is>
      </c>
      <c r="J445" t="inlineStr">
        <is>
          <t>0</t>
        </is>
      </c>
      <c r="L445" t="inlineStr">
        <is>
          <t>Baltimore : University Park Press, c1980.</t>
        </is>
      </c>
      <c r="M445" t="inlineStr">
        <is>
          <t>1980</t>
        </is>
      </c>
      <c r="O445" t="inlineStr">
        <is>
          <t>eng</t>
        </is>
      </c>
      <c r="P445" t="inlineStr">
        <is>
          <t>mdu</t>
        </is>
      </c>
      <c r="R445" t="inlineStr">
        <is>
          <t xml:space="preserve">RC </t>
        </is>
      </c>
      <c r="S445" t="n">
        <v>2</v>
      </c>
      <c r="T445" t="n">
        <v>2</v>
      </c>
      <c r="U445" t="inlineStr">
        <is>
          <t>2004-04-22</t>
        </is>
      </c>
      <c r="V445" t="inlineStr">
        <is>
          <t>2004-04-22</t>
        </is>
      </c>
      <c r="W445" t="inlineStr">
        <is>
          <t>1993-03-19</t>
        </is>
      </c>
      <c r="X445" t="inlineStr">
        <is>
          <t>1993-03-19</t>
        </is>
      </c>
      <c r="Y445" t="n">
        <v>314</v>
      </c>
      <c r="Z445" t="n">
        <v>258</v>
      </c>
      <c r="AA445" t="n">
        <v>263</v>
      </c>
      <c r="AB445" t="n">
        <v>3</v>
      </c>
      <c r="AC445" t="n">
        <v>3</v>
      </c>
      <c r="AD445" t="n">
        <v>10</v>
      </c>
      <c r="AE445" t="n">
        <v>10</v>
      </c>
      <c r="AF445" t="n">
        <v>3</v>
      </c>
      <c r="AG445" t="n">
        <v>3</v>
      </c>
      <c r="AH445" t="n">
        <v>1</v>
      </c>
      <c r="AI445" t="n">
        <v>1</v>
      </c>
      <c r="AJ445" t="n">
        <v>6</v>
      </c>
      <c r="AK445" t="n">
        <v>6</v>
      </c>
      <c r="AL445" t="n">
        <v>2</v>
      </c>
      <c r="AM445" t="n">
        <v>2</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HYPERLINK("https://creighton-primo.hosted.exlibrisgroup.com/primo-explore/search?tab=default_tab&amp;search_scope=EVERYTHING&amp;vid=01CRU&amp;lang=en_US&amp;offset=0&amp;query=any,contains,991004916269702656","Catalog Record")</f>
        <v/>
      </c>
      <c r="AT445">
        <f>HYPERLINK("http://www.worldcat.org/oclc/6016390","WorldCat Record")</f>
        <v/>
      </c>
      <c r="AU445" t="inlineStr">
        <is>
          <t>891809155:eng</t>
        </is>
      </c>
      <c r="AV445" t="inlineStr">
        <is>
          <t>6016390</t>
        </is>
      </c>
      <c r="AW445" t="inlineStr">
        <is>
          <t>991004916269702656</t>
        </is>
      </c>
      <c r="AX445" t="inlineStr">
        <is>
          <t>991004916269702656</t>
        </is>
      </c>
      <c r="AY445" t="inlineStr">
        <is>
          <t>2269541430002656</t>
        </is>
      </c>
      <c r="AZ445" t="inlineStr">
        <is>
          <t>BOOK</t>
        </is>
      </c>
      <c r="BB445" t="inlineStr">
        <is>
          <t>9780839115144</t>
        </is>
      </c>
      <c r="BC445" t="inlineStr">
        <is>
          <t>32285001605582</t>
        </is>
      </c>
      <c r="BD445" t="inlineStr">
        <is>
          <t>893344398</t>
        </is>
      </c>
    </row>
    <row r="446">
      <c r="A446" t="inlineStr">
        <is>
          <t>No</t>
        </is>
      </c>
      <c r="B446" t="inlineStr">
        <is>
          <t>RC451.4.M54 M5</t>
        </is>
      </c>
      <c r="C446" t="inlineStr">
        <is>
          <t>0                      RC 0451400M  54                 M  5</t>
        </is>
      </c>
      <c r="D446" t="inlineStr">
        <is>
          <t>Mid-life, developmental and clinical issues / edited by William H. Norman and Thomas J. Scaramella.</t>
        </is>
      </c>
      <c r="F446" t="inlineStr">
        <is>
          <t>No</t>
        </is>
      </c>
      <c r="G446" t="inlineStr">
        <is>
          <t>1</t>
        </is>
      </c>
      <c r="H446" t="inlineStr">
        <is>
          <t>No</t>
        </is>
      </c>
      <c r="I446" t="inlineStr">
        <is>
          <t>No</t>
        </is>
      </c>
      <c r="J446" t="inlineStr">
        <is>
          <t>0</t>
        </is>
      </c>
      <c r="L446" t="inlineStr">
        <is>
          <t>New York : Brunner/Mazel, c1980.</t>
        </is>
      </c>
      <c r="M446" t="inlineStr">
        <is>
          <t>1980</t>
        </is>
      </c>
      <c r="O446" t="inlineStr">
        <is>
          <t>eng</t>
        </is>
      </c>
      <c r="P446" t="inlineStr">
        <is>
          <t>nyu</t>
        </is>
      </c>
      <c r="R446" t="inlineStr">
        <is>
          <t xml:space="preserve">RC </t>
        </is>
      </c>
      <c r="S446" t="n">
        <v>2</v>
      </c>
      <c r="T446" t="n">
        <v>2</v>
      </c>
      <c r="U446" t="inlineStr">
        <is>
          <t>1993-11-23</t>
        </is>
      </c>
      <c r="V446" t="inlineStr">
        <is>
          <t>1993-11-23</t>
        </is>
      </c>
      <c r="W446" t="inlineStr">
        <is>
          <t>1992-01-24</t>
        </is>
      </c>
      <c r="X446" t="inlineStr">
        <is>
          <t>1992-01-24</t>
        </is>
      </c>
      <c r="Y446" t="n">
        <v>392</v>
      </c>
      <c r="Z446" t="n">
        <v>316</v>
      </c>
      <c r="AA446" t="n">
        <v>318</v>
      </c>
      <c r="AB446" t="n">
        <v>2</v>
      </c>
      <c r="AC446" t="n">
        <v>2</v>
      </c>
      <c r="AD446" t="n">
        <v>14</v>
      </c>
      <c r="AE446" t="n">
        <v>14</v>
      </c>
      <c r="AF446" t="n">
        <v>5</v>
      </c>
      <c r="AG446" t="n">
        <v>5</v>
      </c>
      <c r="AH446" t="n">
        <v>2</v>
      </c>
      <c r="AI446" t="n">
        <v>2</v>
      </c>
      <c r="AJ446" t="n">
        <v>9</v>
      </c>
      <c r="AK446" t="n">
        <v>9</v>
      </c>
      <c r="AL446" t="n">
        <v>1</v>
      </c>
      <c r="AM446" t="n">
        <v>1</v>
      </c>
      <c r="AN446" t="n">
        <v>0</v>
      </c>
      <c r="AO446" t="n">
        <v>0</v>
      </c>
      <c r="AP446" t="inlineStr">
        <is>
          <t>No</t>
        </is>
      </c>
      <c r="AQ446" t="inlineStr">
        <is>
          <t>Yes</t>
        </is>
      </c>
      <c r="AR446">
        <f>HYPERLINK("http://catalog.hathitrust.org/Record/000700236","HathiTrust Record")</f>
        <v/>
      </c>
      <c r="AS446">
        <f>HYPERLINK("https://creighton-primo.hosted.exlibrisgroup.com/primo-explore/search?tab=default_tab&amp;search_scope=EVERYTHING&amp;vid=01CRU&amp;lang=en_US&amp;offset=0&amp;query=any,contains,991004861779702656","Catalog Record")</f>
        <v/>
      </c>
      <c r="AT446">
        <f>HYPERLINK("http://www.worldcat.org/oclc/5706916","WorldCat Record")</f>
        <v/>
      </c>
      <c r="AU446" t="inlineStr">
        <is>
          <t>16857021:eng</t>
        </is>
      </c>
      <c r="AV446" t="inlineStr">
        <is>
          <t>5706916</t>
        </is>
      </c>
      <c r="AW446" t="inlineStr">
        <is>
          <t>991004861779702656</t>
        </is>
      </c>
      <c r="AX446" t="inlineStr">
        <is>
          <t>991004861779702656</t>
        </is>
      </c>
      <c r="AY446" t="inlineStr">
        <is>
          <t>2261436550002656</t>
        </is>
      </c>
      <c r="AZ446" t="inlineStr">
        <is>
          <t>BOOK</t>
        </is>
      </c>
      <c r="BB446" t="inlineStr">
        <is>
          <t>9780876302217</t>
        </is>
      </c>
      <c r="BC446" t="inlineStr">
        <is>
          <t>32285000917939</t>
        </is>
      </c>
      <c r="BD446" t="inlineStr">
        <is>
          <t>893776530</t>
        </is>
      </c>
    </row>
    <row r="447">
      <c r="A447" t="inlineStr">
        <is>
          <t>No</t>
        </is>
      </c>
      <c r="B447" t="inlineStr">
        <is>
          <t>RC451.4.M54 Z35 1992</t>
        </is>
      </c>
      <c r="C447" t="inlineStr">
        <is>
          <t>0                      RC 0451400M  54                 Z  35          1992</t>
        </is>
      </c>
      <c r="D447" t="inlineStr">
        <is>
          <t>The sandwich generation : caught between growing children and aging parents / H. Michael Zal.</t>
        </is>
      </c>
      <c r="F447" t="inlineStr">
        <is>
          <t>No</t>
        </is>
      </c>
      <c r="G447" t="inlineStr">
        <is>
          <t>1</t>
        </is>
      </c>
      <c r="H447" t="inlineStr">
        <is>
          <t>No</t>
        </is>
      </c>
      <c r="I447" t="inlineStr">
        <is>
          <t>No</t>
        </is>
      </c>
      <c r="J447" t="inlineStr">
        <is>
          <t>0</t>
        </is>
      </c>
      <c r="K447" t="inlineStr">
        <is>
          <t>Zal, H. Michael.</t>
        </is>
      </c>
      <c r="L447" t="inlineStr">
        <is>
          <t>New York : Insight Books, c1992.</t>
        </is>
      </c>
      <c r="M447" t="inlineStr">
        <is>
          <t>1992</t>
        </is>
      </c>
      <c r="O447" t="inlineStr">
        <is>
          <t>eng</t>
        </is>
      </c>
      <c r="P447" t="inlineStr">
        <is>
          <t>nyu</t>
        </is>
      </c>
      <c r="R447" t="inlineStr">
        <is>
          <t xml:space="preserve">RC </t>
        </is>
      </c>
      <c r="S447" t="n">
        <v>6</v>
      </c>
      <c r="T447" t="n">
        <v>6</v>
      </c>
      <c r="U447" t="inlineStr">
        <is>
          <t>2009-04-07</t>
        </is>
      </c>
      <c r="V447" t="inlineStr">
        <is>
          <t>2009-04-07</t>
        </is>
      </c>
      <c r="W447" t="inlineStr">
        <is>
          <t>1992-10-19</t>
        </is>
      </c>
      <c r="X447" t="inlineStr">
        <is>
          <t>1992-10-19</t>
        </is>
      </c>
      <c r="Y447" t="n">
        <v>397</v>
      </c>
      <c r="Z447" t="n">
        <v>327</v>
      </c>
      <c r="AA447" t="n">
        <v>361</v>
      </c>
      <c r="AB447" t="n">
        <v>3</v>
      </c>
      <c r="AC447" t="n">
        <v>3</v>
      </c>
      <c r="AD447" t="n">
        <v>13</v>
      </c>
      <c r="AE447" t="n">
        <v>14</v>
      </c>
      <c r="AF447" t="n">
        <v>6</v>
      </c>
      <c r="AG447" t="n">
        <v>6</v>
      </c>
      <c r="AH447" t="n">
        <v>4</v>
      </c>
      <c r="AI447" t="n">
        <v>4</v>
      </c>
      <c r="AJ447" t="n">
        <v>7</v>
      </c>
      <c r="AK447" t="n">
        <v>8</v>
      </c>
      <c r="AL447" t="n">
        <v>2</v>
      </c>
      <c r="AM447" t="n">
        <v>2</v>
      </c>
      <c r="AN447" t="n">
        <v>0</v>
      </c>
      <c r="AO447" t="n">
        <v>0</v>
      </c>
      <c r="AP447" t="inlineStr">
        <is>
          <t>No</t>
        </is>
      </c>
      <c r="AQ447" t="inlineStr">
        <is>
          <t>Yes</t>
        </is>
      </c>
      <c r="AR447">
        <f>HYPERLINK("http://catalog.hathitrust.org/Record/002547054","HathiTrust Record")</f>
        <v/>
      </c>
      <c r="AS447">
        <f>HYPERLINK("https://creighton-primo.hosted.exlibrisgroup.com/primo-explore/search?tab=default_tab&amp;search_scope=EVERYTHING&amp;vid=01CRU&amp;lang=en_US&amp;offset=0&amp;query=any,contains,991001981629702656","Catalog Record")</f>
        <v/>
      </c>
      <c r="AT447">
        <f>HYPERLINK("http://www.worldcat.org/oclc/25163466","WorldCat Record")</f>
        <v/>
      </c>
      <c r="AU447" t="inlineStr">
        <is>
          <t>802793496:eng</t>
        </is>
      </c>
      <c r="AV447" t="inlineStr">
        <is>
          <t>25163466</t>
        </is>
      </c>
      <c r="AW447" t="inlineStr">
        <is>
          <t>991001981629702656</t>
        </is>
      </c>
      <c r="AX447" t="inlineStr">
        <is>
          <t>991001981629702656</t>
        </is>
      </c>
      <c r="AY447" t="inlineStr">
        <is>
          <t>2263493190002656</t>
        </is>
      </c>
      <c r="AZ447" t="inlineStr">
        <is>
          <t>BOOK</t>
        </is>
      </c>
      <c r="BB447" t="inlineStr">
        <is>
          <t>9780306441240</t>
        </is>
      </c>
      <c r="BC447" t="inlineStr">
        <is>
          <t>32285001318756</t>
        </is>
      </c>
      <c r="BD447" t="inlineStr">
        <is>
          <t>893427077</t>
        </is>
      </c>
    </row>
    <row r="448">
      <c r="A448" t="inlineStr">
        <is>
          <t>No</t>
        </is>
      </c>
      <c r="B448" t="inlineStr">
        <is>
          <t>RC451.4.P68 C53 1993</t>
        </is>
      </c>
      <c r="C448" t="inlineStr">
        <is>
          <t>0                      RC 0451400P  68                 C  53          1993</t>
        </is>
      </c>
      <c r="D448" t="inlineStr">
        <is>
          <t>Clinical approaches to the mentally disordered offender / edited by Kevin Howells and Clive R. Hollin.</t>
        </is>
      </c>
      <c r="F448" t="inlineStr">
        <is>
          <t>No</t>
        </is>
      </c>
      <c r="G448" t="inlineStr">
        <is>
          <t>1</t>
        </is>
      </c>
      <c r="H448" t="inlineStr">
        <is>
          <t>No</t>
        </is>
      </c>
      <c r="I448" t="inlineStr">
        <is>
          <t>No</t>
        </is>
      </c>
      <c r="J448" t="inlineStr">
        <is>
          <t>0</t>
        </is>
      </c>
      <c r="L448" t="inlineStr">
        <is>
          <t>Chichester ; New York : Wiley, c1993.</t>
        </is>
      </c>
      <c r="M448" t="inlineStr">
        <is>
          <t>1993</t>
        </is>
      </c>
      <c r="O448" t="inlineStr">
        <is>
          <t>eng</t>
        </is>
      </c>
      <c r="P448" t="inlineStr">
        <is>
          <t>enk</t>
        </is>
      </c>
      <c r="Q448" t="inlineStr">
        <is>
          <t>Wiley series in clinical approaches to criminal behaviour</t>
        </is>
      </c>
      <c r="R448" t="inlineStr">
        <is>
          <t xml:space="preserve">RC </t>
        </is>
      </c>
      <c r="S448" t="n">
        <v>3</v>
      </c>
      <c r="T448" t="n">
        <v>3</v>
      </c>
      <c r="U448" t="inlineStr">
        <is>
          <t>2000-03-13</t>
        </is>
      </c>
      <c r="V448" t="inlineStr">
        <is>
          <t>2000-03-13</t>
        </is>
      </c>
      <c r="W448" t="inlineStr">
        <is>
          <t>1993-11-29</t>
        </is>
      </c>
      <c r="X448" t="inlineStr">
        <is>
          <t>1993-11-29</t>
        </is>
      </c>
      <c r="Y448" t="n">
        <v>204</v>
      </c>
      <c r="Z448" t="n">
        <v>132</v>
      </c>
      <c r="AA448" t="n">
        <v>139</v>
      </c>
      <c r="AB448" t="n">
        <v>2</v>
      </c>
      <c r="AC448" t="n">
        <v>2</v>
      </c>
      <c r="AD448" t="n">
        <v>6</v>
      </c>
      <c r="AE448" t="n">
        <v>6</v>
      </c>
      <c r="AF448" t="n">
        <v>1</v>
      </c>
      <c r="AG448" t="n">
        <v>1</v>
      </c>
      <c r="AH448" t="n">
        <v>2</v>
      </c>
      <c r="AI448" t="n">
        <v>2</v>
      </c>
      <c r="AJ448" t="n">
        <v>3</v>
      </c>
      <c r="AK448" t="n">
        <v>3</v>
      </c>
      <c r="AL448" t="n">
        <v>1</v>
      </c>
      <c r="AM448" t="n">
        <v>1</v>
      </c>
      <c r="AN448" t="n">
        <v>0</v>
      </c>
      <c r="AO448" t="n">
        <v>0</v>
      </c>
      <c r="AP448" t="inlineStr">
        <is>
          <t>No</t>
        </is>
      </c>
      <c r="AQ448" t="inlineStr">
        <is>
          <t>Yes</t>
        </is>
      </c>
      <c r="AR448">
        <f>HYPERLINK("http://catalog.hathitrust.org/Record/002736599","HathiTrust Record")</f>
        <v/>
      </c>
      <c r="AS448">
        <f>HYPERLINK("https://creighton-primo.hosted.exlibrisgroup.com/primo-explore/search?tab=default_tab&amp;search_scope=EVERYTHING&amp;vid=01CRU&amp;lang=en_US&amp;offset=0&amp;query=any,contains,991002126239702656","Catalog Record")</f>
        <v/>
      </c>
      <c r="AT448">
        <f>HYPERLINK("http://www.worldcat.org/oclc/27227982","WorldCat Record")</f>
        <v/>
      </c>
      <c r="AU448" t="inlineStr">
        <is>
          <t>350434398:eng</t>
        </is>
      </c>
      <c r="AV448" t="inlineStr">
        <is>
          <t>27227982</t>
        </is>
      </c>
      <c r="AW448" t="inlineStr">
        <is>
          <t>991002126239702656</t>
        </is>
      </c>
      <c r="AX448" t="inlineStr">
        <is>
          <t>991002126239702656</t>
        </is>
      </c>
      <c r="AY448" t="inlineStr">
        <is>
          <t>2265653900002656</t>
        </is>
      </c>
      <c r="AZ448" t="inlineStr">
        <is>
          <t>BOOK</t>
        </is>
      </c>
      <c r="BC448" t="inlineStr">
        <is>
          <t>32285001812816</t>
        </is>
      </c>
      <c r="BD448" t="inlineStr">
        <is>
          <t>893322593</t>
        </is>
      </c>
    </row>
    <row r="449">
      <c r="A449" t="inlineStr">
        <is>
          <t>No</t>
        </is>
      </c>
      <c r="B449" t="inlineStr">
        <is>
          <t>RC451.4.P68 E875 2004</t>
        </is>
      </c>
      <c r="C449" t="inlineStr">
        <is>
          <t>0                      RC 0451400P  68                 E  875         2004</t>
        </is>
      </c>
      <c r="D449" t="inlineStr">
        <is>
          <t>The essential handbook of offender assessment and treatment / edited by Clive R. Hollin.</t>
        </is>
      </c>
      <c r="F449" t="inlineStr">
        <is>
          <t>No</t>
        </is>
      </c>
      <c r="G449" t="inlineStr">
        <is>
          <t>1</t>
        </is>
      </c>
      <c r="H449" t="inlineStr">
        <is>
          <t>No</t>
        </is>
      </c>
      <c r="I449" t="inlineStr">
        <is>
          <t>No</t>
        </is>
      </c>
      <c r="J449" t="inlineStr">
        <is>
          <t>0</t>
        </is>
      </c>
      <c r="L449" t="inlineStr">
        <is>
          <t>Chichester ; New York : Wiley, 2004.</t>
        </is>
      </c>
      <c r="M449" t="inlineStr">
        <is>
          <t>2004</t>
        </is>
      </c>
      <c r="O449" t="inlineStr">
        <is>
          <t>eng</t>
        </is>
      </c>
      <c r="P449" t="inlineStr">
        <is>
          <t>enk</t>
        </is>
      </c>
      <c r="R449" t="inlineStr">
        <is>
          <t xml:space="preserve">RC </t>
        </is>
      </c>
      <c r="S449" t="n">
        <v>4</v>
      </c>
      <c r="T449" t="n">
        <v>4</v>
      </c>
      <c r="U449" t="inlineStr">
        <is>
          <t>2005-05-01</t>
        </is>
      </c>
      <c r="V449" t="inlineStr">
        <is>
          <t>2005-05-01</t>
        </is>
      </c>
      <c r="W449" t="inlineStr">
        <is>
          <t>2004-03-16</t>
        </is>
      </c>
      <c r="X449" t="inlineStr">
        <is>
          <t>2004-03-16</t>
        </is>
      </c>
      <c r="Y449" t="n">
        <v>164</v>
      </c>
      <c r="Z449" t="n">
        <v>71</v>
      </c>
      <c r="AA449" t="n">
        <v>460</v>
      </c>
      <c r="AB449" t="n">
        <v>1</v>
      </c>
      <c r="AC449" t="n">
        <v>1</v>
      </c>
      <c r="AD449" t="n">
        <v>6</v>
      </c>
      <c r="AE449" t="n">
        <v>10</v>
      </c>
      <c r="AF449" t="n">
        <v>2</v>
      </c>
      <c r="AG449" t="n">
        <v>3</v>
      </c>
      <c r="AH449" t="n">
        <v>1</v>
      </c>
      <c r="AI449" t="n">
        <v>3</v>
      </c>
      <c r="AJ449" t="n">
        <v>4</v>
      </c>
      <c r="AK449" t="n">
        <v>7</v>
      </c>
      <c r="AL449" t="n">
        <v>0</v>
      </c>
      <c r="AM449" t="n">
        <v>0</v>
      </c>
      <c r="AN449" t="n">
        <v>1</v>
      </c>
      <c r="AO449" t="n">
        <v>1</v>
      </c>
      <c r="AP449" t="inlineStr">
        <is>
          <t>No</t>
        </is>
      </c>
      <c r="AQ449" t="inlineStr">
        <is>
          <t>Yes</t>
        </is>
      </c>
      <c r="AR449">
        <f>HYPERLINK("http://catalog.hathitrust.org/Record/004350763","HathiTrust Record")</f>
        <v/>
      </c>
      <c r="AS449">
        <f>HYPERLINK("https://creighton-primo.hosted.exlibrisgroup.com/primo-explore/search?tab=default_tab&amp;search_scope=EVERYTHING&amp;vid=01CRU&amp;lang=en_US&amp;offset=0&amp;query=any,contains,991004238419702656","Catalog Record")</f>
        <v/>
      </c>
      <c r="AT449">
        <f>HYPERLINK("http://www.worldcat.org/oclc/51965370","WorldCat Record")</f>
        <v/>
      </c>
      <c r="AU449" t="inlineStr">
        <is>
          <t>3855878846:eng</t>
        </is>
      </c>
      <c r="AV449" t="inlineStr">
        <is>
          <t>51965370</t>
        </is>
      </c>
      <c r="AW449" t="inlineStr">
        <is>
          <t>991004238419702656</t>
        </is>
      </c>
      <c r="AX449" t="inlineStr">
        <is>
          <t>991004238419702656</t>
        </is>
      </c>
      <c r="AY449" t="inlineStr">
        <is>
          <t>2256893410002656</t>
        </is>
      </c>
      <c r="AZ449" t="inlineStr">
        <is>
          <t>BOOK</t>
        </is>
      </c>
      <c r="BB449" t="inlineStr">
        <is>
          <t>9780470854365</t>
        </is>
      </c>
      <c r="BC449" t="inlineStr">
        <is>
          <t>32285004894589</t>
        </is>
      </c>
      <c r="BD449" t="inlineStr">
        <is>
          <t>893429819</t>
        </is>
      </c>
    </row>
    <row r="450">
      <c r="A450" t="inlineStr">
        <is>
          <t>No</t>
        </is>
      </c>
      <c r="B450" t="inlineStr">
        <is>
          <t>RC451.4.P68 I67 2001</t>
        </is>
      </c>
      <c r="C450" t="inlineStr">
        <is>
          <t>0                      RC 0451400P  68                 I  67          2001</t>
        </is>
      </c>
      <c r="D450" t="inlineStr">
        <is>
          <t>Treating adult and juvenile offenders with special needs / edited by Josae B. Ashford, Bruce D. Sales, William H. Reid.</t>
        </is>
      </c>
      <c r="F450" t="inlineStr">
        <is>
          <t>No</t>
        </is>
      </c>
      <c r="G450" t="inlineStr">
        <is>
          <t>1</t>
        </is>
      </c>
      <c r="H450" t="inlineStr">
        <is>
          <t>No</t>
        </is>
      </c>
      <c r="I450" t="inlineStr">
        <is>
          <t>No</t>
        </is>
      </c>
      <c r="J450" t="inlineStr">
        <is>
          <t>0</t>
        </is>
      </c>
      <c r="L450" t="inlineStr">
        <is>
          <t>Washington, D.C. : American Psychological Association, 2001.</t>
        </is>
      </c>
      <c r="M450" t="inlineStr">
        <is>
          <t>2001</t>
        </is>
      </c>
      <c r="O450" t="inlineStr">
        <is>
          <t>eng</t>
        </is>
      </c>
      <c r="P450" t="inlineStr">
        <is>
          <t>nyu</t>
        </is>
      </c>
      <c r="Q450" t="inlineStr">
        <is>
          <t>The law and public policy</t>
        </is>
      </c>
      <c r="R450" t="inlineStr">
        <is>
          <t xml:space="preserve">RC </t>
        </is>
      </c>
      <c r="S450" t="n">
        <v>1</v>
      </c>
      <c r="T450" t="n">
        <v>1</v>
      </c>
      <c r="U450" t="inlineStr">
        <is>
          <t>2004-09-23</t>
        </is>
      </c>
      <c r="V450" t="inlineStr">
        <is>
          <t>2004-09-23</t>
        </is>
      </c>
      <c r="W450" t="inlineStr">
        <is>
          <t>2004-09-23</t>
        </is>
      </c>
      <c r="X450" t="inlineStr">
        <is>
          <t>2004-09-23</t>
        </is>
      </c>
      <c r="Y450" t="n">
        <v>440</v>
      </c>
      <c r="Z450" t="n">
        <v>380</v>
      </c>
      <c r="AA450" t="n">
        <v>463</v>
      </c>
      <c r="AB450" t="n">
        <v>4</v>
      </c>
      <c r="AC450" t="n">
        <v>5</v>
      </c>
      <c r="AD450" t="n">
        <v>13</v>
      </c>
      <c r="AE450" t="n">
        <v>21</v>
      </c>
      <c r="AF450" t="n">
        <v>3</v>
      </c>
      <c r="AG450" t="n">
        <v>6</v>
      </c>
      <c r="AH450" t="n">
        <v>2</v>
      </c>
      <c r="AI450" t="n">
        <v>2</v>
      </c>
      <c r="AJ450" t="n">
        <v>4</v>
      </c>
      <c r="AK450" t="n">
        <v>9</v>
      </c>
      <c r="AL450" t="n">
        <v>3</v>
      </c>
      <c r="AM450" t="n">
        <v>4</v>
      </c>
      <c r="AN450" t="n">
        <v>3</v>
      </c>
      <c r="AO450" t="n">
        <v>3</v>
      </c>
      <c r="AP450" t="inlineStr">
        <is>
          <t>No</t>
        </is>
      </c>
      <c r="AQ450" t="inlineStr">
        <is>
          <t>No</t>
        </is>
      </c>
      <c r="AS450">
        <f>HYPERLINK("https://creighton-primo.hosted.exlibrisgroup.com/primo-explore/search?tab=default_tab&amp;search_scope=EVERYTHING&amp;vid=01CRU&amp;lang=en_US&amp;offset=0&amp;query=any,contains,991004352849702656","Catalog Record")</f>
        <v/>
      </c>
      <c r="AT450">
        <f>HYPERLINK("http://www.worldcat.org/oclc/44420922","WorldCat Record")</f>
        <v/>
      </c>
      <c r="AU450" t="inlineStr">
        <is>
          <t>374019469:eng</t>
        </is>
      </c>
      <c r="AV450" t="inlineStr">
        <is>
          <t>44420922</t>
        </is>
      </c>
      <c r="AW450" t="inlineStr">
        <is>
          <t>991004352849702656</t>
        </is>
      </c>
      <c r="AX450" t="inlineStr">
        <is>
          <t>991004352849702656</t>
        </is>
      </c>
      <c r="AY450" t="inlineStr">
        <is>
          <t>2255508300002656</t>
        </is>
      </c>
      <c r="AZ450" t="inlineStr">
        <is>
          <t>BOOK</t>
        </is>
      </c>
      <c r="BB450" t="inlineStr">
        <is>
          <t>9781557986672</t>
        </is>
      </c>
      <c r="BC450" t="inlineStr">
        <is>
          <t>32285004988662</t>
        </is>
      </c>
      <c r="BD450" t="inlineStr">
        <is>
          <t>893882372</t>
        </is>
      </c>
    </row>
    <row r="451">
      <c r="A451" t="inlineStr">
        <is>
          <t>No</t>
        </is>
      </c>
      <c r="B451" t="inlineStr">
        <is>
          <t>RC451.4.P68 V56 2000</t>
        </is>
      </c>
      <c r="C451" t="inlineStr">
        <is>
          <t>0                      RC 0451400P  68                 V  56          2000</t>
        </is>
      </c>
      <c r="D451" t="inlineStr">
        <is>
          <t>Violence, crime, and mentally disordered offenders : concepts and methods for effective treatment and prevention / edited by Sheilagh Hodgins, Rüdiger Müller-Isberner.</t>
        </is>
      </c>
      <c r="F451" t="inlineStr">
        <is>
          <t>No</t>
        </is>
      </c>
      <c r="G451" t="inlineStr">
        <is>
          <t>1</t>
        </is>
      </c>
      <c r="H451" t="inlineStr">
        <is>
          <t>No</t>
        </is>
      </c>
      <c r="I451" t="inlineStr">
        <is>
          <t>No</t>
        </is>
      </c>
      <c r="J451" t="inlineStr">
        <is>
          <t>0</t>
        </is>
      </c>
      <c r="L451" t="inlineStr">
        <is>
          <t>Chichester ; New York : Wiley, c2000.</t>
        </is>
      </c>
      <c r="M451" t="inlineStr">
        <is>
          <t>2000</t>
        </is>
      </c>
      <c r="O451" t="inlineStr">
        <is>
          <t>eng</t>
        </is>
      </c>
      <c r="P451" t="inlineStr">
        <is>
          <t>enk</t>
        </is>
      </c>
      <c r="Q451" t="inlineStr">
        <is>
          <t>Wiley series in forensic clinical psychology</t>
        </is>
      </c>
      <c r="R451" t="inlineStr">
        <is>
          <t xml:space="preserve">RC </t>
        </is>
      </c>
      <c r="S451" t="n">
        <v>2</v>
      </c>
      <c r="T451" t="n">
        <v>2</v>
      </c>
      <c r="U451" t="inlineStr">
        <is>
          <t>2005-05-24</t>
        </is>
      </c>
      <c r="V451" t="inlineStr">
        <is>
          <t>2005-05-24</t>
        </is>
      </c>
      <c r="W451" t="inlineStr">
        <is>
          <t>2005-04-11</t>
        </is>
      </c>
      <c r="X451" t="inlineStr">
        <is>
          <t>2005-04-11</t>
        </is>
      </c>
      <c r="Y451" t="n">
        <v>236</v>
      </c>
      <c r="Z451" t="n">
        <v>158</v>
      </c>
      <c r="AA451" t="n">
        <v>171</v>
      </c>
      <c r="AB451" t="n">
        <v>1</v>
      </c>
      <c r="AC451" t="n">
        <v>1</v>
      </c>
      <c r="AD451" t="n">
        <v>9</v>
      </c>
      <c r="AE451" t="n">
        <v>9</v>
      </c>
      <c r="AF451" t="n">
        <v>5</v>
      </c>
      <c r="AG451" t="n">
        <v>5</v>
      </c>
      <c r="AH451" t="n">
        <v>0</v>
      </c>
      <c r="AI451" t="n">
        <v>0</v>
      </c>
      <c r="AJ451" t="n">
        <v>4</v>
      </c>
      <c r="AK451" t="n">
        <v>4</v>
      </c>
      <c r="AL451" t="n">
        <v>0</v>
      </c>
      <c r="AM451" t="n">
        <v>0</v>
      </c>
      <c r="AN451" t="n">
        <v>2</v>
      </c>
      <c r="AO451" t="n">
        <v>2</v>
      </c>
      <c r="AP451" t="inlineStr">
        <is>
          <t>No</t>
        </is>
      </c>
      <c r="AQ451" t="inlineStr">
        <is>
          <t>Yes</t>
        </is>
      </c>
      <c r="AR451">
        <f>HYPERLINK("http://catalog.hathitrust.org/Record/003498462","HathiTrust Record")</f>
        <v/>
      </c>
      <c r="AS451">
        <f>HYPERLINK("https://creighton-primo.hosted.exlibrisgroup.com/primo-explore/search?tab=default_tab&amp;search_scope=EVERYTHING&amp;vid=01CRU&amp;lang=en_US&amp;offset=0&amp;query=any,contains,991004510929702656","Catalog Record")</f>
        <v/>
      </c>
      <c r="AT451">
        <f>HYPERLINK("http://www.worldcat.org/oclc/42692176","WorldCat Record")</f>
        <v/>
      </c>
      <c r="AU451" t="inlineStr">
        <is>
          <t>354650978:eng</t>
        </is>
      </c>
      <c r="AV451" t="inlineStr">
        <is>
          <t>42692176</t>
        </is>
      </c>
      <c r="AW451" t="inlineStr">
        <is>
          <t>991004510929702656</t>
        </is>
      </c>
      <c r="AX451" t="inlineStr">
        <is>
          <t>991004510929702656</t>
        </is>
      </c>
      <c r="AY451" t="inlineStr">
        <is>
          <t>2257864070002656</t>
        </is>
      </c>
      <c r="AZ451" t="inlineStr">
        <is>
          <t>BOOK</t>
        </is>
      </c>
      <c r="BB451" t="inlineStr">
        <is>
          <t>9780471977278</t>
        </is>
      </c>
      <c r="BC451" t="inlineStr">
        <is>
          <t>32285005049423</t>
        </is>
      </c>
      <c r="BD451" t="inlineStr">
        <is>
          <t>893694020</t>
        </is>
      </c>
    </row>
    <row r="452">
      <c r="A452" t="inlineStr">
        <is>
          <t>No</t>
        </is>
      </c>
      <c r="B452" t="inlineStr">
        <is>
          <t>RC451.4.P7 M3</t>
        </is>
      </c>
      <c r="C452" t="inlineStr">
        <is>
          <t>0                      RC 0451400P  7                  M  3</t>
        </is>
      </c>
      <c r="D452" t="inlineStr">
        <is>
          <t>Massive psychic trauma. Edited by Henry Krystal.</t>
        </is>
      </c>
      <c r="F452" t="inlineStr">
        <is>
          <t>No</t>
        </is>
      </c>
      <c r="G452" t="inlineStr">
        <is>
          <t>1</t>
        </is>
      </c>
      <c r="H452" t="inlineStr">
        <is>
          <t>No</t>
        </is>
      </c>
      <c r="I452" t="inlineStr">
        <is>
          <t>No</t>
        </is>
      </c>
      <c r="J452" t="inlineStr">
        <is>
          <t>0</t>
        </is>
      </c>
      <c r="L452" t="inlineStr">
        <is>
          <t>New York, International Universities Press [1969, c1968]</t>
        </is>
      </c>
      <c r="M452" t="inlineStr">
        <is>
          <t>1969</t>
        </is>
      </c>
      <c r="O452" t="inlineStr">
        <is>
          <t>eng</t>
        </is>
      </c>
      <c r="P452" t="inlineStr">
        <is>
          <t>nyu</t>
        </is>
      </c>
      <c r="R452" t="inlineStr">
        <is>
          <t xml:space="preserve">RC </t>
        </is>
      </c>
      <c r="S452" t="n">
        <v>3</v>
      </c>
      <c r="T452" t="n">
        <v>3</v>
      </c>
      <c r="U452" t="inlineStr">
        <is>
          <t>1999-09-28</t>
        </is>
      </c>
      <c r="V452" t="inlineStr">
        <is>
          <t>1999-09-28</t>
        </is>
      </c>
      <c r="W452" t="inlineStr">
        <is>
          <t>1997-08-11</t>
        </is>
      </c>
      <c r="X452" t="inlineStr">
        <is>
          <t>1997-08-11</t>
        </is>
      </c>
      <c r="Y452" t="n">
        <v>291</v>
      </c>
      <c r="Z452" t="n">
        <v>260</v>
      </c>
      <c r="AA452" t="n">
        <v>283</v>
      </c>
      <c r="AB452" t="n">
        <v>3</v>
      </c>
      <c r="AC452" t="n">
        <v>3</v>
      </c>
      <c r="AD452" t="n">
        <v>13</v>
      </c>
      <c r="AE452" t="n">
        <v>13</v>
      </c>
      <c r="AF452" t="n">
        <v>3</v>
      </c>
      <c r="AG452" t="n">
        <v>3</v>
      </c>
      <c r="AH452" t="n">
        <v>3</v>
      </c>
      <c r="AI452" t="n">
        <v>3</v>
      </c>
      <c r="AJ452" t="n">
        <v>7</v>
      </c>
      <c r="AK452" t="n">
        <v>7</v>
      </c>
      <c r="AL452" t="n">
        <v>1</v>
      </c>
      <c r="AM452" t="n">
        <v>1</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HYPERLINK("https://creighton-primo.hosted.exlibrisgroup.com/primo-explore/search?tab=default_tab&amp;search_scope=EVERYTHING&amp;vid=01CRU&amp;lang=en_US&amp;offset=0&amp;query=any,contains,991005273259702656","Catalog Record")</f>
        <v/>
      </c>
      <c r="AT452">
        <f>HYPERLINK("http://www.worldcat.org/oclc/1967","WorldCat Record")</f>
        <v/>
      </c>
      <c r="AU452" t="inlineStr">
        <is>
          <t>479459427:eng</t>
        </is>
      </c>
      <c r="AV452" t="inlineStr">
        <is>
          <t>1967</t>
        </is>
      </c>
      <c r="AW452" t="inlineStr">
        <is>
          <t>991005273259702656</t>
        </is>
      </c>
      <c r="AX452" t="inlineStr">
        <is>
          <t>991005273259702656</t>
        </is>
      </c>
      <c r="AY452" t="inlineStr">
        <is>
          <t>2271339420002656</t>
        </is>
      </c>
      <c r="AZ452" t="inlineStr">
        <is>
          <t>BOOK</t>
        </is>
      </c>
      <c r="BC452" t="inlineStr">
        <is>
          <t>32285003090452</t>
        </is>
      </c>
      <c r="BD452" t="inlineStr">
        <is>
          <t>893883603</t>
        </is>
      </c>
    </row>
    <row r="453">
      <c r="A453" t="inlineStr">
        <is>
          <t>No</t>
        </is>
      </c>
      <c r="B453" t="inlineStr">
        <is>
          <t>RC451.4.P75 L33 1986</t>
        </is>
      </c>
      <c r="C453" t="inlineStr">
        <is>
          <t>0                      RC 0451400P  75                 L  33          1986</t>
        </is>
      </c>
      <c r="D453" t="inlineStr">
        <is>
          <t>Modern madness : the emotional fallout of success / Douglas LaBier.</t>
        </is>
      </c>
      <c r="F453" t="inlineStr">
        <is>
          <t>No</t>
        </is>
      </c>
      <c r="G453" t="inlineStr">
        <is>
          <t>1</t>
        </is>
      </c>
      <c r="H453" t="inlineStr">
        <is>
          <t>No</t>
        </is>
      </c>
      <c r="I453" t="inlineStr">
        <is>
          <t>No</t>
        </is>
      </c>
      <c r="J453" t="inlineStr">
        <is>
          <t>0</t>
        </is>
      </c>
      <c r="K453" t="inlineStr">
        <is>
          <t>LaBier, Douglas.</t>
        </is>
      </c>
      <c r="L453" t="inlineStr">
        <is>
          <t>Reading, Mass. : Addison-Wesley Pub. Co., c1986.</t>
        </is>
      </c>
      <c r="M453" t="inlineStr">
        <is>
          <t>1986</t>
        </is>
      </c>
      <c r="O453" t="inlineStr">
        <is>
          <t>eng</t>
        </is>
      </c>
      <c r="P453" t="inlineStr">
        <is>
          <t>mau</t>
        </is>
      </c>
      <c r="R453" t="inlineStr">
        <is>
          <t xml:space="preserve">RC </t>
        </is>
      </c>
      <c r="S453" t="n">
        <v>3</v>
      </c>
      <c r="T453" t="n">
        <v>3</v>
      </c>
      <c r="U453" t="inlineStr">
        <is>
          <t>1996-11-04</t>
        </is>
      </c>
      <c r="V453" t="inlineStr">
        <is>
          <t>1996-11-04</t>
        </is>
      </c>
      <c r="W453" t="inlineStr">
        <is>
          <t>1993-03-19</t>
        </is>
      </c>
      <c r="X453" t="inlineStr">
        <is>
          <t>1993-03-19</t>
        </is>
      </c>
      <c r="Y453" t="n">
        <v>547</v>
      </c>
      <c r="Z453" t="n">
        <v>507</v>
      </c>
      <c r="AA453" t="n">
        <v>514</v>
      </c>
      <c r="AB453" t="n">
        <v>2</v>
      </c>
      <c r="AC453" t="n">
        <v>2</v>
      </c>
      <c r="AD453" t="n">
        <v>17</v>
      </c>
      <c r="AE453" t="n">
        <v>17</v>
      </c>
      <c r="AF453" t="n">
        <v>4</v>
      </c>
      <c r="AG453" t="n">
        <v>4</v>
      </c>
      <c r="AH453" t="n">
        <v>5</v>
      </c>
      <c r="AI453" t="n">
        <v>5</v>
      </c>
      <c r="AJ453" t="n">
        <v>13</v>
      </c>
      <c r="AK453" t="n">
        <v>13</v>
      </c>
      <c r="AL453" t="n">
        <v>1</v>
      </c>
      <c r="AM453" t="n">
        <v>1</v>
      </c>
      <c r="AN453" t="n">
        <v>0</v>
      </c>
      <c r="AO453" t="n">
        <v>0</v>
      </c>
      <c r="AP453" t="inlineStr">
        <is>
          <t>No</t>
        </is>
      </c>
      <c r="AQ453" t="inlineStr">
        <is>
          <t>Yes</t>
        </is>
      </c>
      <c r="AR453">
        <f>HYPERLINK("http://catalog.hathitrust.org/Record/000589921","HathiTrust Record")</f>
        <v/>
      </c>
      <c r="AS453">
        <f>HYPERLINK("https://creighton-primo.hosted.exlibrisgroup.com/primo-explore/search?tab=default_tab&amp;search_scope=EVERYTHING&amp;vid=01CRU&amp;lang=en_US&amp;offset=0&amp;query=any,contains,991000760759702656","Catalog Record")</f>
        <v/>
      </c>
      <c r="AT453">
        <f>HYPERLINK("http://www.worldcat.org/oclc/12972991","WorldCat Record")</f>
        <v/>
      </c>
      <c r="AU453" t="inlineStr">
        <is>
          <t>3372171304:eng</t>
        </is>
      </c>
      <c r="AV453" t="inlineStr">
        <is>
          <t>12972991</t>
        </is>
      </c>
      <c r="AW453" t="inlineStr">
        <is>
          <t>991000760759702656</t>
        </is>
      </c>
      <c r="AX453" t="inlineStr">
        <is>
          <t>991000760759702656</t>
        </is>
      </c>
      <c r="AY453" t="inlineStr">
        <is>
          <t>2263786740002656</t>
        </is>
      </c>
      <c r="AZ453" t="inlineStr">
        <is>
          <t>BOOK</t>
        </is>
      </c>
      <c r="BB453" t="inlineStr">
        <is>
          <t>9780201117752</t>
        </is>
      </c>
      <c r="BC453" t="inlineStr">
        <is>
          <t>32285001605590</t>
        </is>
      </c>
      <c r="BD453" t="inlineStr">
        <is>
          <t>893426009</t>
        </is>
      </c>
    </row>
    <row r="454">
      <c r="A454" t="inlineStr">
        <is>
          <t>No</t>
        </is>
      </c>
      <c r="B454" t="inlineStr">
        <is>
          <t>RC451.4.W6 C47</t>
        </is>
      </c>
      <c r="C454" t="inlineStr">
        <is>
          <t>0                      RC 0451400W  6                  C  47</t>
        </is>
      </c>
      <c r="D454" t="inlineStr">
        <is>
          <t>Women and madness.</t>
        </is>
      </c>
      <c r="F454" t="inlineStr">
        <is>
          <t>No</t>
        </is>
      </c>
      <c r="G454" t="inlineStr">
        <is>
          <t>1</t>
        </is>
      </c>
      <c r="H454" t="inlineStr">
        <is>
          <t>No</t>
        </is>
      </c>
      <c r="I454" t="inlineStr">
        <is>
          <t>No</t>
        </is>
      </c>
      <c r="J454" t="inlineStr">
        <is>
          <t>0</t>
        </is>
      </c>
      <c r="K454" t="inlineStr">
        <is>
          <t>Chesler, Phyllis.</t>
        </is>
      </c>
      <c r="L454" t="inlineStr">
        <is>
          <t>Garden City, N.Y., Doubleday [1972]</t>
        </is>
      </c>
      <c r="M454" t="inlineStr">
        <is>
          <t>1972</t>
        </is>
      </c>
      <c r="N454" t="inlineStr">
        <is>
          <t>[1st ed.]</t>
        </is>
      </c>
      <c r="O454" t="inlineStr">
        <is>
          <t>eng</t>
        </is>
      </c>
      <c r="P454" t="inlineStr">
        <is>
          <t>nyu</t>
        </is>
      </c>
      <c r="R454" t="inlineStr">
        <is>
          <t xml:space="preserve">RC </t>
        </is>
      </c>
      <c r="S454" t="n">
        <v>2</v>
      </c>
      <c r="T454" t="n">
        <v>2</v>
      </c>
      <c r="U454" t="inlineStr">
        <is>
          <t>2006-09-28</t>
        </is>
      </c>
      <c r="V454" t="inlineStr">
        <is>
          <t>2006-09-28</t>
        </is>
      </c>
      <c r="W454" t="inlineStr">
        <is>
          <t>1997-08-11</t>
        </is>
      </c>
      <c r="X454" t="inlineStr">
        <is>
          <t>1997-08-11</t>
        </is>
      </c>
      <c r="Y454" t="n">
        <v>931</v>
      </c>
      <c r="Z454" t="n">
        <v>857</v>
      </c>
      <c r="AA454" t="n">
        <v>1696</v>
      </c>
      <c r="AB454" t="n">
        <v>4</v>
      </c>
      <c r="AC454" t="n">
        <v>8</v>
      </c>
      <c r="AD454" t="n">
        <v>31</v>
      </c>
      <c r="AE454" t="n">
        <v>53</v>
      </c>
      <c r="AF454" t="n">
        <v>17</v>
      </c>
      <c r="AG454" t="n">
        <v>24</v>
      </c>
      <c r="AH454" t="n">
        <v>5</v>
      </c>
      <c r="AI454" t="n">
        <v>10</v>
      </c>
      <c r="AJ454" t="n">
        <v>15</v>
      </c>
      <c r="AK454" t="n">
        <v>22</v>
      </c>
      <c r="AL454" t="n">
        <v>3</v>
      </c>
      <c r="AM454" t="n">
        <v>7</v>
      </c>
      <c r="AN454" t="n">
        <v>0</v>
      </c>
      <c r="AO454" t="n">
        <v>1</v>
      </c>
      <c r="AP454" t="inlineStr">
        <is>
          <t>No</t>
        </is>
      </c>
      <c r="AQ454" t="inlineStr">
        <is>
          <t>Yes</t>
        </is>
      </c>
      <c r="AR454">
        <f>HYPERLINK("http://catalog.hathitrust.org/Record/001563845","HathiTrust Record")</f>
        <v/>
      </c>
      <c r="AS454">
        <f>HYPERLINK("https://creighton-primo.hosted.exlibrisgroup.com/primo-explore/search?tab=default_tab&amp;search_scope=EVERYTHING&amp;vid=01CRU&amp;lang=en_US&amp;offset=0&amp;query=any,contains,991002875079702656","Catalog Record")</f>
        <v/>
      </c>
      <c r="AT454">
        <f>HYPERLINK("http://www.worldcat.org/oclc/502052","WorldCat Record")</f>
        <v/>
      </c>
      <c r="AU454" t="inlineStr">
        <is>
          <t>427690:eng</t>
        </is>
      </c>
      <c r="AV454" t="inlineStr">
        <is>
          <t>502052</t>
        </is>
      </c>
      <c r="AW454" t="inlineStr">
        <is>
          <t>991002875079702656</t>
        </is>
      </c>
      <c r="AX454" t="inlineStr">
        <is>
          <t>991002875079702656</t>
        </is>
      </c>
      <c r="AY454" t="inlineStr">
        <is>
          <t>2264154880002656</t>
        </is>
      </c>
      <c r="AZ454" t="inlineStr">
        <is>
          <t>BOOK</t>
        </is>
      </c>
      <c r="BB454" t="inlineStr">
        <is>
          <t>9780385026710</t>
        </is>
      </c>
      <c r="BC454" t="inlineStr">
        <is>
          <t>32285003090460</t>
        </is>
      </c>
      <c r="BD454" t="inlineStr">
        <is>
          <t>893867817</t>
        </is>
      </c>
    </row>
    <row r="455">
      <c r="A455" t="inlineStr">
        <is>
          <t>No</t>
        </is>
      </c>
      <c r="B455" t="inlineStr">
        <is>
          <t>RC451.4.W6 L47 1988</t>
        </is>
      </c>
      <c r="C455" t="inlineStr">
        <is>
          <t>0                      RC 0451400W  6                  L  47          1988</t>
        </is>
      </c>
      <c r="D455" t="inlineStr">
        <is>
          <t>Women in therapy : devaluation, anger, aggression, depression, self-sacrifice, mothering, mother blaming, self-betrayal, sex-role stereotypes, dependency, work and success inhibitions / Harriet Goldhor Lerner.</t>
        </is>
      </c>
      <c r="F455" t="inlineStr">
        <is>
          <t>No</t>
        </is>
      </c>
      <c r="G455" t="inlineStr">
        <is>
          <t>1</t>
        </is>
      </c>
      <c r="H455" t="inlineStr">
        <is>
          <t>No</t>
        </is>
      </c>
      <c r="I455" t="inlineStr">
        <is>
          <t>No</t>
        </is>
      </c>
      <c r="J455" t="inlineStr">
        <is>
          <t>0</t>
        </is>
      </c>
      <c r="K455" t="inlineStr">
        <is>
          <t>Lerner, Harriet Goldhor.</t>
        </is>
      </c>
      <c r="L455" t="inlineStr">
        <is>
          <t>Northvale, N.J. : J. Aronson, c1988.</t>
        </is>
      </c>
      <c r="M455" t="inlineStr">
        <is>
          <t>1988</t>
        </is>
      </c>
      <c r="O455" t="inlineStr">
        <is>
          <t>eng</t>
        </is>
      </c>
      <c r="P455" t="inlineStr">
        <is>
          <t>nju</t>
        </is>
      </c>
      <c r="R455" t="inlineStr">
        <is>
          <t xml:space="preserve">RC </t>
        </is>
      </c>
      <c r="S455" t="n">
        <v>14</v>
      </c>
      <c r="T455" t="n">
        <v>14</v>
      </c>
      <c r="U455" t="inlineStr">
        <is>
          <t>2005-12-20</t>
        </is>
      </c>
      <c r="V455" t="inlineStr">
        <is>
          <t>2005-12-20</t>
        </is>
      </c>
      <c r="W455" t="inlineStr">
        <is>
          <t>1992-04-03</t>
        </is>
      </c>
      <c r="X455" t="inlineStr">
        <is>
          <t>1992-04-03</t>
        </is>
      </c>
      <c r="Y455" t="n">
        <v>370</v>
      </c>
      <c r="Z455" t="n">
        <v>336</v>
      </c>
      <c r="AA455" t="n">
        <v>650</v>
      </c>
      <c r="AB455" t="n">
        <v>3</v>
      </c>
      <c r="AC455" t="n">
        <v>5</v>
      </c>
      <c r="AD455" t="n">
        <v>15</v>
      </c>
      <c r="AE455" t="n">
        <v>25</v>
      </c>
      <c r="AF455" t="n">
        <v>7</v>
      </c>
      <c r="AG455" t="n">
        <v>10</v>
      </c>
      <c r="AH455" t="n">
        <v>2</v>
      </c>
      <c r="AI455" t="n">
        <v>3</v>
      </c>
      <c r="AJ455" t="n">
        <v>8</v>
      </c>
      <c r="AK455" t="n">
        <v>16</v>
      </c>
      <c r="AL455" t="n">
        <v>2</v>
      </c>
      <c r="AM455" t="n">
        <v>3</v>
      </c>
      <c r="AN455" t="n">
        <v>0</v>
      </c>
      <c r="AO455" t="n">
        <v>0</v>
      </c>
      <c r="AP455" t="inlineStr">
        <is>
          <t>No</t>
        </is>
      </c>
      <c r="AQ455" t="inlineStr">
        <is>
          <t>Yes</t>
        </is>
      </c>
      <c r="AR455">
        <f>HYPERLINK("http://catalog.hathitrust.org/Record/000928940","HathiTrust Record")</f>
        <v/>
      </c>
      <c r="AS455">
        <f>HYPERLINK("https://creighton-primo.hosted.exlibrisgroup.com/primo-explore/search?tab=default_tab&amp;search_scope=EVERYTHING&amp;vid=01CRU&amp;lang=en_US&amp;offset=0&amp;query=any,contains,991001114859702656","Catalog Record")</f>
        <v/>
      </c>
      <c r="AT455">
        <f>HYPERLINK("http://www.worldcat.org/oclc/16525022","WorldCat Record")</f>
        <v/>
      </c>
      <c r="AU455" t="inlineStr">
        <is>
          <t>18914740:eng</t>
        </is>
      </c>
      <c r="AV455" t="inlineStr">
        <is>
          <t>16525022</t>
        </is>
      </c>
      <c r="AW455" t="inlineStr">
        <is>
          <t>991001114859702656</t>
        </is>
      </c>
      <c r="AX455" t="inlineStr">
        <is>
          <t>991001114859702656</t>
        </is>
      </c>
      <c r="AY455" t="inlineStr">
        <is>
          <t>2258929310002656</t>
        </is>
      </c>
      <c r="AZ455" t="inlineStr">
        <is>
          <t>BOOK</t>
        </is>
      </c>
      <c r="BB455" t="inlineStr">
        <is>
          <t>9780876689783</t>
        </is>
      </c>
      <c r="BC455" t="inlineStr">
        <is>
          <t>32285001048361</t>
        </is>
      </c>
      <c r="BD455" t="inlineStr">
        <is>
          <t>893885051</t>
        </is>
      </c>
    </row>
    <row r="456">
      <c r="A456" t="inlineStr">
        <is>
          <t>No</t>
        </is>
      </c>
      <c r="B456" t="inlineStr">
        <is>
          <t>RC451.4.W6 L58 1982</t>
        </is>
      </c>
      <c r="C456" t="inlineStr">
        <is>
          <t>0                      RC 0451400W  6                  L  58          1982</t>
        </is>
      </c>
      <c r="D456" t="inlineStr">
        <is>
          <t>Lives in stress : women and depression / edited by Deborah Belle ; foreword by Jessie Bernard.</t>
        </is>
      </c>
      <c r="F456" t="inlineStr">
        <is>
          <t>No</t>
        </is>
      </c>
      <c r="G456" t="inlineStr">
        <is>
          <t>1</t>
        </is>
      </c>
      <c r="H456" t="inlineStr">
        <is>
          <t>No</t>
        </is>
      </c>
      <c r="I456" t="inlineStr">
        <is>
          <t>No</t>
        </is>
      </c>
      <c r="J456" t="inlineStr">
        <is>
          <t>0</t>
        </is>
      </c>
      <c r="L456" t="inlineStr">
        <is>
          <t>Beverly Hills : Sage Publications, c1982.</t>
        </is>
      </c>
      <c r="M456" t="inlineStr">
        <is>
          <t>1982</t>
        </is>
      </c>
      <c r="O456" t="inlineStr">
        <is>
          <t>eng</t>
        </is>
      </c>
      <c r="P456" t="inlineStr">
        <is>
          <t>cau</t>
        </is>
      </c>
      <c r="Q456" t="inlineStr">
        <is>
          <t>Sage focus editions ; 45</t>
        </is>
      </c>
      <c r="R456" t="inlineStr">
        <is>
          <t xml:space="preserve">RC </t>
        </is>
      </c>
      <c r="S456" t="n">
        <v>11</v>
      </c>
      <c r="T456" t="n">
        <v>11</v>
      </c>
      <c r="U456" t="inlineStr">
        <is>
          <t>2000-02-22</t>
        </is>
      </c>
      <c r="V456" t="inlineStr">
        <is>
          <t>2000-02-22</t>
        </is>
      </c>
      <c r="W456" t="inlineStr">
        <is>
          <t>1992-03-03</t>
        </is>
      </c>
      <c r="X456" t="inlineStr">
        <is>
          <t>1992-03-03</t>
        </is>
      </c>
      <c r="Y456" t="n">
        <v>643</v>
      </c>
      <c r="Z456" t="n">
        <v>532</v>
      </c>
      <c r="AA456" t="n">
        <v>540</v>
      </c>
      <c r="AB456" t="n">
        <v>2</v>
      </c>
      <c r="AC456" t="n">
        <v>2</v>
      </c>
      <c r="AD456" t="n">
        <v>20</v>
      </c>
      <c r="AE456" t="n">
        <v>20</v>
      </c>
      <c r="AF456" t="n">
        <v>7</v>
      </c>
      <c r="AG456" t="n">
        <v>7</v>
      </c>
      <c r="AH456" t="n">
        <v>4</v>
      </c>
      <c r="AI456" t="n">
        <v>4</v>
      </c>
      <c r="AJ456" t="n">
        <v>12</v>
      </c>
      <c r="AK456" t="n">
        <v>12</v>
      </c>
      <c r="AL456" t="n">
        <v>1</v>
      </c>
      <c r="AM456" t="n">
        <v>1</v>
      </c>
      <c r="AN456" t="n">
        <v>0</v>
      </c>
      <c r="AO456" t="n">
        <v>0</v>
      </c>
      <c r="AP456" t="inlineStr">
        <is>
          <t>No</t>
        </is>
      </c>
      <c r="AQ456" t="inlineStr">
        <is>
          <t>Yes</t>
        </is>
      </c>
      <c r="AR456">
        <f>HYPERLINK("http://catalog.hathitrust.org/Record/000764502","HathiTrust Record")</f>
        <v/>
      </c>
      <c r="AS456">
        <f>HYPERLINK("https://creighton-primo.hosted.exlibrisgroup.com/primo-explore/search?tab=default_tab&amp;search_scope=EVERYTHING&amp;vid=01CRU&amp;lang=en_US&amp;offset=0&amp;query=any,contains,991005183909702656","Catalog Record")</f>
        <v/>
      </c>
      <c r="AT456">
        <f>HYPERLINK("http://www.worldcat.org/oclc/7948588","WorldCat Record")</f>
        <v/>
      </c>
      <c r="AU456" t="inlineStr">
        <is>
          <t>836680459:eng</t>
        </is>
      </c>
      <c r="AV456" t="inlineStr">
        <is>
          <t>7948588</t>
        </is>
      </c>
      <c r="AW456" t="inlineStr">
        <is>
          <t>991005183909702656</t>
        </is>
      </c>
      <c r="AX456" t="inlineStr">
        <is>
          <t>991005183909702656</t>
        </is>
      </c>
      <c r="AY456" t="inlineStr">
        <is>
          <t>2267040080002656</t>
        </is>
      </c>
      <c r="AZ456" t="inlineStr">
        <is>
          <t>BOOK</t>
        </is>
      </c>
      <c r="BB456" t="inlineStr">
        <is>
          <t>9780803917682</t>
        </is>
      </c>
      <c r="BC456" t="inlineStr">
        <is>
          <t>32285000990514</t>
        </is>
      </c>
      <c r="BD456" t="inlineStr">
        <is>
          <t>893437299</t>
        </is>
      </c>
    </row>
    <row r="457">
      <c r="A457" t="inlineStr">
        <is>
          <t>No</t>
        </is>
      </c>
      <c r="B457" t="inlineStr">
        <is>
          <t>RC451.4.W6 M46</t>
        </is>
      </c>
      <c r="C457" t="inlineStr">
        <is>
          <t>0                      RC 0451400W  6                  M  46</t>
        </is>
      </c>
      <c r="D457" t="inlineStr">
        <is>
          <t>The Mental health of women / edited by Marcia Guttentag, Susan Salasin, and Deborah Belle.</t>
        </is>
      </c>
      <c r="F457" t="inlineStr">
        <is>
          <t>No</t>
        </is>
      </c>
      <c r="G457" t="inlineStr">
        <is>
          <t>1</t>
        </is>
      </c>
      <c r="H457" t="inlineStr">
        <is>
          <t>No</t>
        </is>
      </c>
      <c r="I457" t="inlineStr">
        <is>
          <t>No</t>
        </is>
      </c>
      <c r="J457" t="inlineStr">
        <is>
          <t>0</t>
        </is>
      </c>
      <c r="L457" t="inlineStr">
        <is>
          <t>New York : Academic Press, 1980.</t>
        </is>
      </c>
      <c r="M457" t="inlineStr">
        <is>
          <t>1980</t>
        </is>
      </c>
      <c r="O457" t="inlineStr">
        <is>
          <t>eng</t>
        </is>
      </c>
      <c r="P457" t="inlineStr">
        <is>
          <t>nyu</t>
        </is>
      </c>
      <c r="Q457" t="inlineStr">
        <is>
          <t>Personality and psychopathology</t>
        </is>
      </c>
      <c r="R457" t="inlineStr">
        <is>
          <t xml:space="preserve">RC </t>
        </is>
      </c>
      <c r="S457" t="n">
        <v>9</v>
      </c>
      <c r="T457" t="n">
        <v>9</v>
      </c>
      <c r="U457" t="inlineStr">
        <is>
          <t>1999-02-22</t>
        </is>
      </c>
      <c r="V457" t="inlineStr">
        <is>
          <t>1999-02-22</t>
        </is>
      </c>
      <c r="W457" t="inlineStr">
        <is>
          <t>1992-04-24</t>
        </is>
      </c>
      <c r="X457" t="inlineStr">
        <is>
          <t>1992-04-24</t>
        </is>
      </c>
      <c r="Y457" t="n">
        <v>422</v>
      </c>
      <c r="Z457" t="n">
        <v>302</v>
      </c>
      <c r="AA457" t="n">
        <v>310</v>
      </c>
      <c r="AB457" t="n">
        <v>2</v>
      </c>
      <c r="AC457" t="n">
        <v>2</v>
      </c>
      <c r="AD457" t="n">
        <v>15</v>
      </c>
      <c r="AE457" t="n">
        <v>15</v>
      </c>
      <c r="AF457" t="n">
        <v>4</v>
      </c>
      <c r="AG457" t="n">
        <v>4</v>
      </c>
      <c r="AH457" t="n">
        <v>6</v>
      </c>
      <c r="AI457" t="n">
        <v>6</v>
      </c>
      <c r="AJ457" t="n">
        <v>9</v>
      </c>
      <c r="AK457" t="n">
        <v>9</v>
      </c>
      <c r="AL457" t="n">
        <v>1</v>
      </c>
      <c r="AM457" t="n">
        <v>1</v>
      </c>
      <c r="AN457" t="n">
        <v>0</v>
      </c>
      <c r="AO457" t="n">
        <v>0</v>
      </c>
      <c r="AP457" t="inlineStr">
        <is>
          <t>No</t>
        </is>
      </c>
      <c r="AQ457" t="inlineStr">
        <is>
          <t>Yes</t>
        </is>
      </c>
      <c r="AR457">
        <f>HYPERLINK("http://catalog.hathitrust.org/Record/000700409","HathiTrust Record")</f>
        <v/>
      </c>
      <c r="AS457">
        <f>HYPERLINK("https://creighton-primo.hosted.exlibrisgroup.com/primo-explore/search?tab=default_tab&amp;search_scope=EVERYTHING&amp;vid=01CRU&amp;lang=en_US&amp;offset=0&amp;query=any,contains,991004928619702656","Catalog Record")</f>
        <v/>
      </c>
      <c r="AT457">
        <f>HYPERLINK("http://www.worldcat.org/oclc/6088088","WorldCat Record")</f>
        <v/>
      </c>
      <c r="AU457" t="inlineStr">
        <is>
          <t>350081879:eng</t>
        </is>
      </c>
      <c r="AV457" t="inlineStr">
        <is>
          <t>6088088</t>
        </is>
      </c>
      <c r="AW457" t="inlineStr">
        <is>
          <t>991004928619702656</t>
        </is>
      </c>
      <c r="AX457" t="inlineStr">
        <is>
          <t>991004928619702656</t>
        </is>
      </c>
      <c r="AY457" t="inlineStr">
        <is>
          <t>2257520980002656</t>
        </is>
      </c>
      <c r="AZ457" t="inlineStr">
        <is>
          <t>BOOK</t>
        </is>
      </c>
      <c r="BB457" t="inlineStr">
        <is>
          <t>9780123108500</t>
        </is>
      </c>
      <c r="BC457" t="inlineStr">
        <is>
          <t>32285001071488</t>
        </is>
      </c>
      <c r="BD457" t="inlineStr">
        <is>
          <t>893713230</t>
        </is>
      </c>
    </row>
    <row r="458">
      <c r="A458" t="inlineStr">
        <is>
          <t>No</t>
        </is>
      </c>
      <c r="B458" t="inlineStr">
        <is>
          <t>RC451.4.W6 W646 1984</t>
        </is>
      </c>
      <c r="C458" t="inlineStr">
        <is>
          <t>0                      RC 0451400W  6                  W  646         1984</t>
        </is>
      </c>
      <c r="D458" t="inlineStr">
        <is>
          <t>Women and mental health policy / edited by Lenore E. Walker.</t>
        </is>
      </c>
      <c r="F458" t="inlineStr">
        <is>
          <t>No</t>
        </is>
      </c>
      <c r="G458" t="inlineStr">
        <is>
          <t>1</t>
        </is>
      </c>
      <c r="H458" t="inlineStr">
        <is>
          <t>No</t>
        </is>
      </c>
      <c r="I458" t="inlineStr">
        <is>
          <t>No</t>
        </is>
      </c>
      <c r="J458" t="inlineStr">
        <is>
          <t>0</t>
        </is>
      </c>
      <c r="L458" t="inlineStr">
        <is>
          <t>Beverly Hills : Sage Publications, c1984.</t>
        </is>
      </c>
      <c r="M458" t="inlineStr">
        <is>
          <t>1984</t>
        </is>
      </c>
      <c r="O458" t="inlineStr">
        <is>
          <t>eng</t>
        </is>
      </c>
      <c r="P458" t="inlineStr">
        <is>
          <t>cau</t>
        </is>
      </c>
      <c r="Q458" t="inlineStr">
        <is>
          <t>Sage yearbooks in women's policy studies ; v. 9</t>
        </is>
      </c>
      <c r="R458" t="inlineStr">
        <is>
          <t xml:space="preserve">RC </t>
        </is>
      </c>
      <c r="S458" t="n">
        <v>4</v>
      </c>
      <c r="T458" t="n">
        <v>4</v>
      </c>
      <c r="U458" t="inlineStr">
        <is>
          <t>2004-02-19</t>
        </is>
      </c>
      <c r="V458" t="inlineStr">
        <is>
          <t>2004-02-19</t>
        </is>
      </c>
      <c r="W458" t="inlineStr">
        <is>
          <t>1993-03-19</t>
        </is>
      </c>
      <c r="X458" t="inlineStr">
        <is>
          <t>1993-03-19</t>
        </is>
      </c>
      <c r="Y458" t="n">
        <v>355</v>
      </c>
      <c r="Z458" t="n">
        <v>277</v>
      </c>
      <c r="AA458" t="n">
        <v>285</v>
      </c>
      <c r="AB458" t="n">
        <v>3</v>
      </c>
      <c r="AC458" t="n">
        <v>3</v>
      </c>
      <c r="AD458" t="n">
        <v>13</v>
      </c>
      <c r="AE458" t="n">
        <v>13</v>
      </c>
      <c r="AF458" t="n">
        <v>5</v>
      </c>
      <c r="AG458" t="n">
        <v>5</v>
      </c>
      <c r="AH458" t="n">
        <v>2</v>
      </c>
      <c r="AI458" t="n">
        <v>2</v>
      </c>
      <c r="AJ458" t="n">
        <v>8</v>
      </c>
      <c r="AK458" t="n">
        <v>8</v>
      </c>
      <c r="AL458" t="n">
        <v>2</v>
      </c>
      <c r="AM458" t="n">
        <v>2</v>
      </c>
      <c r="AN458" t="n">
        <v>0</v>
      </c>
      <c r="AO458" t="n">
        <v>0</v>
      </c>
      <c r="AP458" t="inlineStr">
        <is>
          <t>No</t>
        </is>
      </c>
      <c r="AQ458" t="inlineStr">
        <is>
          <t>Yes</t>
        </is>
      </c>
      <c r="AR458">
        <f>HYPERLINK("http://catalog.hathitrust.org/Record/000612116","HathiTrust Record")</f>
        <v/>
      </c>
      <c r="AS458">
        <f>HYPERLINK("https://creighton-primo.hosted.exlibrisgroup.com/primo-explore/search?tab=default_tab&amp;search_scope=EVERYTHING&amp;vid=01CRU&amp;lang=en_US&amp;offset=0&amp;query=any,contains,991000426039702656","Catalog Record")</f>
        <v/>
      </c>
      <c r="AT458">
        <f>HYPERLINK("http://www.worldcat.org/oclc/10753369","WorldCat Record")</f>
        <v/>
      </c>
      <c r="AU458" t="inlineStr">
        <is>
          <t>54641156:eng</t>
        </is>
      </c>
      <c r="AV458" t="inlineStr">
        <is>
          <t>10753369</t>
        </is>
      </c>
      <c r="AW458" t="inlineStr">
        <is>
          <t>991000426039702656</t>
        </is>
      </c>
      <c r="AX458" t="inlineStr">
        <is>
          <t>991000426039702656</t>
        </is>
      </c>
      <c r="AY458" t="inlineStr">
        <is>
          <t>2267569320002656</t>
        </is>
      </c>
      <c r="AZ458" t="inlineStr">
        <is>
          <t>BOOK</t>
        </is>
      </c>
      <c r="BB458" t="inlineStr">
        <is>
          <t>9780803922587</t>
        </is>
      </c>
      <c r="BC458" t="inlineStr">
        <is>
          <t>32285001605640</t>
        </is>
      </c>
      <c r="BD458" t="inlineStr">
        <is>
          <t>893771617</t>
        </is>
      </c>
    </row>
    <row r="459">
      <c r="A459" t="inlineStr">
        <is>
          <t>No</t>
        </is>
      </c>
      <c r="B459" t="inlineStr">
        <is>
          <t>RC451.4.W6 W65</t>
        </is>
      </c>
      <c r="C459" t="inlineStr">
        <is>
          <t>0                      RC 0451400W  6                  W  65</t>
        </is>
      </c>
      <c r="D459" t="inlineStr">
        <is>
          <t>Women and psychotherapy : an assessment of research and practice / edited by Annette M. Brodsky and Rachel T. Hare-Mustin.</t>
        </is>
      </c>
      <c r="F459" t="inlineStr">
        <is>
          <t>No</t>
        </is>
      </c>
      <c r="G459" t="inlineStr">
        <is>
          <t>1</t>
        </is>
      </c>
      <c r="H459" t="inlineStr">
        <is>
          <t>No</t>
        </is>
      </c>
      <c r="I459" t="inlineStr">
        <is>
          <t>No</t>
        </is>
      </c>
      <c r="J459" t="inlineStr">
        <is>
          <t>0</t>
        </is>
      </c>
      <c r="L459" t="inlineStr">
        <is>
          <t>New York : Guilford Press, 1980.</t>
        </is>
      </c>
      <c r="M459" t="inlineStr">
        <is>
          <t>1980</t>
        </is>
      </c>
      <c r="O459" t="inlineStr">
        <is>
          <t>eng</t>
        </is>
      </c>
      <c r="P459" t="inlineStr">
        <is>
          <t>nyu</t>
        </is>
      </c>
      <c r="R459" t="inlineStr">
        <is>
          <t xml:space="preserve">RC </t>
        </is>
      </c>
      <c r="S459" t="n">
        <v>4</v>
      </c>
      <c r="T459" t="n">
        <v>4</v>
      </c>
      <c r="U459" t="inlineStr">
        <is>
          <t>2002-04-09</t>
        </is>
      </c>
      <c r="V459" t="inlineStr">
        <is>
          <t>2002-04-09</t>
        </is>
      </c>
      <c r="W459" t="inlineStr">
        <is>
          <t>1993-03-19</t>
        </is>
      </c>
      <c r="X459" t="inlineStr">
        <is>
          <t>1993-03-19</t>
        </is>
      </c>
      <c r="Y459" t="n">
        <v>762</v>
      </c>
      <c r="Z459" t="n">
        <v>670</v>
      </c>
      <c r="AA459" t="n">
        <v>673</v>
      </c>
      <c r="AB459" t="n">
        <v>5</v>
      </c>
      <c r="AC459" t="n">
        <v>5</v>
      </c>
      <c r="AD459" t="n">
        <v>30</v>
      </c>
      <c r="AE459" t="n">
        <v>30</v>
      </c>
      <c r="AF459" t="n">
        <v>11</v>
      </c>
      <c r="AG459" t="n">
        <v>11</v>
      </c>
      <c r="AH459" t="n">
        <v>10</v>
      </c>
      <c r="AI459" t="n">
        <v>10</v>
      </c>
      <c r="AJ459" t="n">
        <v>14</v>
      </c>
      <c r="AK459" t="n">
        <v>14</v>
      </c>
      <c r="AL459" t="n">
        <v>4</v>
      </c>
      <c r="AM459" t="n">
        <v>4</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HYPERLINK("https://creighton-primo.hosted.exlibrisgroup.com/primo-explore/search?tab=default_tab&amp;search_scope=EVERYTHING&amp;vid=01CRU&amp;lang=en_US&amp;offset=0&amp;query=any,contains,991004955079702656","Catalog Record")</f>
        <v/>
      </c>
      <c r="AT459">
        <f>HYPERLINK("http://www.worldcat.org/oclc/6277724","WorldCat Record")</f>
        <v/>
      </c>
      <c r="AU459" t="inlineStr">
        <is>
          <t>889373535:eng</t>
        </is>
      </c>
      <c r="AV459" t="inlineStr">
        <is>
          <t>6277724</t>
        </is>
      </c>
      <c r="AW459" t="inlineStr">
        <is>
          <t>991004955079702656</t>
        </is>
      </c>
      <c r="AX459" t="inlineStr">
        <is>
          <t>991004955079702656</t>
        </is>
      </c>
      <c r="AY459" t="inlineStr">
        <is>
          <t>2268766700002656</t>
        </is>
      </c>
      <c r="AZ459" t="inlineStr">
        <is>
          <t>BOOK</t>
        </is>
      </c>
      <c r="BB459" t="inlineStr">
        <is>
          <t>9780898626056</t>
        </is>
      </c>
      <c r="BC459" t="inlineStr">
        <is>
          <t>32285001605657</t>
        </is>
      </c>
      <c r="BD459" t="inlineStr">
        <is>
          <t>893520220</t>
        </is>
      </c>
    </row>
    <row r="460">
      <c r="A460" t="inlineStr">
        <is>
          <t>No</t>
        </is>
      </c>
      <c r="B460" t="inlineStr">
        <is>
          <t>RC451.4.W6 W656 1986</t>
        </is>
      </c>
      <c r="C460" t="inlineStr">
        <is>
          <t>0                      RC 0451400W  6                  W  656         1986</t>
        </is>
      </c>
      <c r="D460" t="inlineStr">
        <is>
          <t>Women in health &amp; illness : life experiences and crises / [edited by] Diane K. Kjervik, Ida M. Martinson.</t>
        </is>
      </c>
      <c r="F460" t="inlineStr">
        <is>
          <t>No</t>
        </is>
      </c>
      <c r="G460" t="inlineStr">
        <is>
          <t>1</t>
        </is>
      </c>
      <c r="H460" t="inlineStr">
        <is>
          <t>Yes</t>
        </is>
      </c>
      <c r="I460" t="inlineStr">
        <is>
          <t>No</t>
        </is>
      </c>
      <c r="J460" t="inlineStr">
        <is>
          <t>0</t>
        </is>
      </c>
      <c r="L460" t="inlineStr">
        <is>
          <t>Philadelphia : Saunders, 1986.</t>
        </is>
      </c>
      <c r="M460" t="inlineStr">
        <is>
          <t>1986</t>
        </is>
      </c>
      <c r="O460" t="inlineStr">
        <is>
          <t>eng</t>
        </is>
      </c>
      <c r="P460" t="inlineStr">
        <is>
          <t>pau</t>
        </is>
      </c>
      <c r="R460" t="inlineStr">
        <is>
          <t xml:space="preserve">RC </t>
        </is>
      </c>
      <c r="S460" t="n">
        <v>4</v>
      </c>
      <c r="T460" t="n">
        <v>4</v>
      </c>
      <c r="U460" t="inlineStr">
        <is>
          <t>1995-03-15</t>
        </is>
      </c>
      <c r="V460" t="inlineStr">
        <is>
          <t>1995-03-15</t>
        </is>
      </c>
      <c r="W460" t="inlineStr">
        <is>
          <t>1992-04-22</t>
        </is>
      </c>
      <c r="X460" t="inlineStr">
        <is>
          <t>1992-04-22</t>
        </is>
      </c>
      <c r="Y460" t="n">
        <v>360</v>
      </c>
      <c r="Z460" t="n">
        <v>298</v>
      </c>
      <c r="AA460" t="n">
        <v>305</v>
      </c>
      <c r="AB460" t="n">
        <v>4</v>
      </c>
      <c r="AC460" t="n">
        <v>4</v>
      </c>
      <c r="AD460" t="n">
        <v>16</v>
      </c>
      <c r="AE460" t="n">
        <v>16</v>
      </c>
      <c r="AF460" t="n">
        <v>5</v>
      </c>
      <c r="AG460" t="n">
        <v>5</v>
      </c>
      <c r="AH460" t="n">
        <v>3</v>
      </c>
      <c r="AI460" t="n">
        <v>3</v>
      </c>
      <c r="AJ460" t="n">
        <v>11</v>
      </c>
      <c r="AK460" t="n">
        <v>11</v>
      </c>
      <c r="AL460" t="n">
        <v>2</v>
      </c>
      <c r="AM460" t="n">
        <v>2</v>
      </c>
      <c r="AN460" t="n">
        <v>0</v>
      </c>
      <c r="AO460" t="n">
        <v>0</v>
      </c>
      <c r="AP460" t="inlineStr">
        <is>
          <t>No</t>
        </is>
      </c>
      <c r="AQ460" t="inlineStr">
        <is>
          <t>Yes</t>
        </is>
      </c>
      <c r="AR460">
        <f>HYPERLINK("http://catalog.hathitrust.org/Record/000482941","HathiTrust Record")</f>
        <v/>
      </c>
      <c r="AS460">
        <f>HYPERLINK("https://creighton-primo.hosted.exlibrisgroup.com/primo-explore/search?tab=default_tab&amp;search_scope=EVERYTHING&amp;vid=01CRU&amp;lang=en_US&amp;offset=0&amp;query=any,contains,991000821249702656","Catalog Record")</f>
        <v/>
      </c>
      <c r="AT460">
        <f>HYPERLINK("http://www.worldcat.org/oclc/13395427","WorldCat Record")</f>
        <v/>
      </c>
      <c r="AU460" t="inlineStr">
        <is>
          <t>836628918:eng</t>
        </is>
      </c>
      <c r="AV460" t="inlineStr">
        <is>
          <t>13395427</t>
        </is>
      </c>
      <c r="AW460" t="inlineStr">
        <is>
          <t>991000821249702656</t>
        </is>
      </c>
      <c r="AX460" t="inlineStr">
        <is>
          <t>991000821249702656</t>
        </is>
      </c>
      <c r="AY460" t="inlineStr">
        <is>
          <t>2261975230002656</t>
        </is>
      </c>
      <c r="AZ460" t="inlineStr">
        <is>
          <t>BOOK</t>
        </is>
      </c>
      <c r="BB460" t="inlineStr">
        <is>
          <t>9780721620862</t>
        </is>
      </c>
      <c r="BC460" t="inlineStr">
        <is>
          <t>32285001063378</t>
        </is>
      </c>
      <c r="BD460" t="inlineStr">
        <is>
          <t>893237634</t>
        </is>
      </c>
    </row>
    <row r="461">
      <c r="A461" t="inlineStr">
        <is>
          <t>No</t>
        </is>
      </c>
      <c r="B461" t="inlineStr">
        <is>
          <t>RC451.5.A2 C68</t>
        </is>
      </c>
      <c r="C461" t="inlineStr">
        <is>
          <t>0                      RC 0451500A  2                  C  68</t>
        </is>
      </c>
      <c r="D461" t="inlineStr">
        <is>
          <t>Counseling American minorities : a cross-cultural perspective / [edited by] Donald R. Atkinson, George Morten, Derald Wing Sue.</t>
        </is>
      </c>
      <c r="F461" t="inlineStr">
        <is>
          <t>No</t>
        </is>
      </c>
      <c r="G461" t="inlineStr">
        <is>
          <t>1</t>
        </is>
      </c>
      <c r="H461" t="inlineStr">
        <is>
          <t>No</t>
        </is>
      </c>
      <c r="I461" t="inlineStr">
        <is>
          <t>Yes</t>
        </is>
      </c>
      <c r="J461" t="inlineStr">
        <is>
          <t>0</t>
        </is>
      </c>
      <c r="L461" t="inlineStr">
        <is>
          <t>Dubuque, Iowa : W. C. Brown Co., c1979.</t>
        </is>
      </c>
      <c r="M461" t="inlineStr">
        <is>
          <t>1979</t>
        </is>
      </c>
      <c r="O461" t="inlineStr">
        <is>
          <t>eng</t>
        </is>
      </c>
      <c r="P461" t="inlineStr">
        <is>
          <t>iau</t>
        </is>
      </c>
      <c r="R461" t="inlineStr">
        <is>
          <t xml:space="preserve">RC </t>
        </is>
      </c>
      <c r="S461" t="n">
        <v>5</v>
      </c>
      <c r="T461" t="n">
        <v>5</v>
      </c>
      <c r="U461" t="inlineStr">
        <is>
          <t>1994-12-05</t>
        </is>
      </c>
      <c r="V461" t="inlineStr">
        <is>
          <t>1994-12-05</t>
        </is>
      </c>
      <c r="W461" t="inlineStr">
        <is>
          <t>1993-03-19</t>
        </is>
      </c>
      <c r="X461" t="inlineStr">
        <is>
          <t>1993-03-19</t>
        </is>
      </c>
      <c r="Y461" t="n">
        <v>168</v>
      </c>
      <c r="Z461" t="n">
        <v>161</v>
      </c>
      <c r="AA461" t="n">
        <v>716</v>
      </c>
      <c r="AB461" t="n">
        <v>1</v>
      </c>
      <c r="AC461" t="n">
        <v>8</v>
      </c>
      <c r="AD461" t="n">
        <v>3</v>
      </c>
      <c r="AE461" t="n">
        <v>32</v>
      </c>
      <c r="AF461" t="n">
        <v>1</v>
      </c>
      <c r="AG461" t="n">
        <v>10</v>
      </c>
      <c r="AH461" t="n">
        <v>1</v>
      </c>
      <c r="AI461" t="n">
        <v>5</v>
      </c>
      <c r="AJ461" t="n">
        <v>2</v>
      </c>
      <c r="AK461" t="n">
        <v>17</v>
      </c>
      <c r="AL461" t="n">
        <v>0</v>
      </c>
      <c r="AM461" t="n">
        <v>7</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HYPERLINK("https://creighton-primo.hosted.exlibrisgroup.com/primo-explore/search?tab=default_tab&amp;search_scope=EVERYTHING&amp;vid=01CRU&amp;lang=en_US&amp;offset=0&amp;query=any,contains,991004780119702656","Catalog Record")</f>
        <v/>
      </c>
      <c r="AT461">
        <f>HYPERLINK("http://www.worldcat.org/oclc/5103257","WorldCat Record")</f>
        <v/>
      </c>
      <c r="AU461" t="inlineStr">
        <is>
          <t>796296811:eng</t>
        </is>
      </c>
      <c r="AV461" t="inlineStr">
        <is>
          <t>5103257</t>
        </is>
      </c>
      <c r="AW461" t="inlineStr">
        <is>
          <t>991004780119702656</t>
        </is>
      </c>
      <c r="AX461" t="inlineStr">
        <is>
          <t>991004780119702656</t>
        </is>
      </c>
      <c r="AY461" t="inlineStr">
        <is>
          <t>2270638750002656</t>
        </is>
      </c>
      <c r="AZ461" t="inlineStr">
        <is>
          <t>BOOK</t>
        </is>
      </c>
      <c r="BB461" t="inlineStr">
        <is>
          <t>9780697066299</t>
        </is>
      </c>
      <c r="BC461" t="inlineStr">
        <is>
          <t>32285001605665</t>
        </is>
      </c>
      <c r="BD461" t="inlineStr">
        <is>
          <t>893706837</t>
        </is>
      </c>
    </row>
    <row r="462">
      <c r="A462" t="inlineStr">
        <is>
          <t>No</t>
        </is>
      </c>
      <c r="B462" t="inlineStr">
        <is>
          <t>RC451.5.A2 C68 1983</t>
        </is>
      </c>
      <c r="C462" t="inlineStr">
        <is>
          <t>0                      RC 0451500A  2                  C  68          1983</t>
        </is>
      </c>
      <c r="D462" t="inlineStr">
        <is>
          <t>Counseling American minorities : a cross cultural perspective / [edited by] Donald R. Atkinson, George Morten, Derald Wing Sue.</t>
        </is>
      </c>
      <c r="F462" t="inlineStr">
        <is>
          <t>No</t>
        </is>
      </c>
      <c r="G462" t="inlineStr">
        <is>
          <t>1</t>
        </is>
      </c>
      <c r="H462" t="inlineStr">
        <is>
          <t>No</t>
        </is>
      </c>
      <c r="I462" t="inlineStr">
        <is>
          <t>Yes</t>
        </is>
      </c>
      <c r="J462" t="inlineStr">
        <is>
          <t>0</t>
        </is>
      </c>
      <c r="L462" t="inlineStr">
        <is>
          <t>Dubuque, Iowa : W.C. Brown Co., c1983.</t>
        </is>
      </c>
      <c r="M462" t="inlineStr">
        <is>
          <t>1983</t>
        </is>
      </c>
      <c r="N462" t="inlineStr">
        <is>
          <t>2nd ed.</t>
        </is>
      </c>
      <c r="O462" t="inlineStr">
        <is>
          <t>eng</t>
        </is>
      </c>
      <c r="P462" t="inlineStr">
        <is>
          <t>iau</t>
        </is>
      </c>
      <c r="R462" t="inlineStr">
        <is>
          <t xml:space="preserve">RC </t>
        </is>
      </c>
      <c r="S462" t="n">
        <v>16</v>
      </c>
      <c r="T462" t="n">
        <v>16</v>
      </c>
      <c r="U462" t="inlineStr">
        <is>
          <t>2003-10-09</t>
        </is>
      </c>
      <c r="V462" t="inlineStr">
        <is>
          <t>2003-10-09</t>
        </is>
      </c>
      <c r="W462" t="inlineStr">
        <is>
          <t>1990-03-14</t>
        </is>
      </c>
      <c r="X462" t="inlineStr">
        <is>
          <t>1990-03-14</t>
        </is>
      </c>
      <c r="Y462" t="n">
        <v>162</v>
      </c>
      <c r="Z462" t="n">
        <v>156</v>
      </c>
      <c r="AA462" t="n">
        <v>716</v>
      </c>
      <c r="AB462" t="n">
        <v>3</v>
      </c>
      <c r="AC462" t="n">
        <v>8</v>
      </c>
      <c r="AD462" t="n">
        <v>5</v>
      </c>
      <c r="AE462" t="n">
        <v>32</v>
      </c>
      <c r="AF462" t="n">
        <v>0</v>
      </c>
      <c r="AG462" t="n">
        <v>10</v>
      </c>
      <c r="AH462" t="n">
        <v>1</v>
      </c>
      <c r="AI462" t="n">
        <v>5</v>
      </c>
      <c r="AJ462" t="n">
        <v>2</v>
      </c>
      <c r="AK462" t="n">
        <v>17</v>
      </c>
      <c r="AL462" t="n">
        <v>2</v>
      </c>
      <c r="AM462" t="n">
        <v>7</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HYPERLINK("https://creighton-primo.hosted.exlibrisgroup.com/primo-explore/search?tab=default_tab&amp;search_scope=EVERYTHING&amp;vid=01CRU&amp;lang=en_US&amp;offset=0&amp;query=any,contains,991005402519702656","Catalog Record")</f>
        <v/>
      </c>
      <c r="AT462">
        <f>HYPERLINK("http://www.worldcat.org/oclc/9459429","WorldCat Record")</f>
        <v/>
      </c>
      <c r="AU462" t="inlineStr">
        <is>
          <t>796296811:eng</t>
        </is>
      </c>
      <c r="AV462" t="inlineStr">
        <is>
          <t>9459429</t>
        </is>
      </c>
      <c r="AW462" t="inlineStr">
        <is>
          <t>991005402519702656</t>
        </is>
      </c>
      <c r="AX462" t="inlineStr">
        <is>
          <t>991005402519702656</t>
        </is>
      </c>
      <c r="AY462" t="inlineStr">
        <is>
          <t>2261305100002656</t>
        </is>
      </c>
      <c r="AZ462" t="inlineStr">
        <is>
          <t>BOOK</t>
        </is>
      </c>
      <c r="BB462" t="inlineStr">
        <is>
          <t>9780697066527</t>
        </is>
      </c>
      <c r="BC462" t="inlineStr">
        <is>
          <t>32285000084920</t>
        </is>
      </c>
      <c r="BD462" t="inlineStr">
        <is>
          <t>893902672</t>
        </is>
      </c>
    </row>
    <row r="463">
      <c r="A463" t="inlineStr">
        <is>
          <t>No</t>
        </is>
      </c>
      <c r="B463" t="inlineStr">
        <is>
          <t>RC451.5.A2 E83 1982</t>
        </is>
      </c>
      <c r="C463" t="inlineStr">
        <is>
          <t>0                      RC 0451500A  2                  E  83          1982</t>
        </is>
      </c>
      <c r="D463" t="inlineStr">
        <is>
          <t>Ethnicity and family therapy / edited by Monica McGoldrick, John K. Pearce and Joseph Giordano ; introduction by Irving M. Levine ; foreword by Harry Aponte.</t>
        </is>
      </c>
      <c r="F463" t="inlineStr">
        <is>
          <t>No</t>
        </is>
      </c>
      <c r="G463" t="inlineStr">
        <is>
          <t>1</t>
        </is>
      </c>
      <c r="H463" t="inlineStr">
        <is>
          <t>Yes</t>
        </is>
      </c>
      <c r="I463" t="inlineStr">
        <is>
          <t>Yes</t>
        </is>
      </c>
      <c r="J463" t="inlineStr">
        <is>
          <t>0</t>
        </is>
      </c>
      <c r="L463" t="inlineStr">
        <is>
          <t>New York : Guilford Press, c1982.</t>
        </is>
      </c>
      <c r="M463" t="inlineStr">
        <is>
          <t>1982</t>
        </is>
      </c>
      <c r="O463" t="inlineStr">
        <is>
          <t>eng</t>
        </is>
      </c>
      <c r="P463" t="inlineStr">
        <is>
          <t>nyu</t>
        </is>
      </c>
      <c r="Q463" t="inlineStr">
        <is>
          <t>The Guilford family therapy series</t>
        </is>
      </c>
      <c r="R463" t="inlineStr">
        <is>
          <t xml:space="preserve">RC </t>
        </is>
      </c>
      <c r="S463" t="n">
        <v>62</v>
      </c>
      <c r="T463" t="n">
        <v>62</v>
      </c>
      <c r="U463" t="inlineStr">
        <is>
          <t>2004-06-21</t>
        </is>
      </c>
      <c r="V463" t="inlineStr">
        <is>
          <t>2004-06-21</t>
        </is>
      </c>
      <c r="W463" t="inlineStr">
        <is>
          <t>1994-09-28</t>
        </is>
      </c>
      <c r="X463" t="inlineStr">
        <is>
          <t>1994-09-28</t>
        </is>
      </c>
      <c r="Y463" t="n">
        <v>787</v>
      </c>
      <c r="Z463" t="n">
        <v>676</v>
      </c>
      <c r="AA463" t="n">
        <v>1450</v>
      </c>
      <c r="AB463" t="n">
        <v>4</v>
      </c>
      <c r="AC463" t="n">
        <v>12</v>
      </c>
      <c r="AD463" t="n">
        <v>24</v>
      </c>
      <c r="AE463" t="n">
        <v>56</v>
      </c>
      <c r="AF463" t="n">
        <v>8</v>
      </c>
      <c r="AG463" t="n">
        <v>21</v>
      </c>
      <c r="AH463" t="n">
        <v>7</v>
      </c>
      <c r="AI463" t="n">
        <v>11</v>
      </c>
      <c r="AJ463" t="n">
        <v>13</v>
      </c>
      <c r="AK463" t="n">
        <v>25</v>
      </c>
      <c r="AL463" t="n">
        <v>2</v>
      </c>
      <c r="AM463" t="n">
        <v>10</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HYPERLINK("https://creighton-primo.hosted.exlibrisgroup.com/primo-explore/search?tab=default_tab&amp;search_scope=EVERYTHING&amp;vid=01CRU&amp;lang=en_US&amp;offset=0&amp;query=any,contains,991005203659702656","Catalog Record")</f>
        <v/>
      </c>
      <c r="AT463">
        <f>HYPERLINK("http://www.worldcat.org/oclc/8110040","WorldCat Record")</f>
        <v/>
      </c>
      <c r="AU463" t="inlineStr">
        <is>
          <t>993697990:eng</t>
        </is>
      </c>
      <c r="AV463" t="inlineStr">
        <is>
          <t>8110040</t>
        </is>
      </c>
      <c r="AW463" t="inlineStr">
        <is>
          <t>991005203659702656</t>
        </is>
      </c>
      <c r="AX463" t="inlineStr">
        <is>
          <t>991005203659702656</t>
        </is>
      </c>
      <c r="AY463" t="inlineStr">
        <is>
          <t>2255864780002656</t>
        </is>
      </c>
      <c r="AZ463" t="inlineStr">
        <is>
          <t>BOOK</t>
        </is>
      </c>
      <c r="BB463" t="inlineStr">
        <is>
          <t>9780898620405</t>
        </is>
      </c>
      <c r="BC463" t="inlineStr">
        <is>
          <t>32285001948024</t>
        </is>
      </c>
      <c r="BD463" t="inlineStr">
        <is>
          <t>893870691</t>
        </is>
      </c>
    </row>
    <row r="464">
      <c r="A464" t="inlineStr">
        <is>
          <t>No</t>
        </is>
      </c>
      <c r="B464" t="inlineStr">
        <is>
          <t>RC451.5.A2 P66 1991</t>
        </is>
      </c>
      <c r="C464" t="inlineStr">
        <is>
          <t>0                      RC 0451500A  2                  P  66          1991</t>
        </is>
      </c>
      <c r="D464" t="inlineStr">
        <is>
          <t>Handbook of racial/ethnic minority counseling research / Joseph G. Ponterotto, J. Manuel Casas ; with a foreword by Derald Wing Sue.</t>
        </is>
      </c>
      <c r="F464" t="inlineStr">
        <is>
          <t>No</t>
        </is>
      </c>
      <c r="G464" t="inlineStr">
        <is>
          <t>1</t>
        </is>
      </c>
      <c r="H464" t="inlineStr">
        <is>
          <t>No</t>
        </is>
      </c>
      <c r="I464" t="inlineStr">
        <is>
          <t>No</t>
        </is>
      </c>
      <c r="J464" t="inlineStr">
        <is>
          <t>0</t>
        </is>
      </c>
      <c r="K464" t="inlineStr">
        <is>
          <t>Ponterotto, Joseph G.</t>
        </is>
      </c>
      <c r="L464" t="inlineStr">
        <is>
          <t>Springfield, Ill. : C.C. Thomas, U.S.A., c1991.</t>
        </is>
      </c>
      <c r="M464" t="inlineStr">
        <is>
          <t>1991</t>
        </is>
      </c>
      <c r="O464" t="inlineStr">
        <is>
          <t>eng</t>
        </is>
      </c>
      <c r="P464" t="inlineStr">
        <is>
          <t>ilu</t>
        </is>
      </c>
      <c r="R464" t="inlineStr">
        <is>
          <t xml:space="preserve">RC </t>
        </is>
      </c>
      <c r="S464" t="n">
        <v>17</v>
      </c>
      <c r="T464" t="n">
        <v>17</v>
      </c>
      <c r="U464" t="inlineStr">
        <is>
          <t>2002-06-17</t>
        </is>
      </c>
      <c r="V464" t="inlineStr">
        <is>
          <t>2002-06-17</t>
        </is>
      </c>
      <c r="W464" t="inlineStr">
        <is>
          <t>1992-03-25</t>
        </is>
      </c>
      <c r="X464" t="inlineStr">
        <is>
          <t>1992-03-25</t>
        </is>
      </c>
      <c r="Y464" t="n">
        <v>259</v>
      </c>
      <c r="Z464" t="n">
        <v>227</v>
      </c>
      <c r="AA464" t="n">
        <v>230</v>
      </c>
      <c r="AB464" t="n">
        <v>4</v>
      </c>
      <c r="AC464" t="n">
        <v>4</v>
      </c>
      <c r="AD464" t="n">
        <v>16</v>
      </c>
      <c r="AE464" t="n">
        <v>16</v>
      </c>
      <c r="AF464" t="n">
        <v>5</v>
      </c>
      <c r="AG464" t="n">
        <v>5</v>
      </c>
      <c r="AH464" t="n">
        <v>3</v>
      </c>
      <c r="AI464" t="n">
        <v>3</v>
      </c>
      <c r="AJ464" t="n">
        <v>10</v>
      </c>
      <c r="AK464" t="n">
        <v>10</v>
      </c>
      <c r="AL464" t="n">
        <v>3</v>
      </c>
      <c r="AM464" t="n">
        <v>3</v>
      </c>
      <c r="AN464" t="n">
        <v>0</v>
      </c>
      <c r="AO464" t="n">
        <v>0</v>
      </c>
      <c r="AP464" t="inlineStr">
        <is>
          <t>No</t>
        </is>
      </c>
      <c r="AQ464" t="inlineStr">
        <is>
          <t>Yes</t>
        </is>
      </c>
      <c r="AR464">
        <f>HYPERLINK("http://catalog.hathitrust.org/Record/101929099","HathiTrust Record")</f>
        <v/>
      </c>
      <c r="AS464">
        <f>HYPERLINK("https://creighton-primo.hosted.exlibrisgroup.com/primo-explore/search?tab=default_tab&amp;search_scope=EVERYTHING&amp;vid=01CRU&amp;lang=en_US&amp;offset=0&amp;query=any,contains,991005412739702656","Catalog Record")</f>
        <v/>
      </c>
      <c r="AT464">
        <f>HYPERLINK("http://www.worldcat.org/oclc/22380578","WorldCat Record")</f>
        <v/>
      </c>
      <c r="AU464" t="inlineStr">
        <is>
          <t>24363004:eng</t>
        </is>
      </c>
      <c r="AV464" t="inlineStr">
        <is>
          <t>22380578</t>
        </is>
      </c>
      <c r="AW464" t="inlineStr">
        <is>
          <t>991005412739702656</t>
        </is>
      </c>
      <c r="AX464" t="inlineStr">
        <is>
          <t>991005412739702656</t>
        </is>
      </c>
      <c r="AY464" t="inlineStr">
        <is>
          <t>2269259740002656</t>
        </is>
      </c>
      <c r="AZ464" t="inlineStr">
        <is>
          <t>BOOK</t>
        </is>
      </c>
      <c r="BB464" t="inlineStr">
        <is>
          <t>9780398057169</t>
        </is>
      </c>
      <c r="BC464" t="inlineStr">
        <is>
          <t>32285001005304</t>
        </is>
      </c>
      <c r="BD464" t="inlineStr">
        <is>
          <t>893783644</t>
        </is>
      </c>
    </row>
    <row r="465">
      <c r="A465" t="inlineStr">
        <is>
          <t>No</t>
        </is>
      </c>
      <c r="B465" t="inlineStr">
        <is>
          <t>RC451.5.A75 K39 2007</t>
        </is>
      </c>
      <c r="C465" t="inlineStr">
        <is>
          <t>0                      RC 0451500A  75                 K  39          2007</t>
        </is>
      </c>
      <c r="D465" t="inlineStr">
        <is>
          <t>Feminist reflections on growth and transformation : Asian American women in therapy / Debra M. Kawahara, Oliva M. Espin, editors.</t>
        </is>
      </c>
      <c r="F465" t="inlineStr">
        <is>
          <t>No</t>
        </is>
      </c>
      <c r="G465" t="inlineStr">
        <is>
          <t>1</t>
        </is>
      </c>
      <c r="H465" t="inlineStr">
        <is>
          <t>No</t>
        </is>
      </c>
      <c r="I465" t="inlineStr">
        <is>
          <t>No</t>
        </is>
      </c>
      <c r="J465" t="inlineStr">
        <is>
          <t>0</t>
        </is>
      </c>
      <c r="K465" t="inlineStr">
        <is>
          <t>Kawahara, Debra M.</t>
        </is>
      </c>
      <c r="L465" t="inlineStr">
        <is>
          <t>Binghamton, NY : Haworth Press, c2007.</t>
        </is>
      </c>
      <c r="M465" t="inlineStr">
        <is>
          <t>2007</t>
        </is>
      </c>
      <c r="O465" t="inlineStr">
        <is>
          <t>eng</t>
        </is>
      </c>
      <c r="P465" t="inlineStr">
        <is>
          <t>nyu</t>
        </is>
      </c>
      <c r="R465" t="inlineStr">
        <is>
          <t xml:space="preserve">RC </t>
        </is>
      </c>
      <c r="S465" t="n">
        <v>2</v>
      </c>
      <c r="T465" t="n">
        <v>2</v>
      </c>
      <c r="U465" t="inlineStr">
        <is>
          <t>2009-12-07</t>
        </is>
      </c>
      <c r="V465" t="inlineStr">
        <is>
          <t>2009-12-07</t>
        </is>
      </c>
      <c r="W465" t="inlineStr">
        <is>
          <t>2008-10-28</t>
        </is>
      </c>
      <c r="X465" t="inlineStr">
        <is>
          <t>2008-10-28</t>
        </is>
      </c>
      <c r="Y465" t="n">
        <v>55</v>
      </c>
      <c r="Z465" t="n">
        <v>48</v>
      </c>
      <c r="AA465" t="n">
        <v>80</v>
      </c>
      <c r="AB465" t="n">
        <v>1</v>
      </c>
      <c r="AC465" t="n">
        <v>1</v>
      </c>
      <c r="AD465" t="n">
        <v>1</v>
      </c>
      <c r="AE465" t="n">
        <v>1</v>
      </c>
      <c r="AF465" t="n">
        <v>0</v>
      </c>
      <c r="AG465" t="n">
        <v>0</v>
      </c>
      <c r="AH465" t="n">
        <v>0</v>
      </c>
      <c r="AI465" t="n">
        <v>0</v>
      </c>
      <c r="AJ465" t="n">
        <v>1</v>
      </c>
      <c r="AK465" t="n">
        <v>1</v>
      </c>
      <c r="AL465" t="n">
        <v>0</v>
      </c>
      <c r="AM465" t="n">
        <v>0</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HYPERLINK("https://creighton-primo.hosted.exlibrisgroup.com/primo-explore/search?tab=default_tab&amp;search_scope=EVERYTHING&amp;vid=01CRU&amp;lang=en_US&amp;offset=0&amp;query=any,contains,991005269589702656","Catalog Record")</f>
        <v/>
      </c>
      <c r="AT465">
        <f>HYPERLINK("http://www.worldcat.org/oclc/71173770","WorldCat Record")</f>
        <v/>
      </c>
      <c r="AU465" t="inlineStr">
        <is>
          <t>1213516017:eng</t>
        </is>
      </c>
      <c r="AV465" t="inlineStr">
        <is>
          <t>71173770</t>
        </is>
      </c>
      <c r="AW465" t="inlineStr">
        <is>
          <t>991005269589702656</t>
        </is>
      </c>
      <c r="AX465" t="inlineStr">
        <is>
          <t>991005269589702656</t>
        </is>
      </c>
      <c r="AY465" t="inlineStr">
        <is>
          <t>2260362670002656</t>
        </is>
      </c>
      <c r="AZ465" t="inlineStr">
        <is>
          <t>BOOK</t>
        </is>
      </c>
      <c r="BB465" t="inlineStr">
        <is>
          <t>9780789034335</t>
        </is>
      </c>
      <c r="BC465" t="inlineStr">
        <is>
          <t>32285005464895</t>
        </is>
      </c>
      <c r="BD465" t="inlineStr">
        <is>
          <t>893418657</t>
        </is>
      </c>
    </row>
    <row r="466">
      <c r="A466" t="inlineStr">
        <is>
          <t>No</t>
        </is>
      </c>
      <c r="B466" t="inlineStr">
        <is>
          <t>RC451.5.H57 F35 1998</t>
        </is>
      </c>
      <c r="C466" t="inlineStr">
        <is>
          <t>0                      RC 0451500H  57                 F  35          1998</t>
        </is>
      </c>
      <c r="D466" t="inlineStr">
        <is>
          <t>Latino families in therapy : a guide to multicultural practice / Celia Jaes Falicov.</t>
        </is>
      </c>
      <c r="F466" t="inlineStr">
        <is>
          <t>No</t>
        </is>
      </c>
      <c r="G466" t="inlineStr">
        <is>
          <t>1</t>
        </is>
      </c>
      <c r="H466" t="inlineStr">
        <is>
          <t>No</t>
        </is>
      </c>
      <c r="I466" t="inlineStr">
        <is>
          <t>No</t>
        </is>
      </c>
      <c r="J466" t="inlineStr">
        <is>
          <t>0</t>
        </is>
      </c>
      <c r="K466" t="inlineStr">
        <is>
          <t>Falicov, Celia Jaes.</t>
        </is>
      </c>
      <c r="L466" t="inlineStr">
        <is>
          <t>New York : Gulford Press, c1998.</t>
        </is>
      </c>
      <c r="M466" t="inlineStr">
        <is>
          <t>1998</t>
        </is>
      </c>
      <c r="O466" t="inlineStr">
        <is>
          <t>eng</t>
        </is>
      </c>
      <c r="P466" t="inlineStr">
        <is>
          <t>nyu</t>
        </is>
      </c>
      <c r="Q466" t="inlineStr">
        <is>
          <t>The Guilford family therapy series</t>
        </is>
      </c>
      <c r="R466" t="inlineStr">
        <is>
          <t xml:space="preserve">RC </t>
        </is>
      </c>
      <c r="S466" t="n">
        <v>5</v>
      </c>
      <c r="T466" t="n">
        <v>5</v>
      </c>
      <c r="U466" t="inlineStr">
        <is>
          <t>2001-03-02</t>
        </is>
      </c>
      <c r="V466" t="inlineStr">
        <is>
          <t>2001-03-02</t>
        </is>
      </c>
      <c r="W466" t="inlineStr">
        <is>
          <t>1999-11-01</t>
        </is>
      </c>
      <c r="X466" t="inlineStr">
        <is>
          <t>1999-11-01</t>
        </is>
      </c>
      <c r="Y466" t="n">
        <v>554</v>
      </c>
      <c r="Z466" t="n">
        <v>519</v>
      </c>
      <c r="AA466" t="n">
        <v>698</v>
      </c>
      <c r="AB466" t="n">
        <v>2</v>
      </c>
      <c r="AC466" t="n">
        <v>4</v>
      </c>
      <c r="AD466" t="n">
        <v>22</v>
      </c>
      <c r="AE466" t="n">
        <v>32</v>
      </c>
      <c r="AF466" t="n">
        <v>8</v>
      </c>
      <c r="AG466" t="n">
        <v>14</v>
      </c>
      <c r="AH466" t="n">
        <v>5</v>
      </c>
      <c r="AI466" t="n">
        <v>6</v>
      </c>
      <c r="AJ466" t="n">
        <v>12</v>
      </c>
      <c r="AK466" t="n">
        <v>13</v>
      </c>
      <c r="AL466" t="n">
        <v>1</v>
      </c>
      <c r="AM466" t="n">
        <v>3</v>
      </c>
      <c r="AN466" t="n">
        <v>0</v>
      </c>
      <c r="AO466" t="n">
        <v>1</v>
      </c>
      <c r="AP466" t="inlineStr">
        <is>
          <t>No</t>
        </is>
      </c>
      <c r="AQ466" t="inlineStr">
        <is>
          <t>No</t>
        </is>
      </c>
      <c r="AS466">
        <f>HYPERLINK("https://creighton-primo.hosted.exlibrisgroup.com/primo-explore/search?tab=default_tab&amp;search_scope=EVERYTHING&amp;vid=01CRU&amp;lang=en_US&amp;offset=0&amp;query=any,contains,991005427739702656","Catalog Record")</f>
        <v/>
      </c>
      <c r="AT466">
        <f>HYPERLINK("http://www.worldcat.org/oclc/38249601","WorldCat Record")</f>
        <v/>
      </c>
      <c r="AU466" t="inlineStr">
        <is>
          <t>2909393382:eng</t>
        </is>
      </c>
      <c r="AV466" t="inlineStr">
        <is>
          <t>38249601</t>
        </is>
      </c>
      <c r="AW466" t="inlineStr">
        <is>
          <t>991005427739702656</t>
        </is>
      </c>
      <c r="AX466" t="inlineStr">
        <is>
          <t>991005427739702656</t>
        </is>
      </c>
      <c r="AY466" t="inlineStr">
        <is>
          <t>2272318280002656</t>
        </is>
      </c>
      <c r="AZ466" t="inlineStr">
        <is>
          <t>BOOK</t>
        </is>
      </c>
      <c r="BB466" t="inlineStr">
        <is>
          <t>9781572303645</t>
        </is>
      </c>
      <c r="BC466" t="inlineStr">
        <is>
          <t>32285003615985</t>
        </is>
      </c>
      <c r="BD466" t="inlineStr">
        <is>
          <t>893527609</t>
        </is>
      </c>
    </row>
    <row r="467">
      <c r="A467" t="inlineStr">
        <is>
          <t>No</t>
        </is>
      </c>
      <c r="B467" t="inlineStr">
        <is>
          <t>RC451.5.H57 L47</t>
        </is>
      </c>
      <c r="C467" t="inlineStr">
        <is>
          <t>0                      RC 0451500H  57                 L  47</t>
        </is>
      </c>
      <c r="D467" t="inlineStr">
        <is>
          <t>Crossing cultures in therapy : pluralistic counseling for the Hispanic / Elaine S. LeVine, Amado M. Padilla.</t>
        </is>
      </c>
      <c r="F467" t="inlineStr">
        <is>
          <t>No</t>
        </is>
      </c>
      <c r="G467" t="inlineStr">
        <is>
          <t>1</t>
        </is>
      </c>
      <c r="H467" t="inlineStr">
        <is>
          <t>No</t>
        </is>
      </c>
      <c r="I467" t="inlineStr">
        <is>
          <t>No</t>
        </is>
      </c>
      <c r="J467" t="inlineStr">
        <is>
          <t>0</t>
        </is>
      </c>
      <c r="K467" t="inlineStr">
        <is>
          <t>LeVine, Elaine Sue.</t>
        </is>
      </c>
      <c r="L467" t="inlineStr">
        <is>
          <t>Monterey, Calif. : Brooks/Cole Pub. Corp., c1980</t>
        </is>
      </c>
      <c r="M467" t="inlineStr">
        <is>
          <t>1980</t>
        </is>
      </c>
      <c r="O467" t="inlineStr">
        <is>
          <t>eng</t>
        </is>
      </c>
      <c r="P467" t="inlineStr">
        <is>
          <t>cau</t>
        </is>
      </c>
      <c r="R467" t="inlineStr">
        <is>
          <t xml:space="preserve">RC </t>
        </is>
      </c>
      <c r="S467" t="n">
        <v>6</v>
      </c>
      <c r="T467" t="n">
        <v>6</v>
      </c>
      <c r="U467" t="inlineStr">
        <is>
          <t>2002-10-19</t>
        </is>
      </c>
      <c r="V467" t="inlineStr">
        <is>
          <t>2002-10-19</t>
        </is>
      </c>
      <c r="W467" t="inlineStr">
        <is>
          <t>1992-04-27</t>
        </is>
      </c>
      <c r="X467" t="inlineStr">
        <is>
          <t>1992-04-27</t>
        </is>
      </c>
      <c r="Y467" t="n">
        <v>229</v>
      </c>
      <c r="Z467" t="n">
        <v>211</v>
      </c>
      <c r="AA467" t="n">
        <v>213</v>
      </c>
      <c r="AB467" t="n">
        <v>3</v>
      </c>
      <c r="AC467" t="n">
        <v>3</v>
      </c>
      <c r="AD467" t="n">
        <v>6</v>
      </c>
      <c r="AE467" t="n">
        <v>6</v>
      </c>
      <c r="AF467" t="n">
        <v>1</v>
      </c>
      <c r="AG467" t="n">
        <v>1</v>
      </c>
      <c r="AH467" t="n">
        <v>2</v>
      </c>
      <c r="AI467" t="n">
        <v>2</v>
      </c>
      <c r="AJ467" t="n">
        <v>3</v>
      </c>
      <c r="AK467" t="n">
        <v>3</v>
      </c>
      <c r="AL467" t="n">
        <v>2</v>
      </c>
      <c r="AM467" t="n">
        <v>2</v>
      </c>
      <c r="AN467" t="n">
        <v>0</v>
      </c>
      <c r="AO467" t="n">
        <v>0</v>
      </c>
      <c r="AP467" t="inlineStr">
        <is>
          <t>No</t>
        </is>
      </c>
      <c r="AQ467" t="inlineStr">
        <is>
          <t>Yes</t>
        </is>
      </c>
      <c r="AR467">
        <f>HYPERLINK("http://catalog.hathitrust.org/Record/000690140","HathiTrust Record")</f>
        <v/>
      </c>
      <c r="AS467">
        <f>HYPERLINK("https://creighton-primo.hosted.exlibrisgroup.com/primo-explore/search?tab=default_tab&amp;search_scope=EVERYTHING&amp;vid=01CRU&amp;lang=en_US&amp;offset=0&amp;query=any,contains,991004802329702656","Catalog Record")</f>
        <v/>
      </c>
      <c r="AT467">
        <f>HYPERLINK("http://www.worldcat.org/oclc/5219661","WorldCat Record")</f>
        <v/>
      </c>
      <c r="AU467" t="inlineStr">
        <is>
          <t>425762955:eng</t>
        </is>
      </c>
      <c r="AV467" t="inlineStr">
        <is>
          <t>5219661</t>
        </is>
      </c>
      <c r="AW467" t="inlineStr">
        <is>
          <t>991004802329702656</t>
        </is>
      </c>
      <c r="AX467" t="inlineStr">
        <is>
          <t>991004802329702656</t>
        </is>
      </c>
      <c r="AY467" t="inlineStr">
        <is>
          <t>2268335680002656</t>
        </is>
      </c>
      <c r="AZ467" t="inlineStr">
        <is>
          <t>BOOK</t>
        </is>
      </c>
      <c r="BB467" t="inlineStr">
        <is>
          <t>9780818503375</t>
        </is>
      </c>
      <c r="BC467" t="inlineStr">
        <is>
          <t>32285001088763</t>
        </is>
      </c>
      <c r="BD467" t="inlineStr">
        <is>
          <t>893350397</t>
        </is>
      </c>
    </row>
    <row r="468">
      <c r="A468" t="inlineStr">
        <is>
          <t>No</t>
        </is>
      </c>
      <c r="B468" t="inlineStr">
        <is>
          <t>RC451.5.H57 R64 1989</t>
        </is>
      </c>
      <c r="C468" t="inlineStr">
        <is>
          <t>0                      RC 0451500H  57                 R  64          1989</t>
        </is>
      </c>
      <c r="D468" t="inlineStr">
        <is>
          <t>Hispanics and mental health : a framework for research / Lloyd H. Rogler, Robert G. Malgady, Orlando Rodriguez.</t>
        </is>
      </c>
      <c r="F468" t="inlineStr">
        <is>
          <t>No</t>
        </is>
      </c>
      <c r="G468" t="inlineStr">
        <is>
          <t>1</t>
        </is>
      </c>
      <c r="H468" t="inlineStr">
        <is>
          <t>No</t>
        </is>
      </c>
      <c r="I468" t="inlineStr">
        <is>
          <t>No</t>
        </is>
      </c>
      <c r="J468" t="inlineStr">
        <is>
          <t>0</t>
        </is>
      </c>
      <c r="K468" t="inlineStr">
        <is>
          <t>Rogler, Lloyd H. (Lloyd Henry), 1930-</t>
        </is>
      </c>
      <c r="L468" t="inlineStr">
        <is>
          <t>Malabar, Fla. : R.E. Krieger Pub. Co., 1989.</t>
        </is>
      </c>
      <c r="M468" t="inlineStr">
        <is>
          <t>1989</t>
        </is>
      </c>
      <c r="N468" t="inlineStr">
        <is>
          <t>Original ed.</t>
        </is>
      </c>
      <c r="O468" t="inlineStr">
        <is>
          <t>eng</t>
        </is>
      </c>
      <c r="P468" t="inlineStr">
        <is>
          <t>flu</t>
        </is>
      </c>
      <c r="R468" t="inlineStr">
        <is>
          <t xml:space="preserve">RC </t>
        </is>
      </c>
      <c r="S468" t="n">
        <v>3</v>
      </c>
      <c r="T468" t="n">
        <v>3</v>
      </c>
      <c r="U468" t="inlineStr">
        <is>
          <t>2002-10-19</t>
        </is>
      </c>
      <c r="V468" t="inlineStr">
        <is>
          <t>2002-10-19</t>
        </is>
      </c>
      <c r="W468" t="inlineStr">
        <is>
          <t>1995-07-21</t>
        </is>
      </c>
      <c r="X468" t="inlineStr">
        <is>
          <t>1995-07-21</t>
        </is>
      </c>
      <c r="Y468" t="n">
        <v>292</v>
      </c>
      <c r="Z468" t="n">
        <v>280</v>
      </c>
      <c r="AA468" t="n">
        <v>287</v>
      </c>
      <c r="AB468" t="n">
        <v>3</v>
      </c>
      <c r="AC468" t="n">
        <v>3</v>
      </c>
      <c r="AD468" t="n">
        <v>13</v>
      </c>
      <c r="AE468" t="n">
        <v>13</v>
      </c>
      <c r="AF468" t="n">
        <v>2</v>
      </c>
      <c r="AG468" t="n">
        <v>2</v>
      </c>
      <c r="AH468" t="n">
        <v>4</v>
      </c>
      <c r="AI468" t="n">
        <v>4</v>
      </c>
      <c r="AJ468" t="n">
        <v>8</v>
      </c>
      <c r="AK468" t="n">
        <v>8</v>
      </c>
      <c r="AL468" t="n">
        <v>2</v>
      </c>
      <c r="AM468" t="n">
        <v>2</v>
      </c>
      <c r="AN468" t="n">
        <v>0</v>
      </c>
      <c r="AO468" t="n">
        <v>0</v>
      </c>
      <c r="AP468" t="inlineStr">
        <is>
          <t>No</t>
        </is>
      </c>
      <c r="AQ468" t="inlineStr">
        <is>
          <t>Yes</t>
        </is>
      </c>
      <c r="AR468">
        <f>HYPERLINK("http://catalog.hathitrust.org/Record/001816445","HathiTrust Record")</f>
        <v/>
      </c>
      <c r="AS468">
        <f>HYPERLINK("https://creighton-primo.hosted.exlibrisgroup.com/primo-explore/search?tab=default_tab&amp;search_scope=EVERYTHING&amp;vid=01CRU&amp;lang=en_US&amp;offset=0&amp;query=any,contains,991001415779702656","Catalog Record")</f>
        <v/>
      </c>
      <c r="AT468">
        <f>HYPERLINK("http://www.worldcat.org/oclc/18948463","WorldCat Record")</f>
        <v/>
      </c>
      <c r="AU468" t="inlineStr">
        <is>
          <t>248709035:eng</t>
        </is>
      </c>
      <c r="AV468" t="inlineStr">
        <is>
          <t>18948463</t>
        </is>
      </c>
      <c r="AW468" t="inlineStr">
        <is>
          <t>991001415779702656</t>
        </is>
      </c>
      <c r="AX468" t="inlineStr">
        <is>
          <t>991001415779702656</t>
        </is>
      </c>
      <c r="AY468" t="inlineStr">
        <is>
          <t>2271859670002656</t>
        </is>
      </c>
      <c r="AZ468" t="inlineStr">
        <is>
          <t>BOOK</t>
        </is>
      </c>
      <c r="BB468" t="inlineStr">
        <is>
          <t>9780894642487</t>
        </is>
      </c>
      <c r="BC468" t="inlineStr">
        <is>
          <t>32285002075090</t>
        </is>
      </c>
      <c r="BD468" t="inlineStr">
        <is>
          <t>893615062</t>
        </is>
      </c>
    </row>
    <row r="469">
      <c r="A469" t="inlineStr">
        <is>
          <t>No</t>
        </is>
      </c>
      <c r="B469" t="inlineStr">
        <is>
          <t>RC451.5.H57 S26 2001</t>
        </is>
      </c>
      <c r="C469" t="inlineStr">
        <is>
          <t>0                      RC 0451500H  57                 S  26          2001</t>
        </is>
      </c>
      <c r="D469" t="inlineStr">
        <is>
          <t>Medicalizing ethnicity : the construction of Latino identity in a psychiatric setting / Vilma Santiago-Irizarry.</t>
        </is>
      </c>
      <c r="F469" t="inlineStr">
        <is>
          <t>No</t>
        </is>
      </c>
      <c r="G469" t="inlineStr">
        <is>
          <t>1</t>
        </is>
      </c>
      <c r="H469" t="inlineStr">
        <is>
          <t>No</t>
        </is>
      </c>
      <c r="I469" t="inlineStr">
        <is>
          <t>No</t>
        </is>
      </c>
      <c r="J469" t="inlineStr">
        <is>
          <t>0</t>
        </is>
      </c>
      <c r="K469" t="inlineStr">
        <is>
          <t>Santiago-Irizarry, Vilma.</t>
        </is>
      </c>
      <c r="L469" t="inlineStr">
        <is>
          <t>Ithaca, N.Y. : Cornell University Press, 2001.</t>
        </is>
      </c>
      <c r="M469" t="inlineStr">
        <is>
          <t>2001</t>
        </is>
      </c>
      <c r="O469" t="inlineStr">
        <is>
          <t>eng</t>
        </is>
      </c>
      <c r="P469" t="inlineStr">
        <is>
          <t>nyu</t>
        </is>
      </c>
      <c r="Q469" t="inlineStr">
        <is>
          <t>Anthropology of contemporary issues</t>
        </is>
      </c>
      <c r="R469" t="inlineStr">
        <is>
          <t xml:space="preserve">RC </t>
        </is>
      </c>
      <c r="S469" t="n">
        <v>1</v>
      </c>
      <c r="T469" t="n">
        <v>1</v>
      </c>
      <c r="U469" t="inlineStr">
        <is>
          <t>2002-10-02</t>
        </is>
      </c>
      <c r="V469" t="inlineStr">
        <is>
          <t>2002-10-02</t>
        </is>
      </c>
      <c r="W469" t="inlineStr">
        <is>
          <t>2002-10-02</t>
        </is>
      </c>
      <c r="X469" t="inlineStr">
        <is>
          <t>2002-10-02</t>
        </is>
      </c>
      <c r="Y469" t="n">
        <v>241</v>
      </c>
      <c r="Z469" t="n">
        <v>214</v>
      </c>
      <c r="AA469" t="n">
        <v>417</v>
      </c>
      <c r="AB469" t="n">
        <v>2</v>
      </c>
      <c r="AC469" t="n">
        <v>2</v>
      </c>
      <c r="AD469" t="n">
        <v>10</v>
      </c>
      <c r="AE469" t="n">
        <v>22</v>
      </c>
      <c r="AF469" t="n">
        <v>3</v>
      </c>
      <c r="AG469" t="n">
        <v>10</v>
      </c>
      <c r="AH469" t="n">
        <v>3</v>
      </c>
      <c r="AI469" t="n">
        <v>7</v>
      </c>
      <c r="AJ469" t="n">
        <v>6</v>
      </c>
      <c r="AK469" t="n">
        <v>12</v>
      </c>
      <c r="AL469" t="n">
        <v>1</v>
      </c>
      <c r="AM469" t="n">
        <v>1</v>
      </c>
      <c r="AN469" t="n">
        <v>0</v>
      </c>
      <c r="AO469" t="n">
        <v>0</v>
      </c>
      <c r="AP469" t="inlineStr">
        <is>
          <t>No</t>
        </is>
      </c>
      <c r="AQ469" t="inlineStr">
        <is>
          <t>Yes</t>
        </is>
      </c>
      <c r="AR469">
        <f>HYPERLINK("http://catalog.hathitrust.org/Record/004198103","HathiTrust Record")</f>
        <v/>
      </c>
      <c r="AS469">
        <f>HYPERLINK("https://creighton-primo.hosted.exlibrisgroup.com/primo-explore/search?tab=default_tab&amp;search_scope=EVERYTHING&amp;vid=01CRU&amp;lang=en_US&amp;offset=0&amp;query=any,contains,991003869649702656","Catalog Record")</f>
        <v/>
      </c>
      <c r="AT469">
        <f>HYPERLINK("http://www.worldcat.org/oclc/46359708","WorldCat Record")</f>
        <v/>
      </c>
      <c r="AU469" t="inlineStr">
        <is>
          <t>35277551:eng</t>
        </is>
      </c>
      <c r="AV469" t="inlineStr">
        <is>
          <t>46359708</t>
        </is>
      </c>
      <c r="AW469" t="inlineStr">
        <is>
          <t>991003869649702656</t>
        </is>
      </c>
      <c r="AX469" t="inlineStr">
        <is>
          <t>991003869649702656</t>
        </is>
      </c>
      <c r="AY469" t="inlineStr">
        <is>
          <t>2261131910002656</t>
        </is>
      </c>
      <c r="AZ469" t="inlineStr">
        <is>
          <t>BOOK</t>
        </is>
      </c>
      <c r="BB469" t="inlineStr">
        <is>
          <t>9780801438219</t>
        </is>
      </c>
      <c r="BC469" t="inlineStr">
        <is>
          <t>32285004651500</t>
        </is>
      </c>
      <c r="BD469" t="inlineStr">
        <is>
          <t>893705721</t>
        </is>
      </c>
    </row>
    <row r="470">
      <c r="A470" t="inlineStr">
        <is>
          <t>No</t>
        </is>
      </c>
      <c r="B470" t="inlineStr">
        <is>
          <t>RC451.A4 M35 1995</t>
        </is>
      </c>
      <c r="C470" t="inlineStr">
        <is>
          <t>0                      RC 0451000A  4                  M  35          1995</t>
        </is>
      </c>
      <c r="D470" t="inlineStr">
        <is>
          <t>Colonial psychiatry and "the African mind" / Jock McCulloch.</t>
        </is>
      </c>
      <c r="F470" t="inlineStr">
        <is>
          <t>No</t>
        </is>
      </c>
      <c r="G470" t="inlineStr">
        <is>
          <t>1</t>
        </is>
      </c>
      <c r="H470" t="inlineStr">
        <is>
          <t>No</t>
        </is>
      </c>
      <c r="I470" t="inlineStr">
        <is>
          <t>No</t>
        </is>
      </c>
      <c r="J470" t="inlineStr">
        <is>
          <t>0</t>
        </is>
      </c>
      <c r="K470" t="inlineStr">
        <is>
          <t>McCulloch, Jock, 1945-</t>
        </is>
      </c>
      <c r="L470" t="inlineStr">
        <is>
          <t>Cambridge ; New York : Cambridge University Press, 1995.</t>
        </is>
      </c>
      <c r="M470" t="inlineStr">
        <is>
          <t>1995</t>
        </is>
      </c>
      <c r="O470" t="inlineStr">
        <is>
          <t>eng</t>
        </is>
      </c>
      <c r="P470" t="inlineStr">
        <is>
          <t>enk</t>
        </is>
      </c>
      <c r="R470" t="inlineStr">
        <is>
          <t xml:space="preserve">RC </t>
        </is>
      </c>
      <c r="S470" t="n">
        <v>3</v>
      </c>
      <c r="T470" t="n">
        <v>3</v>
      </c>
      <c r="U470" t="inlineStr">
        <is>
          <t>2000-03-12</t>
        </is>
      </c>
      <c r="V470" t="inlineStr">
        <is>
          <t>2000-03-12</t>
        </is>
      </c>
      <c r="W470" t="inlineStr">
        <is>
          <t>1996-11-21</t>
        </is>
      </c>
      <c r="X470" t="inlineStr">
        <is>
          <t>1996-11-21</t>
        </is>
      </c>
      <c r="Y470" t="n">
        <v>290</v>
      </c>
      <c r="Z470" t="n">
        <v>187</v>
      </c>
      <c r="AA470" t="n">
        <v>202</v>
      </c>
      <c r="AB470" t="n">
        <v>1</v>
      </c>
      <c r="AC470" t="n">
        <v>1</v>
      </c>
      <c r="AD470" t="n">
        <v>9</v>
      </c>
      <c r="AE470" t="n">
        <v>9</v>
      </c>
      <c r="AF470" t="n">
        <v>2</v>
      </c>
      <c r="AG470" t="n">
        <v>2</v>
      </c>
      <c r="AH470" t="n">
        <v>4</v>
      </c>
      <c r="AI470" t="n">
        <v>4</v>
      </c>
      <c r="AJ470" t="n">
        <v>7</v>
      </c>
      <c r="AK470" t="n">
        <v>7</v>
      </c>
      <c r="AL470" t="n">
        <v>0</v>
      </c>
      <c r="AM470" t="n">
        <v>0</v>
      </c>
      <c r="AN470" t="n">
        <v>0</v>
      </c>
      <c r="AO470" t="n">
        <v>0</v>
      </c>
      <c r="AP470" t="inlineStr">
        <is>
          <t>No</t>
        </is>
      </c>
      <c r="AQ470" t="inlineStr">
        <is>
          <t>Yes</t>
        </is>
      </c>
      <c r="AR470">
        <f>HYPERLINK("http://catalog.hathitrust.org/Record/002958027","HathiTrust Record")</f>
        <v/>
      </c>
      <c r="AS470">
        <f>HYPERLINK("https://creighton-primo.hosted.exlibrisgroup.com/primo-explore/search?tab=default_tab&amp;search_scope=EVERYTHING&amp;vid=01CRU&amp;lang=en_US&amp;offset=0&amp;query=any,contains,991002321229702656","Catalog Record")</f>
        <v/>
      </c>
      <c r="AT470">
        <f>HYPERLINK("http://www.worldcat.org/oclc/30110035","WorldCat Record")</f>
        <v/>
      </c>
      <c r="AU470" t="inlineStr">
        <is>
          <t>31874312:eng</t>
        </is>
      </c>
      <c r="AV470" t="inlineStr">
        <is>
          <t>30110035</t>
        </is>
      </c>
      <c r="AW470" t="inlineStr">
        <is>
          <t>991002321229702656</t>
        </is>
      </c>
      <c r="AX470" t="inlineStr">
        <is>
          <t>991002321229702656</t>
        </is>
      </c>
      <c r="AY470" t="inlineStr">
        <is>
          <t>2255990740002656</t>
        </is>
      </c>
      <c r="AZ470" t="inlineStr">
        <is>
          <t>BOOK</t>
        </is>
      </c>
      <c r="BB470" t="inlineStr">
        <is>
          <t>9780521453301</t>
        </is>
      </c>
      <c r="BC470" t="inlineStr">
        <is>
          <t>32285002385135</t>
        </is>
      </c>
      <c r="BD470" t="inlineStr">
        <is>
          <t>893257151</t>
        </is>
      </c>
    </row>
    <row r="471">
      <c r="A471" t="inlineStr">
        <is>
          <t>No</t>
        </is>
      </c>
      <c r="B471" t="inlineStr">
        <is>
          <t>RC451.C6 N67</t>
        </is>
      </c>
      <c r="C471" t="inlineStr">
        <is>
          <t>0                      RC 0451000C  6                  N  67</t>
        </is>
      </c>
      <c r="D471" t="inlineStr">
        <is>
          <t>Normal and abnormal behavior in Chinese culture / edited by Arthur Kleinman and Tsung-yi Lin.</t>
        </is>
      </c>
      <c r="F471" t="inlineStr">
        <is>
          <t>No</t>
        </is>
      </c>
      <c r="G471" t="inlineStr">
        <is>
          <t>1</t>
        </is>
      </c>
      <c r="H471" t="inlineStr">
        <is>
          <t>No</t>
        </is>
      </c>
      <c r="I471" t="inlineStr">
        <is>
          <t>No</t>
        </is>
      </c>
      <c r="J471" t="inlineStr">
        <is>
          <t>0</t>
        </is>
      </c>
      <c r="L471" t="inlineStr">
        <is>
          <t>Dordrecht ; Boston : D. Reidel ; Hingham, MA : sold and distributed in the U.S.A. and by Kluwer Boston, c1981.</t>
        </is>
      </c>
      <c r="M471" t="inlineStr">
        <is>
          <t>1980</t>
        </is>
      </c>
      <c r="O471" t="inlineStr">
        <is>
          <t>eng</t>
        </is>
      </c>
      <c r="P471" t="inlineStr">
        <is>
          <t xml:space="preserve">ne </t>
        </is>
      </c>
      <c r="Q471" t="inlineStr">
        <is>
          <t>Culture, illness, and healing ; v. 2</t>
        </is>
      </c>
      <c r="R471" t="inlineStr">
        <is>
          <t xml:space="preserve">RC </t>
        </is>
      </c>
      <c r="S471" t="n">
        <v>11</v>
      </c>
      <c r="T471" t="n">
        <v>11</v>
      </c>
      <c r="U471" t="inlineStr">
        <is>
          <t>1998-09-09</t>
        </is>
      </c>
      <c r="V471" t="inlineStr">
        <is>
          <t>1998-09-09</t>
        </is>
      </c>
      <c r="W471" t="inlineStr">
        <is>
          <t>1992-03-23</t>
        </is>
      </c>
      <c r="X471" t="inlineStr">
        <is>
          <t>1992-03-23</t>
        </is>
      </c>
      <c r="Y471" t="n">
        <v>306</v>
      </c>
      <c r="Z471" t="n">
        <v>215</v>
      </c>
      <c r="AA471" t="n">
        <v>235</v>
      </c>
      <c r="AB471" t="n">
        <v>3</v>
      </c>
      <c r="AC471" t="n">
        <v>3</v>
      </c>
      <c r="AD471" t="n">
        <v>6</v>
      </c>
      <c r="AE471" t="n">
        <v>7</v>
      </c>
      <c r="AF471" t="n">
        <v>0</v>
      </c>
      <c r="AG471" t="n">
        <v>1</v>
      </c>
      <c r="AH471" t="n">
        <v>2</v>
      </c>
      <c r="AI471" t="n">
        <v>2</v>
      </c>
      <c r="AJ471" t="n">
        <v>3</v>
      </c>
      <c r="AK471" t="n">
        <v>4</v>
      </c>
      <c r="AL471" t="n">
        <v>2</v>
      </c>
      <c r="AM471" t="n">
        <v>2</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HYPERLINK("https://creighton-primo.hosted.exlibrisgroup.com/primo-explore/search?tab=default_tab&amp;search_scope=EVERYTHING&amp;vid=01CRU&amp;lang=en_US&amp;offset=0&amp;query=any,contains,991005138819702656","Catalog Record")</f>
        <v/>
      </c>
      <c r="AT471">
        <f>HYPERLINK("http://www.worldcat.org/oclc/7596559","WorldCat Record")</f>
        <v/>
      </c>
      <c r="AU471" t="inlineStr">
        <is>
          <t>350815294:eng</t>
        </is>
      </c>
      <c r="AV471" t="inlineStr">
        <is>
          <t>7596559</t>
        </is>
      </c>
      <c r="AW471" t="inlineStr">
        <is>
          <t>991005138819702656</t>
        </is>
      </c>
      <c r="AX471" t="inlineStr">
        <is>
          <t>991005138819702656</t>
        </is>
      </c>
      <c r="AY471" t="inlineStr">
        <is>
          <t>2255868880002656</t>
        </is>
      </c>
      <c r="AZ471" t="inlineStr">
        <is>
          <t>BOOK</t>
        </is>
      </c>
      <c r="BB471" t="inlineStr">
        <is>
          <t>9789027711045</t>
        </is>
      </c>
      <c r="BC471" t="inlineStr">
        <is>
          <t>32285001026698</t>
        </is>
      </c>
      <c r="BD471" t="inlineStr">
        <is>
          <t>893418436</t>
        </is>
      </c>
    </row>
    <row r="472">
      <c r="A472" t="inlineStr">
        <is>
          <t>No</t>
        </is>
      </c>
      <c r="B472" t="inlineStr">
        <is>
          <t>RC451.M48 B36</t>
        </is>
      </c>
      <c r="C472" t="inlineStr">
        <is>
          <t>0                      RC 0451000M  48                 B  36</t>
        </is>
      </c>
      <c r="D472" t="inlineStr">
        <is>
          <t>Explorations in Chicano psychology / Augustine Barón, Jr.</t>
        </is>
      </c>
      <c r="F472" t="inlineStr">
        <is>
          <t>No</t>
        </is>
      </c>
      <c r="G472" t="inlineStr">
        <is>
          <t>1</t>
        </is>
      </c>
      <c r="H472" t="inlineStr">
        <is>
          <t>No</t>
        </is>
      </c>
      <c r="I472" t="inlineStr">
        <is>
          <t>No</t>
        </is>
      </c>
      <c r="J472" t="inlineStr">
        <is>
          <t>0</t>
        </is>
      </c>
      <c r="K472" t="inlineStr">
        <is>
          <t>Baron, Augustine.</t>
        </is>
      </c>
      <c r="L472" t="inlineStr">
        <is>
          <t>New York, N.Y. : Praeger, 1981.</t>
        </is>
      </c>
      <c r="M472" t="inlineStr">
        <is>
          <t>1981</t>
        </is>
      </c>
      <c r="O472" t="inlineStr">
        <is>
          <t>eng</t>
        </is>
      </c>
      <c r="P472" t="inlineStr">
        <is>
          <t>nyu</t>
        </is>
      </c>
      <c r="R472" t="inlineStr">
        <is>
          <t xml:space="preserve">RC </t>
        </is>
      </c>
      <c r="S472" t="n">
        <v>3</v>
      </c>
      <c r="T472" t="n">
        <v>3</v>
      </c>
      <c r="U472" t="inlineStr">
        <is>
          <t>2010-01-28</t>
        </is>
      </c>
      <c r="V472" t="inlineStr">
        <is>
          <t>2010-01-28</t>
        </is>
      </c>
      <c r="W472" t="inlineStr">
        <is>
          <t>1992-03-23</t>
        </is>
      </c>
      <c r="X472" t="inlineStr">
        <is>
          <t>1992-03-23</t>
        </is>
      </c>
      <c r="Y472" t="n">
        <v>347</v>
      </c>
      <c r="Z472" t="n">
        <v>332</v>
      </c>
      <c r="AA472" t="n">
        <v>334</v>
      </c>
      <c r="AB472" t="n">
        <v>3</v>
      </c>
      <c r="AC472" t="n">
        <v>3</v>
      </c>
      <c r="AD472" t="n">
        <v>13</v>
      </c>
      <c r="AE472" t="n">
        <v>13</v>
      </c>
      <c r="AF472" t="n">
        <v>2</v>
      </c>
      <c r="AG472" t="n">
        <v>2</v>
      </c>
      <c r="AH472" t="n">
        <v>3</v>
      </c>
      <c r="AI472" t="n">
        <v>3</v>
      </c>
      <c r="AJ472" t="n">
        <v>9</v>
      </c>
      <c r="AK472" t="n">
        <v>9</v>
      </c>
      <c r="AL472" t="n">
        <v>2</v>
      </c>
      <c r="AM472" t="n">
        <v>2</v>
      </c>
      <c r="AN472" t="n">
        <v>0</v>
      </c>
      <c r="AO472" t="n">
        <v>0</v>
      </c>
      <c r="AP472" t="inlineStr">
        <is>
          <t>No</t>
        </is>
      </c>
      <c r="AQ472" t="inlineStr">
        <is>
          <t>Yes</t>
        </is>
      </c>
      <c r="AR472">
        <f>HYPERLINK("http://catalog.hathitrust.org/Record/000139380","HathiTrust Record")</f>
        <v/>
      </c>
      <c r="AS472">
        <f>HYPERLINK("https://creighton-primo.hosted.exlibrisgroup.com/primo-explore/search?tab=default_tab&amp;search_scope=EVERYTHING&amp;vid=01CRU&amp;lang=en_US&amp;offset=0&amp;query=any,contains,991005115359702656","Catalog Record")</f>
        <v/>
      </c>
      <c r="AT472">
        <f>HYPERLINK("http://www.worldcat.org/oclc/7461946","WorldCat Record")</f>
        <v/>
      </c>
      <c r="AU472" t="inlineStr">
        <is>
          <t>431747:eng</t>
        </is>
      </c>
      <c r="AV472" t="inlineStr">
        <is>
          <t>7461946</t>
        </is>
      </c>
      <c r="AW472" t="inlineStr">
        <is>
          <t>991005115359702656</t>
        </is>
      </c>
      <c r="AX472" t="inlineStr">
        <is>
          <t>991005115359702656</t>
        </is>
      </c>
      <c r="AY472" t="inlineStr">
        <is>
          <t>2265899750002656</t>
        </is>
      </c>
      <c r="AZ472" t="inlineStr">
        <is>
          <t>BOOK</t>
        </is>
      </c>
      <c r="BB472" t="inlineStr">
        <is>
          <t>9780030580161</t>
        </is>
      </c>
      <c r="BC472" t="inlineStr">
        <is>
          <t>32285001026680</t>
        </is>
      </c>
      <c r="BD472" t="inlineStr">
        <is>
          <t>893260574</t>
        </is>
      </c>
    </row>
    <row r="473">
      <c r="A473" t="inlineStr">
        <is>
          <t>No</t>
        </is>
      </c>
      <c r="B473" t="inlineStr">
        <is>
          <t>RC451.P6 .D35 2001</t>
        </is>
      </c>
      <c r="C473" t="inlineStr">
        <is>
          <t>0                      RC 0451000P  6                  D  35          2001</t>
        </is>
      </c>
      <c r="D473" t="inlineStr">
        <is>
          <t>Life at the bottom : the worldview that makes the underlcass / Theodore Dalrymple.</t>
        </is>
      </c>
      <c r="F473" t="inlineStr">
        <is>
          <t>No</t>
        </is>
      </c>
      <c r="G473" t="inlineStr">
        <is>
          <t>1</t>
        </is>
      </c>
      <c r="H473" t="inlineStr">
        <is>
          <t>No</t>
        </is>
      </c>
      <c r="I473" t="inlineStr">
        <is>
          <t>No</t>
        </is>
      </c>
      <c r="J473" t="inlineStr">
        <is>
          <t>0</t>
        </is>
      </c>
      <c r="K473" t="inlineStr">
        <is>
          <t>Dalrymple, Theodore.</t>
        </is>
      </c>
      <c r="L473" t="inlineStr">
        <is>
          <t>Chicago : Dee, 2001.</t>
        </is>
      </c>
      <c r="M473" t="inlineStr">
        <is>
          <t>2001</t>
        </is>
      </c>
      <c r="O473" t="inlineStr">
        <is>
          <t>eng</t>
        </is>
      </c>
      <c r="P473" t="inlineStr">
        <is>
          <t>xxk</t>
        </is>
      </c>
      <c r="R473" t="inlineStr">
        <is>
          <t xml:space="preserve">RC </t>
        </is>
      </c>
      <c r="S473" t="n">
        <v>2</v>
      </c>
      <c r="T473" t="n">
        <v>2</v>
      </c>
      <c r="U473" t="inlineStr">
        <is>
          <t>2010-02-12</t>
        </is>
      </c>
      <c r="V473" t="inlineStr">
        <is>
          <t>2010-02-12</t>
        </is>
      </c>
      <c r="W473" t="inlineStr">
        <is>
          <t>2009-01-13</t>
        </is>
      </c>
      <c r="X473" t="inlineStr">
        <is>
          <t>2009-01-13</t>
        </is>
      </c>
      <c r="Y473" t="n">
        <v>78</v>
      </c>
      <c r="Z473" t="n">
        <v>58</v>
      </c>
      <c r="AA473" t="n">
        <v>673</v>
      </c>
      <c r="AB473" t="n">
        <v>3</v>
      </c>
      <c r="AC473" t="n">
        <v>8</v>
      </c>
      <c r="AD473" t="n">
        <v>2</v>
      </c>
      <c r="AE473" t="n">
        <v>22</v>
      </c>
      <c r="AF473" t="n">
        <v>0</v>
      </c>
      <c r="AG473" t="n">
        <v>6</v>
      </c>
      <c r="AH473" t="n">
        <v>0</v>
      </c>
      <c r="AI473" t="n">
        <v>5</v>
      </c>
      <c r="AJ473" t="n">
        <v>0</v>
      </c>
      <c r="AK473" t="n">
        <v>10</v>
      </c>
      <c r="AL473" t="n">
        <v>2</v>
      </c>
      <c r="AM473" t="n">
        <v>6</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HYPERLINK("https://creighton-primo.hosted.exlibrisgroup.com/primo-explore/search?tab=default_tab&amp;search_scope=EVERYTHING&amp;vid=01CRU&amp;lang=en_US&amp;offset=0&amp;query=any,contains,991005289979702656","Catalog Record")</f>
        <v/>
      </c>
      <c r="AT473">
        <f>HYPERLINK("http://www.worldcat.org/oclc/66502637","WorldCat Record")</f>
        <v/>
      </c>
      <c r="AU473" t="inlineStr">
        <is>
          <t>366376436:eng</t>
        </is>
      </c>
      <c r="AV473" t="inlineStr">
        <is>
          <t>66502637</t>
        </is>
      </c>
      <c r="AW473" t="inlineStr">
        <is>
          <t>991005289979702656</t>
        </is>
      </c>
      <c r="AX473" t="inlineStr">
        <is>
          <t>991005289979702656</t>
        </is>
      </c>
      <c r="AY473" t="inlineStr">
        <is>
          <t>2270023400002656</t>
        </is>
      </c>
      <c r="AZ473" t="inlineStr">
        <is>
          <t>BOOK</t>
        </is>
      </c>
      <c r="BB473" t="inlineStr">
        <is>
          <t>9781566635059</t>
        </is>
      </c>
      <c r="BC473" t="inlineStr">
        <is>
          <t>32285005477525</t>
        </is>
      </c>
      <c r="BD473" t="inlineStr">
        <is>
          <t>893883627</t>
        </is>
      </c>
    </row>
    <row r="474">
      <c r="A474" t="inlineStr">
        <is>
          <t>No</t>
        </is>
      </c>
      <c r="B474" t="inlineStr">
        <is>
          <t>RC454 .A324 1984</t>
        </is>
      </c>
      <c r="C474" t="inlineStr">
        <is>
          <t>0                      RC 0454000A  324         1984</t>
        </is>
      </c>
      <c r="D474" t="inlineStr">
        <is>
          <t>Adult psychopathology and diagnosis / edited by Samuel M. Turner, Michel Hersen.</t>
        </is>
      </c>
      <c r="F474" t="inlineStr">
        <is>
          <t>No</t>
        </is>
      </c>
      <c r="G474" t="inlineStr">
        <is>
          <t>1</t>
        </is>
      </c>
      <c r="H474" t="inlineStr">
        <is>
          <t>No</t>
        </is>
      </c>
      <c r="I474" t="inlineStr">
        <is>
          <t>No</t>
        </is>
      </c>
      <c r="J474" t="inlineStr">
        <is>
          <t>0</t>
        </is>
      </c>
      <c r="L474" t="inlineStr">
        <is>
          <t>New York : Wiley, c1984.</t>
        </is>
      </c>
      <c r="M474" t="inlineStr">
        <is>
          <t>1984</t>
        </is>
      </c>
      <c r="O474" t="inlineStr">
        <is>
          <t>eng</t>
        </is>
      </c>
      <c r="P474" t="inlineStr">
        <is>
          <t>nyu</t>
        </is>
      </c>
      <c r="Q474" t="inlineStr">
        <is>
          <t>Wiley series on personality processes</t>
        </is>
      </c>
      <c r="R474" t="inlineStr">
        <is>
          <t xml:space="preserve">RC </t>
        </is>
      </c>
      <c r="S474" t="n">
        <v>5</v>
      </c>
      <c r="T474" t="n">
        <v>5</v>
      </c>
      <c r="U474" t="inlineStr">
        <is>
          <t>2006-10-23</t>
        </is>
      </c>
      <c r="V474" t="inlineStr">
        <is>
          <t>2006-10-23</t>
        </is>
      </c>
      <c r="W474" t="inlineStr">
        <is>
          <t>1990-03-13</t>
        </is>
      </c>
      <c r="X474" t="inlineStr">
        <is>
          <t>1990-03-13</t>
        </is>
      </c>
      <c r="Y474" t="n">
        <v>435</v>
      </c>
      <c r="Z474" t="n">
        <v>356</v>
      </c>
      <c r="AA474" t="n">
        <v>1045</v>
      </c>
      <c r="AB474" t="n">
        <v>2</v>
      </c>
      <c r="AC474" t="n">
        <v>9</v>
      </c>
      <c r="AD474" t="n">
        <v>12</v>
      </c>
      <c r="AE474" t="n">
        <v>45</v>
      </c>
      <c r="AF474" t="n">
        <v>3</v>
      </c>
      <c r="AG474" t="n">
        <v>17</v>
      </c>
      <c r="AH474" t="n">
        <v>4</v>
      </c>
      <c r="AI474" t="n">
        <v>11</v>
      </c>
      <c r="AJ474" t="n">
        <v>8</v>
      </c>
      <c r="AK474" t="n">
        <v>20</v>
      </c>
      <c r="AL474" t="n">
        <v>1</v>
      </c>
      <c r="AM474" t="n">
        <v>7</v>
      </c>
      <c r="AN474" t="n">
        <v>0</v>
      </c>
      <c r="AO474" t="n">
        <v>1</v>
      </c>
      <c r="AP474" t="inlineStr">
        <is>
          <t>No</t>
        </is>
      </c>
      <c r="AQ474" t="inlineStr">
        <is>
          <t>Yes</t>
        </is>
      </c>
      <c r="AR474">
        <f>HYPERLINK("http://catalog.hathitrust.org/Record/000283366","HathiTrust Record")</f>
        <v/>
      </c>
      <c r="AS474">
        <f>HYPERLINK("https://creighton-primo.hosted.exlibrisgroup.com/primo-explore/search?tab=default_tab&amp;search_scope=EVERYTHING&amp;vid=01CRU&amp;lang=en_US&amp;offset=0&amp;query=any,contains,991000276409702656","Catalog Record")</f>
        <v/>
      </c>
      <c r="AT474">
        <f>HYPERLINK("http://www.worldcat.org/oclc/9894976","WorldCat Record")</f>
        <v/>
      </c>
      <c r="AU474" t="inlineStr">
        <is>
          <t>766653925:eng</t>
        </is>
      </c>
      <c r="AV474" t="inlineStr">
        <is>
          <t>9894976</t>
        </is>
      </c>
      <c r="AW474" t="inlineStr">
        <is>
          <t>991000276409702656</t>
        </is>
      </c>
      <c r="AX474" t="inlineStr">
        <is>
          <t>991000276409702656</t>
        </is>
      </c>
      <c r="AY474" t="inlineStr">
        <is>
          <t>2262792450002656</t>
        </is>
      </c>
      <c r="AZ474" t="inlineStr">
        <is>
          <t>BOOK</t>
        </is>
      </c>
      <c r="BB474" t="inlineStr">
        <is>
          <t>9780471089698</t>
        </is>
      </c>
      <c r="BC474" t="inlineStr">
        <is>
          <t>32285000085554</t>
        </is>
      </c>
      <c r="BD474" t="inlineStr">
        <is>
          <t>893333352</t>
        </is>
      </c>
    </row>
    <row r="475">
      <c r="A475" t="inlineStr">
        <is>
          <t>No</t>
        </is>
      </c>
      <c r="B475" t="inlineStr">
        <is>
          <t>RC454 .A9</t>
        </is>
      </c>
      <c r="C475" t="inlineStr">
        <is>
          <t>0                      RC 0454000A  9</t>
        </is>
      </c>
      <c r="D475" t="inlineStr">
        <is>
          <t>Ego psychology and mental disorder : a developmental approach to psychopathology / David P. Ausubel, Daniel Kirk.</t>
        </is>
      </c>
      <c r="F475" t="inlineStr">
        <is>
          <t>No</t>
        </is>
      </c>
      <c r="G475" t="inlineStr">
        <is>
          <t>1</t>
        </is>
      </c>
      <c r="H475" t="inlineStr">
        <is>
          <t>No</t>
        </is>
      </c>
      <c r="I475" t="inlineStr">
        <is>
          <t>No</t>
        </is>
      </c>
      <c r="J475" t="inlineStr">
        <is>
          <t>0</t>
        </is>
      </c>
      <c r="K475" t="inlineStr">
        <is>
          <t>Ausubel, David Paul.</t>
        </is>
      </c>
      <c r="L475" t="inlineStr">
        <is>
          <t>New York : Grune &amp; Stratton, c1977.</t>
        </is>
      </c>
      <c r="M475" t="inlineStr">
        <is>
          <t>1977</t>
        </is>
      </c>
      <c r="O475" t="inlineStr">
        <is>
          <t>eng</t>
        </is>
      </c>
      <c r="P475" t="inlineStr">
        <is>
          <t>nyu</t>
        </is>
      </c>
      <c r="R475" t="inlineStr">
        <is>
          <t xml:space="preserve">RC </t>
        </is>
      </c>
      <c r="S475" t="n">
        <v>2</v>
      </c>
      <c r="T475" t="n">
        <v>2</v>
      </c>
      <c r="U475" t="inlineStr">
        <is>
          <t>1994-02-18</t>
        </is>
      </c>
      <c r="V475" t="inlineStr">
        <is>
          <t>1994-02-18</t>
        </is>
      </c>
      <c r="W475" t="inlineStr">
        <is>
          <t>1993-03-19</t>
        </is>
      </c>
      <c r="X475" t="inlineStr">
        <is>
          <t>1993-03-19</t>
        </is>
      </c>
      <c r="Y475" t="n">
        <v>320</v>
      </c>
      <c r="Z475" t="n">
        <v>241</v>
      </c>
      <c r="AA475" t="n">
        <v>243</v>
      </c>
      <c r="AB475" t="n">
        <v>2</v>
      </c>
      <c r="AC475" t="n">
        <v>2</v>
      </c>
      <c r="AD475" t="n">
        <v>11</v>
      </c>
      <c r="AE475" t="n">
        <v>11</v>
      </c>
      <c r="AF475" t="n">
        <v>4</v>
      </c>
      <c r="AG475" t="n">
        <v>4</v>
      </c>
      <c r="AH475" t="n">
        <v>3</v>
      </c>
      <c r="AI475" t="n">
        <v>3</v>
      </c>
      <c r="AJ475" t="n">
        <v>9</v>
      </c>
      <c r="AK475" t="n">
        <v>9</v>
      </c>
      <c r="AL475" t="n">
        <v>1</v>
      </c>
      <c r="AM475" t="n">
        <v>1</v>
      </c>
      <c r="AN475" t="n">
        <v>0</v>
      </c>
      <c r="AO475" t="n">
        <v>0</v>
      </c>
      <c r="AP475" t="inlineStr">
        <is>
          <t>No</t>
        </is>
      </c>
      <c r="AQ475" t="inlineStr">
        <is>
          <t>Yes</t>
        </is>
      </c>
      <c r="AR475">
        <f>HYPERLINK("http://catalog.hathitrust.org/Record/000143092","HathiTrust Record")</f>
        <v/>
      </c>
      <c r="AS475">
        <f>HYPERLINK("https://creighton-primo.hosted.exlibrisgroup.com/primo-explore/search?tab=default_tab&amp;search_scope=EVERYTHING&amp;vid=01CRU&amp;lang=en_US&amp;offset=0&amp;query=any,contains,991004254749702656","Catalog Record")</f>
        <v/>
      </c>
      <c r="AT475">
        <f>HYPERLINK("http://www.worldcat.org/oclc/2818933","WorldCat Record")</f>
        <v/>
      </c>
      <c r="AU475" t="inlineStr">
        <is>
          <t>363972454:eng</t>
        </is>
      </c>
      <c r="AV475" t="inlineStr">
        <is>
          <t>2818933</t>
        </is>
      </c>
      <c r="AW475" t="inlineStr">
        <is>
          <t>991004254749702656</t>
        </is>
      </c>
      <c r="AX475" t="inlineStr">
        <is>
          <t>991004254749702656</t>
        </is>
      </c>
      <c r="AY475" t="inlineStr">
        <is>
          <t>2267627600002656</t>
        </is>
      </c>
      <c r="AZ475" t="inlineStr">
        <is>
          <t>BOOK</t>
        </is>
      </c>
      <c r="BB475" t="inlineStr">
        <is>
          <t>9780808910046</t>
        </is>
      </c>
      <c r="BC475" t="inlineStr">
        <is>
          <t>32285001605681</t>
        </is>
      </c>
      <c r="BD475" t="inlineStr">
        <is>
          <t>893318986</t>
        </is>
      </c>
    </row>
    <row r="476">
      <c r="A476" t="inlineStr">
        <is>
          <t>No</t>
        </is>
      </c>
      <c r="B476" t="inlineStr">
        <is>
          <t>RC454 .B85</t>
        </is>
      </c>
      <c r="C476" t="inlineStr">
        <is>
          <t>0                      RC 0454000B  85</t>
        </is>
      </c>
      <c r="D476" t="inlineStr">
        <is>
          <t>Psychopathology [by] Arnold H. Buss.</t>
        </is>
      </c>
      <c r="F476" t="inlineStr">
        <is>
          <t>No</t>
        </is>
      </c>
      <c r="G476" t="inlineStr">
        <is>
          <t>1</t>
        </is>
      </c>
      <c r="H476" t="inlineStr">
        <is>
          <t>No</t>
        </is>
      </c>
      <c r="I476" t="inlineStr">
        <is>
          <t>No</t>
        </is>
      </c>
      <c r="J476" t="inlineStr">
        <is>
          <t>0</t>
        </is>
      </c>
      <c r="K476" t="inlineStr">
        <is>
          <t>Buss, Arnold H., 1924-</t>
        </is>
      </c>
      <c r="L476" t="inlineStr">
        <is>
          <t>New York, Wiley [1966]</t>
        </is>
      </c>
      <c r="M476" t="inlineStr">
        <is>
          <t>1966</t>
        </is>
      </c>
      <c r="O476" t="inlineStr">
        <is>
          <t>eng</t>
        </is>
      </c>
      <c r="P476" t="inlineStr">
        <is>
          <t>nyu</t>
        </is>
      </c>
      <c r="R476" t="inlineStr">
        <is>
          <t xml:space="preserve">RC </t>
        </is>
      </c>
      <c r="S476" t="n">
        <v>0</v>
      </c>
      <c r="T476" t="n">
        <v>0</v>
      </c>
      <c r="U476" t="inlineStr">
        <is>
          <t>2003-10-28</t>
        </is>
      </c>
      <c r="V476" t="inlineStr">
        <is>
          <t>2003-10-28</t>
        </is>
      </c>
      <c r="W476" t="inlineStr">
        <is>
          <t>1997-08-11</t>
        </is>
      </c>
      <c r="X476" t="inlineStr">
        <is>
          <t>1997-08-11</t>
        </is>
      </c>
      <c r="Y476" t="n">
        <v>549</v>
      </c>
      <c r="Z476" t="n">
        <v>404</v>
      </c>
      <c r="AA476" t="n">
        <v>416</v>
      </c>
      <c r="AB476" t="n">
        <v>4</v>
      </c>
      <c r="AC476" t="n">
        <v>4</v>
      </c>
      <c r="AD476" t="n">
        <v>20</v>
      </c>
      <c r="AE476" t="n">
        <v>20</v>
      </c>
      <c r="AF476" t="n">
        <v>7</v>
      </c>
      <c r="AG476" t="n">
        <v>7</v>
      </c>
      <c r="AH476" t="n">
        <v>4</v>
      </c>
      <c r="AI476" t="n">
        <v>4</v>
      </c>
      <c r="AJ476" t="n">
        <v>11</v>
      </c>
      <c r="AK476" t="n">
        <v>11</v>
      </c>
      <c r="AL476" t="n">
        <v>3</v>
      </c>
      <c r="AM476" t="n">
        <v>3</v>
      </c>
      <c r="AN476" t="n">
        <v>0</v>
      </c>
      <c r="AO476" t="n">
        <v>0</v>
      </c>
      <c r="AP476" t="inlineStr">
        <is>
          <t>No</t>
        </is>
      </c>
      <c r="AQ476" t="inlineStr">
        <is>
          <t>Yes</t>
        </is>
      </c>
      <c r="AR476">
        <f>HYPERLINK("http://catalog.hathitrust.org/Record/001563875","HathiTrust Record")</f>
        <v/>
      </c>
      <c r="AS476">
        <f>HYPERLINK("https://creighton-primo.hosted.exlibrisgroup.com/primo-explore/search?tab=default_tab&amp;search_scope=EVERYTHING&amp;vid=01CRU&amp;lang=en_US&amp;offset=0&amp;query=any,contains,991001916219702656","Catalog Record")</f>
        <v/>
      </c>
      <c r="AT476">
        <f>HYPERLINK("http://www.worldcat.org/oclc/243718","WorldCat Record")</f>
        <v/>
      </c>
      <c r="AU476" t="inlineStr">
        <is>
          <t>3856285883:eng</t>
        </is>
      </c>
      <c r="AV476" t="inlineStr">
        <is>
          <t>243718</t>
        </is>
      </c>
      <c r="AW476" t="inlineStr">
        <is>
          <t>991001916219702656</t>
        </is>
      </c>
      <c r="AX476" t="inlineStr">
        <is>
          <t>991001916219702656</t>
        </is>
      </c>
      <c r="AY476" t="inlineStr">
        <is>
          <t>2268911830002656</t>
        </is>
      </c>
      <c r="AZ476" t="inlineStr">
        <is>
          <t>BOOK</t>
        </is>
      </c>
      <c r="BC476" t="inlineStr">
        <is>
          <t>32285003090494</t>
        </is>
      </c>
      <c r="BD476" t="inlineStr">
        <is>
          <t>893879297</t>
        </is>
      </c>
    </row>
    <row r="477">
      <c r="A477" t="inlineStr">
        <is>
          <t>No</t>
        </is>
      </c>
      <c r="B477" t="inlineStr">
        <is>
          <t>RC454 .C27</t>
        </is>
      </c>
      <c r="C477" t="inlineStr">
        <is>
          <t>0                      RC 0454000C  27</t>
        </is>
      </c>
      <c r="D477" t="inlineStr">
        <is>
          <t>Personality development and psychopathology, a dynamic approach.</t>
        </is>
      </c>
      <c r="F477" t="inlineStr">
        <is>
          <t>No</t>
        </is>
      </c>
      <c r="G477" t="inlineStr">
        <is>
          <t>1</t>
        </is>
      </c>
      <c r="H477" t="inlineStr">
        <is>
          <t>No</t>
        </is>
      </c>
      <c r="I477" t="inlineStr">
        <is>
          <t>No</t>
        </is>
      </c>
      <c r="J477" t="inlineStr">
        <is>
          <t>0</t>
        </is>
      </c>
      <c r="K477" t="inlineStr">
        <is>
          <t>Cameron, Norman, 1896-</t>
        </is>
      </c>
      <c r="L477" t="inlineStr">
        <is>
          <t>Boston, Houghton Mifflin Co. [1963]</t>
        </is>
      </c>
      <c r="M477" t="inlineStr">
        <is>
          <t>1963</t>
        </is>
      </c>
      <c r="O477" t="inlineStr">
        <is>
          <t>eng</t>
        </is>
      </c>
      <c r="P477" t="inlineStr">
        <is>
          <t>mau</t>
        </is>
      </c>
      <c r="R477" t="inlineStr">
        <is>
          <t xml:space="preserve">RC </t>
        </is>
      </c>
      <c r="S477" t="n">
        <v>5</v>
      </c>
      <c r="T477" t="n">
        <v>5</v>
      </c>
      <c r="U477" t="inlineStr">
        <is>
          <t>2007-03-13</t>
        </is>
      </c>
      <c r="V477" t="inlineStr">
        <is>
          <t>2007-03-13</t>
        </is>
      </c>
      <c r="W477" t="inlineStr">
        <is>
          <t>1997-08-11</t>
        </is>
      </c>
      <c r="X477" t="inlineStr">
        <is>
          <t>1997-08-11</t>
        </is>
      </c>
      <c r="Y477" t="n">
        <v>710</v>
      </c>
      <c r="Z477" t="n">
        <v>580</v>
      </c>
      <c r="AA477" t="n">
        <v>701</v>
      </c>
      <c r="AB477" t="n">
        <v>5</v>
      </c>
      <c r="AC477" t="n">
        <v>5</v>
      </c>
      <c r="AD477" t="n">
        <v>25</v>
      </c>
      <c r="AE477" t="n">
        <v>30</v>
      </c>
      <c r="AF477" t="n">
        <v>10</v>
      </c>
      <c r="AG477" t="n">
        <v>12</v>
      </c>
      <c r="AH477" t="n">
        <v>5</v>
      </c>
      <c r="AI477" t="n">
        <v>6</v>
      </c>
      <c r="AJ477" t="n">
        <v>14</v>
      </c>
      <c r="AK477" t="n">
        <v>16</v>
      </c>
      <c r="AL477" t="n">
        <v>3</v>
      </c>
      <c r="AM477" t="n">
        <v>3</v>
      </c>
      <c r="AN477" t="n">
        <v>0</v>
      </c>
      <c r="AO477" t="n">
        <v>0</v>
      </c>
      <c r="AP477" t="inlineStr">
        <is>
          <t>No</t>
        </is>
      </c>
      <c r="AQ477" t="inlineStr">
        <is>
          <t>Yes</t>
        </is>
      </c>
      <c r="AR477">
        <f>HYPERLINK("http://catalog.hathitrust.org/Record/001578118","HathiTrust Record")</f>
        <v/>
      </c>
      <c r="AS477">
        <f>HYPERLINK("https://creighton-primo.hosted.exlibrisgroup.com/primo-explore/search?tab=default_tab&amp;search_scope=EVERYTHING&amp;vid=01CRU&amp;lang=en_US&amp;offset=0&amp;query=any,contains,991005265229702656","Catalog Record")</f>
        <v/>
      </c>
      <c r="AT477">
        <f>HYPERLINK("http://www.worldcat.org/oclc/710258","WorldCat Record")</f>
        <v/>
      </c>
      <c r="AU477" t="inlineStr">
        <is>
          <t>1652048:eng</t>
        </is>
      </c>
      <c r="AV477" t="inlineStr">
        <is>
          <t>710258</t>
        </is>
      </c>
      <c r="AW477" t="inlineStr">
        <is>
          <t>991005265229702656</t>
        </is>
      </c>
      <c r="AX477" t="inlineStr">
        <is>
          <t>991005265229702656</t>
        </is>
      </c>
      <c r="AY477" t="inlineStr">
        <is>
          <t>2262413780002656</t>
        </is>
      </c>
      <c r="AZ477" t="inlineStr">
        <is>
          <t>BOOK</t>
        </is>
      </c>
      <c r="BC477" t="inlineStr">
        <is>
          <t>32285003090502</t>
        </is>
      </c>
      <c r="BD477" t="inlineStr">
        <is>
          <t>893783312</t>
        </is>
      </c>
    </row>
    <row r="478">
      <c r="A478" t="inlineStr">
        <is>
          <t>No</t>
        </is>
      </c>
      <c r="B478" t="inlineStr">
        <is>
          <t>RC454 .C66</t>
        </is>
      </c>
      <c r="C478" t="inlineStr">
        <is>
          <t>0                      RC 0454000C  66</t>
        </is>
      </c>
      <c r="D478" t="inlineStr">
        <is>
          <t>Symptoms of psychopathology : a handbook / edited by Charles G. Costello.</t>
        </is>
      </c>
      <c r="F478" t="inlineStr">
        <is>
          <t>No</t>
        </is>
      </c>
      <c r="G478" t="inlineStr">
        <is>
          <t>1</t>
        </is>
      </c>
      <c r="H478" t="inlineStr">
        <is>
          <t>No</t>
        </is>
      </c>
      <c r="I478" t="inlineStr">
        <is>
          <t>No</t>
        </is>
      </c>
      <c r="J478" t="inlineStr">
        <is>
          <t>0</t>
        </is>
      </c>
      <c r="K478" t="inlineStr">
        <is>
          <t>Costello, Charles G., 1929-</t>
        </is>
      </c>
      <c r="L478" t="inlineStr">
        <is>
          <t>New York : Wiley, [1970]</t>
        </is>
      </c>
      <c r="M478" t="inlineStr">
        <is>
          <t>1970</t>
        </is>
      </c>
      <c r="O478" t="inlineStr">
        <is>
          <t>eng</t>
        </is>
      </c>
      <c r="P478" t="inlineStr">
        <is>
          <t>nyu</t>
        </is>
      </c>
      <c r="R478" t="inlineStr">
        <is>
          <t xml:space="preserve">RC </t>
        </is>
      </c>
      <c r="S478" t="n">
        <v>8</v>
      </c>
      <c r="T478" t="n">
        <v>8</v>
      </c>
      <c r="U478" t="inlineStr">
        <is>
          <t>1999-10-29</t>
        </is>
      </c>
      <c r="V478" t="inlineStr">
        <is>
          <t>1999-10-29</t>
        </is>
      </c>
      <c r="W478" t="inlineStr">
        <is>
          <t>1990-12-28</t>
        </is>
      </c>
      <c r="X478" t="inlineStr">
        <is>
          <t>1990-12-28</t>
        </is>
      </c>
      <c r="Y478" t="n">
        <v>541</v>
      </c>
      <c r="Z478" t="n">
        <v>405</v>
      </c>
      <c r="AA478" t="n">
        <v>409</v>
      </c>
      <c r="AB478" t="n">
        <v>5</v>
      </c>
      <c r="AC478" t="n">
        <v>5</v>
      </c>
      <c r="AD478" t="n">
        <v>23</v>
      </c>
      <c r="AE478" t="n">
        <v>23</v>
      </c>
      <c r="AF478" t="n">
        <v>8</v>
      </c>
      <c r="AG478" t="n">
        <v>8</v>
      </c>
      <c r="AH478" t="n">
        <v>4</v>
      </c>
      <c r="AI478" t="n">
        <v>4</v>
      </c>
      <c r="AJ478" t="n">
        <v>13</v>
      </c>
      <c r="AK478" t="n">
        <v>13</v>
      </c>
      <c r="AL478" t="n">
        <v>4</v>
      </c>
      <c r="AM478" t="n">
        <v>4</v>
      </c>
      <c r="AN478" t="n">
        <v>0</v>
      </c>
      <c r="AO478" t="n">
        <v>0</v>
      </c>
      <c r="AP478" t="inlineStr">
        <is>
          <t>No</t>
        </is>
      </c>
      <c r="AQ478" t="inlineStr">
        <is>
          <t>Yes</t>
        </is>
      </c>
      <c r="AR478">
        <f>HYPERLINK("http://catalog.hathitrust.org/Record/001563885","HathiTrust Record")</f>
        <v/>
      </c>
      <c r="AS478">
        <f>HYPERLINK("https://creighton-primo.hosted.exlibrisgroup.com/primo-explore/search?tab=default_tab&amp;search_scope=EVERYTHING&amp;vid=01CRU&amp;lang=en_US&amp;offset=0&amp;query=any,contains,991000122379702656","Catalog Record")</f>
        <v/>
      </c>
      <c r="AT478">
        <f>HYPERLINK("http://www.worldcat.org/oclc/50653","WorldCat Record")</f>
        <v/>
      </c>
      <c r="AU478" t="inlineStr">
        <is>
          <t>1168319:eng</t>
        </is>
      </c>
      <c r="AV478" t="inlineStr">
        <is>
          <t>50653</t>
        </is>
      </c>
      <c r="AW478" t="inlineStr">
        <is>
          <t>991000122379702656</t>
        </is>
      </c>
      <c r="AX478" t="inlineStr">
        <is>
          <t>991000122379702656</t>
        </is>
      </c>
      <c r="AY478" t="inlineStr">
        <is>
          <t>2255762750002656</t>
        </is>
      </c>
      <c r="AZ478" t="inlineStr">
        <is>
          <t>BOOK</t>
        </is>
      </c>
      <c r="BB478" t="inlineStr">
        <is>
          <t>9780471175209</t>
        </is>
      </c>
      <c r="BC478" t="inlineStr">
        <is>
          <t>32285000426626</t>
        </is>
      </c>
      <c r="BD478" t="inlineStr">
        <is>
          <t>893425445</t>
        </is>
      </c>
    </row>
    <row r="479">
      <c r="A479" t="inlineStr">
        <is>
          <t>No</t>
        </is>
      </c>
      <c r="B479" t="inlineStr">
        <is>
          <t>RC454 .D544 2008</t>
        </is>
      </c>
      <c r="C479" t="inlineStr">
        <is>
          <t>0                      RC 0454000D  544         2008</t>
        </is>
      </c>
      <c r="D479" t="inlineStr">
        <is>
          <t>Different people, different voices : a collection of essays on mental illness / compiled by Michael and Mary Van Fleteren.</t>
        </is>
      </c>
      <c r="F479" t="inlineStr">
        <is>
          <t>No</t>
        </is>
      </c>
      <c r="G479" t="inlineStr">
        <is>
          <t>1</t>
        </is>
      </c>
      <c r="H479" t="inlineStr">
        <is>
          <t>No</t>
        </is>
      </c>
      <c r="I479" t="inlineStr">
        <is>
          <t>No</t>
        </is>
      </c>
      <c r="J479" t="inlineStr">
        <is>
          <t>0</t>
        </is>
      </c>
      <c r="L479" t="inlineStr">
        <is>
          <t>Rockford, Mich. : Outsider Press, c2008.</t>
        </is>
      </c>
      <c r="M479" t="inlineStr">
        <is>
          <t>2008</t>
        </is>
      </c>
      <c r="O479" t="inlineStr">
        <is>
          <t>eng</t>
        </is>
      </c>
      <c r="P479" t="inlineStr">
        <is>
          <t>miu</t>
        </is>
      </c>
      <c r="R479" t="inlineStr">
        <is>
          <t xml:space="preserve">RC </t>
        </is>
      </c>
      <c r="S479" t="n">
        <v>1</v>
      </c>
      <c r="T479" t="n">
        <v>1</v>
      </c>
      <c r="U479" t="inlineStr">
        <is>
          <t>2009-08-04</t>
        </is>
      </c>
      <c r="V479" t="inlineStr">
        <is>
          <t>2009-08-04</t>
        </is>
      </c>
      <c r="W479" t="inlineStr">
        <is>
          <t>2009-08-04</t>
        </is>
      </c>
      <c r="X479" t="inlineStr">
        <is>
          <t>2009-08-04</t>
        </is>
      </c>
      <c r="Y479" t="n">
        <v>34</v>
      </c>
      <c r="Z479" t="n">
        <v>34</v>
      </c>
      <c r="AA479" t="n">
        <v>39</v>
      </c>
      <c r="AB479" t="n">
        <v>1</v>
      </c>
      <c r="AC479" t="n">
        <v>1</v>
      </c>
      <c r="AD479" t="n">
        <v>0</v>
      </c>
      <c r="AE479" t="n">
        <v>0</v>
      </c>
      <c r="AF479" t="n">
        <v>0</v>
      </c>
      <c r="AG479" t="n">
        <v>0</v>
      </c>
      <c r="AH479" t="n">
        <v>0</v>
      </c>
      <c r="AI479" t="n">
        <v>0</v>
      </c>
      <c r="AJ479" t="n">
        <v>0</v>
      </c>
      <c r="AK479" t="n">
        <v>0</v>
      </c>
      <c r="AL479" t="n">
        <v>0</v>
      </c>
      <c r="AM479" t="n">
        <v>0</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HYPERLINK("https://creighton-primo.hosted.exlibrisgroup.com/primo-explore/search?tab=default_tab&amp;search_scope=EVERYTHING&amp;vid=01CRU&amp;lang=en_US&amp;offset=0&amp;query=any,contains,991005327699702656","Catalog Record")</f>
        <v/>
      </c>
      <c r="AT479">
        <f>HYPERLINK("http://www.worldcat.org/oclc/426917887","WorldCat Record")</f>
        <v/>
      </c>
      <c r="AU479" t="inlineStr">
        <is>
          <t>314604976:eng</t>
        </is>
      </c>
      <c r="AV479" t="inlineStr">
        <is>
          <t>426917887</t>
        </is>
      </c>
      <c r="AW479" t="inlineStr">
        <is>
          <t>991005327699702656</t>
        </is>
      </c>
      <c r="AX479" t="inlineStr">
        <is>
          <t>991005327699702656</t>
        </is>
      </c>
      <c r="AY479" t="inlineStr">
        <is>
          <t>2255723050002656</t>
        </is>
      </c>
      <c r="AZ479" t="inlineStr">
        <is>
          <t>BOOK</t>
        </is>
      </c>
      <c r="BB479" t="inlineStr">
        <is>
          <t>9780615210230</t>
        </is>
      </c>
      <c r="BC479" t="inlineStr">
        <is>
          <t>32285005540348</t>
        </is>
      </c>
      <c r="BD479" t="inlineStr">
        <is>
          <t>893600989</t>
        </is>
      </c>
    </row>
    <row r="480">
      <c r="A480" t="inlineStr">
        <is>
          <t>No</t>
        </is>
      </c>
      <c r="B480" t="inlineStr">
        <is>
          <t>RC454 .E4 1976</t>
        </is>
      </c>
      <c r="C480" t="inlineStr">
        <is>
          <t>0                      RC 0454000E  4           1976</t>
        </is>
      </c>
      <c r="D480" t="inlineStr">
        <is>
          <t>Psychiatry / by Merrill T. Eaton, Jr., Margaret H. Peterson, James A. Davis.</t>
        </is>
      </c>
      <c r="F480" t="inlineStr">
        <is>
          <t>No</t>
        </is>
      </c>
      <c r="G480" t="inlineStr">
        <is>
          <t>1</t>
        </is>
      </c>
      <c r="H480" t="inlineStr">
        <is>
          <t>No</t>
        </is>
      </c>
      <c r="I480" t="inlineStr">
        <is>
          <t>No</t>
        </is>
      </c>
      <c r="J480" t="inlineStr">
        <is>
          <t>0</t>
        </is>
      </c>
      <c r="K480" t="inlineStr">
        <is>
          <t>Eaton, Merrill T. (Merrill Thomas), 1920-</t>
        </is>
      </c>
      <c r="L480" t="inlineStr">
        <is>
          <t>Flushing, N.Y. : Medical Examination Pub. Co., 1976.</t>
        </is>
      </c>
      <c r="M480" t="inlineStr">
        <is>
          <t>1976</t>
        </is>
      </c>
      <c r="N480" t="inlineStr">
        <is>
          <t>3d ed.</t>
        </is>
      </c>
      <c r="O480" t="inlineStr">
        <is>
          <t>eng</t>
        </is>
      </c>
      <c r="P480" t="inlineStr">
        <is>
          <t>nyu</t>
        </is>
      </c>
      <c r="Q480" t="inlineStr">
        <is>
          <t>Medical outline series</t>
        </is>
      </c>
      <c r="R480" t="inlineStr">
        <is>
          <t xml:space="preserve">RC </t>
        </is>
      </c>
      <c r="S480" t="n">
        <v>1</v>
      </c>
      <c r="T480" t="n">
        <v>1</v>
      </c>
      <c r="U480" t="inlineStr">
        <is>
          <t>1992-12-05</t>
        </is>
      </c>
      <c r="V480" t="inlineStr">
        <is>
          <t>1992-12-05</t>
        </is>
      </c>
      <c r="W480" t="inlineStr">
        <is>
          <t>1992-04-08</t>
        </is>
      </c>
      <c r="X480" t="inlineStr">
        <is>
          <t>1992-04-08</t>
        </is>
      </c>
      <c r="Y480" t="n">
        <v>153</v>
      </c>
      <c r="Z480" t="n">
        <v>130</v>
      </c>
      <c r="AA480" t="n">
        <v>264</v>
      </c>
      <c r="AB480" t="n">
        <v>3</v>
      </c>
      <c r="AC480" t="n">
        <v>5</v>
      </c>
      <c r="AD480" t="n">
        <v>5</v>
      </c>
      <c r="AE480" t="n">
        <v>12</v>
      </c>
      <c r="AF480" t="n">
        <v>1</v>
      </c>
      <c r="AG480" t="n">
        <v>3</v>
      </c>
      <c r="AH480" t="n">
        <v>1</v>
      </c>
      <c r="AI480" t="n">
        <v>2</v>
      </c>
      <c r="AJ480" t="n">
        <v>3</v>
      </c>
      <c r="AK480" t="n">
        <v>6</v>
      </c>
      <c r="AL480" t="n">
        <v>1</v>
      </c>
      <c r="AM480" t="n">
        <v>3</v>
      </c>
      <c r="AN480" t="n">
        <v>0</v>
      </c>
      <c r="AO480" t="n">
        <v>0</v>
      </c>
      <c r="AP480" t="inlineStr">
        <is>
          <t>No</t>
        </is>
      </c>
      <c r="AQ480" t="inlineStr">
        <is>
          <t>Yes</t>
        </is>
      </c>
      <c r="AR480">
        <f>HYPERLINK("http://catalog.hathitrust.org/Record/000729710","HathiTrust Record")</f>
        <v/>
      </c>
      <c r="AS480">
        <f>HYPERLINK("https://creighton-primo.hosted.exlibrisgroup.com/primo-explore/search?tab=default_tab&amp;search_scope=EVERYTHING&amp;vid=01CRU&amp;lang=en_US&amp;offset=0&amp;query=any,contains,991005265239702656","Catalog Record")</f>
        <v/>
      </c>
      <c r="AT480">
        <f>HYPERLINK("http://www.worldcat.org/oclc/2541449","WorldCat Record")</f>
        <v/>
      </c>
      <c r="AU480" t="inlineStr">
        <is>
          <t>32314927:eng</t>
        </is>
      </c>
      <c r="AV480" t="inlineStr">
        <is>
          <t>2541449</t>
        </is>
      </c>
      <c r="AW480" t="inlineStr">
        <is>
          <t>991005265239702656</t>
        </is>
      </c>
      <c r="AX480" t="inlineStr">
        <is>
          <t>991005265239702656</t>
        </is>
      </c>
      <c r="AY480" t="inlineStr">
        <is>
          <t>2272770050002656</t>
        </is>
      </c>
      <c r="AZ480" t="inlineStr">
        <is>
          <t>BOOK</t>
        </is>
      </c>
      <c r="BB480" t="inlineStr">
        <is>
          <t>9780874886214</t>
        </is>
      </c>
      <c r="BC480" t="inlineStr">
        <is>
          <t>32285001056786</t>
        </is>
      </c>
      <c r="BD480" t="inlineStr">
        <is>
          <t>893520740</t>
        </is>
      </c>
    </row>
    <row r="481">
      <c r="A481" t="inlineStr">
        <is>
          <t>No</t>
        </is>
      </c>
      <c r="B481" t="inlineStr">
        <is>
          <t>RC454 .E5 1964</t>
        </is>
      </c>
      <c r="C481" t="inlineStr">
        <is>
          <t>0                      RC 0454000E  5           1964</t>
        </is>
      </c>
      <c r="D481" t="inlineStr">
        <is>
          <t>Introduction to psychiatry / [by] O. Spurgeon English and Stuart M. Finch.</t>
        </is>
      </c>
      <c r="F481" t="inlineStr">
        <is>
          <t>No</t>
        </is>
      </c>
      <c r="G481" t="inlineStr">
        <is>
          <t>1</t>
        </is>
      </c>
      <c r="H481" t="inlineStr">
        <is>
          <t>No</t>
        </is>
      </c>
      <c r="I481" t="inlineStr">
        <is>
          <t>No</t>
        </is>
      </c>
      <c r="J481" t="inlineStr">
        <is>
          <t>0</t>
        </is>
      </c>
      <c r="K481" t="inlineStr">
        <is>
          <t>English, O. Spurgeon (Oliver Spurgeon), 1901-1993.</t>
        </is>
      </c>
      <c r="L481" t="inlineStr">
        <is>
          <t>New York : Norton, [1964]</t>
        </is>
      </c>
      <c r="M481" t="inlineStr">
        <is>
          <t>1964</t>
        </is>
      </c>
      <c r="N481" t="inlineStr">
        <is>
          <t>[3d ed.]</t>
        </is>
      </c>
      <c r="O481" t="inlineStr">
        <is>
          <t>eng</t>
        </is>
      </c>
      <c r="P481" t="inlineStr">
        <is>
          <t>nyu</t>
        </is>
      </c>
      <c r="R481" t="inlineStr">
        <is>
          <t xml:space="preserve">RC </t>
        </is>
      </c>
      <c r="S481" t="n">
        <v>6</v>
      </c>
      <c r="T481" t="n">
        <v>6</v>
      </c>
      <c r="U481" t="inlineStr">
        <is>
          <t>1997-03-16</t>
        </is>
      </c>
      <c r="V481" t="inlineStr">
        <is>
          <t>1997-03-16</t>
        </is>
      </c>
      <c r="W481" t="inlineStr">
        <is>
          <t>1992-04-09</t>
        </is>
      </c>
      <c r="X481" t="inlineStr">
        <is>
          <t>1992-04-09</t>
        </is>
      </c>
      <c r="Y481" t="n">
        <v>266</v>
      </c>
      <c r="Z481" t="n">
        <v>248</v>
      </c>
      <c r="AA481" t="n">
        <v>362</v>
      </c>
      <c r="AB481" t="n">
        <v>2</v>
      </c>
      <c r="AC481" t="n">
        <v>3</v>
      </c>
      <c r="AD481" t="n">
        <v>8</v>
      </c>
      <c r="AE481" t="n">
        <v>14</v>
      </c>
      <c r="AF481" t="n">
        <v>2</v>
      </c>
      <c r="AG481" t="n">
        <v>2</v>
      </c>
      <c r="AH481" t="n">
        <v>1</v>
      </c>
      <c r="AI481" t="n">
        <v>3</v>
      </c>
      <c r="AJ481" t="n">
        <v>5</v>
      </c>
      <c r="AK481" t="n">
        <v>8</v>
      </c>
      <c r="AL481" t="n">
        <v>1</v>
      </c>
      <c r="AM481" t="n">
        <v>2</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HYPERLINK("https://creighton-primo.hosted.exlibrisgroup.com/primo-explore/search?tab=default_tab&amp;search_scope=EVERYTHING&amp;vid=01CRU&amp;lang=en_US&amp;offset=0&amp;query=any,contains,991002745239702656","Catalog Record")</f>
        <v/>
      </c>
      <c r="AT481">
        <f>HYPERLINK("http://www.worldcat.org/oclc/422575","WorldCat Record")</f>
        <v/>
      </c>
      <c r="AU481" t="inlineStr">
        <is>
          <t>573064:eng</t>
        </is>
      </c>
      <c r="AV481" t="inlineStr">
        <is>
          <t>422575</t>
        </is>
      </c>
      <c r="AW481" t="inlineStr">
        <is>
          <t>991002745239702656</t>
        </is>
      </c>
      <c r="AX481" t="inlineStr">
        <is>
          <t>991002745239702656</t>
        </is>
      </c>
      <c r="AY481" t="inlineStr">
        <is>
          <t>2267194600002656</t>
        </is>
      </c>
      <c r="AZ481" t="inlineStr">
        <is>
          <t>BOOK</t>
        </is>
      </c>
      <c r="BC481" t="inlineStr">
        <is>
          <t>32285001056778</t>
        </is>
      </c>
      <c r="BD481" t="inlineStr">
        <is>
          <t>893603961</t>
        </is>
      </c>
    </row>
    <row r="482">
      <c r="A482" t="inlineStr">
        <is>
          <t>No</t>
        </is>
      </c>
      <c r="B482" t="inlineStr">
        <is>
          <t>RC454 .F742 1976</t>
        </is>
      </c>
      <c r="C482" t="inlineStr">
        <is>
          <t>0                      RC 0454000F  742         1976</t>
        </is>
      </c>
      <c r="D482" t="inlineStr">
        <is>
          <t>Modern synopsis of Comprehensive textbook of psychiatry, II / Alfred M. Freedman, Harold I. Kaplan, Benjamin J. Sadock.</t>
        </is>
      </c>
      <c r="F482" t="inlineStr">
        <is>
          <t>No</t>
        </is>
      </c>
      <c r="G482" t="inlineStr">
        <is>
          <t>1</t>
        </is>
      </c>
      <c r="H482" t="inlineStr">
        <is>
          <t>No</t>
        </is>
      </c>
      <c r="I482" t="inlineStr">
        <is>
          <t>No</t>
        </is>
      </c>
      <c r="J482" t="inlineStr">
        <is>
          <t>0</t>
        </is>
      </c>
      <c r="K482" t="inlineStr">
        <is>
          <t>Freedman, Alfred M.</t>
        </is>
      </c>
      <c r="L482" t="inlineStr">
        <is>
          <t>Baltimore : Williams &amp; Wilkins, c1976.</t>
        </is>
      </c>
      <c r="M482" t="inlineStr">
        <is>
          <t>1976</t>
        </is>
      </c>
      <c r="N482" t="inlineStr">
        <is>
          <t>2d ed.</t>
        </is>
      </c>
      <c r="O482" t="inlineStr">
        <is>
          <t>eng</t>
        </is>
      </c>
      <c r="P482" t="inlineStr">
        <is>
          <t>mdu</t>
        </is>
      </c>
      <c r="R482" t="inlineStr">
        <is>
          <t xml:space="preserve">RC </t>
        </is>
      </c>
      <c r="S482" t="n">
        <v>8</v>
      </c>
      <c r="T482" t="n">
        <v>8</v>
      </c>
      <c r="U482" t="inlineStr">
        <is>
          <t>1996-04-30</t>
        </is>
      </c>
      <c r="V482" t="inlineStr">
        <is>
          <t>1996-04-30</t>
        </is>
      </c>
      <c r="W482" t="inlineStr">
        <is>
          <t>1992-04-09</t>
        </is>
      </c>
      <c r="X482" t="inlineStr">
        <is>
          <t>1992-04-09</t>
        </is>
      </c>
      <c r="Y482" t="n">
        <v>262</v>
      </c>
      <c r="Z482" t="n">
        <v>199</v>
      </c>
      <c r="AA482" t="n">
        <v>343</v>
      </c>
      <c r="AB482" t="n">
        <v>2</v>
      </c>
      <c r="AC482" t="n">
        <v>3</v>
      </c>
      <c r="AD482" t="n">
        <v>1</v>
      </c>
      <c r="AE482" t="n">
        <v>7</v>
      </c>
      <c r="AF482" t="n">
        <v>0</v>
      </c>
      <c r="AG482" t="n">
        <v>1</v>
      </c>
      <c r="AH482" t="n">
        <v>0</v>
      </c>
      <c r="AI482" t="n">
        <v>0</v>
      </c>
      <c r="AJ482" t="n">
        <v>1</v>
      </c>
      <c r="AK482" t="n">
        <v>6</v>
      </c>
      <c r="AL482" t="n">
        <v>0</v>
      </c>
      <c r="AM482" t="n">
        <v>1</v>
      </c>
      <c r="AN482" t="n">
        <v>0</v>
      </c>
      <c r="AO482" t="n">
        <v>0</v>
      </c>
      <c r="AP482" t="inlineStr">
        <is>
          <t>No</t>
        </is>
      </c>
      <c r="AQ482" t="inlineStr">
        <is>
          <t>Yes</t>
        </is>
      </c>
      <c r="AR482">
        <f>HYPERLINK("http://catalog.hathitrust.org/Record/000086852","HathiTrust Record")</f>
        <v/>
      </c>
      <c r="AS482">
        <f>HYPERLINK("https://creighton-primo.hosted.exlibrisgroup.com/primo-explore/search?tab=default_tab&amp;search_scope=EVERYTHING&amp;vid=01CRU&amp;lang=en_US&amp;offset=0&amp;query=any,contains,991004178539702656","Catalog Record")</f>
        <v/>
      </c>
      <c r="AT482">
        <f>HYPERLINK("http://www.worldcat.org/oclc/2598449","WorldCat Record")</f>
        <v/>
      </c>
      <c r="AU482" t="inlineStr">
        <is>
          <t>4915268201:eng</t>
        </is>
      </c>
      <c r="AV482" t="inlineStr">
        <is>
          <t>2598449</t>
        </is>
      </c>
      <c r="AW482" t="inlineStr">
        <is>
          <t>991004178539702656</t>
        </is>
      </c>
      <c r="AX482" t="inlineStr">
        <is>
          <t>991004178539702656</t>
        </is>
      </c>
      <c r="AY482" t="inlineStr">
        <is>
          <t>2265983180002656</t>
        </is>
      </c>
      <c r="AZ482" t="inlineStr">
        <is>
          <t>BOOK</t>
        </is>
      </c>
      <c r="BB482" t="inlineStr">
        <is>
          <t>9780683033700</t>
        </is>
      </c>
      <c r="BC482" t="inlineStr">
        <is>
          <t>32285001056935</t>
        </is>
      </c>
      <c r="BD482" t="inlineStr">
        <is>
          <t>893442306</t>
        </is>
      </c>
    </row>
    <row r="483">
      <c r="A483" t="inlineStr">
        <is>
          <t>No</t>
        </is>
      </c>
      <c r="B483" t="inlineStr">
        <is>
          <t>RC454 .H353 1982, v.1</t>
        </is>
      </c>
      <c r="C483" t="inlineStr">
        <is>
          <t>0                      RC 0454000H  353         1982                                        v.1</t>
        </is>
      </c>
      <c r="D483" t="inlineStr">
        <is>
          <t>Clinical psychology and behavioral medicine : overlapping disciplines / Robert J. Gatchel, Andrew Baum, and Jerome E. Singer (editors).</t>
        </is>
      </c>
      <c r="E483" t="inlineStr">
        <is>
          <t>V. 1</t>
        </is>
      </c>
      <c r="F483" t="inlineStr">
        <is>
          <t>No</t>
        </is>
      </c>
      <c r="G483" t="inlineStr">
        <is>
          <t>1</t>
        </is>
      </c>
      <c r="H483" t="inlineStr">
        <is>
          <t>Yes</t>
        </is>
      </c>
      <c r="I483" t="inlineStr">
        <is>
          <t>No</t>
        </is>
      </c>
      <c r="J483" t="inlineStr">
        <is>
          <t>0</t>
        </is>
      </c>
      <c r="L483" t="inlineStr">
        <is>
          <t>Hillsdale, N.J. : L. Erlbaum Associates, 1982.</t>
        </is>
      </c>
      <c r="M483" t="inlineStr">
        <is>
          <t>1982</t>
        </is>
      </c>
      <c r="O483" t="inlineStr">
        <is>
          <t>eng</t>
        </is>
      </c>
      <c r="P483" t="inlineStr">
        <is>
          <t>nju</t>
        </is>
      </c>
      <c r="Q483" t="inlineStr">
        <is>
          <t>Handbook of psychology and health ; v. 1</t>
        </is>
      </c>
      <c r="R483" t="inlineStr">
        <is>
          <t xml:space="preserve">RC </t>
        </is>
      </c>
      <c r="S483" t="n">
        <v>1</v>
      </c>
      <c r="T483" t="n">
        <v>1</v>
      </c>
      <c r="U483" t="inlineStr">
        <is>
          <t>1999-08-20</t>
        </is>
      </c>
      <c r="V483" t="inlineStr">
        <is>
          <t>1999-08-20</t>
        </is>
      </c>
      <c r="W483" t="inlineStr">
        <is>
          <t>1993-03-19</t>
        </is>
      </c>
      <c r="X483" t="inlineStr">
        <is>
          <t>1993-03-19</t>
        </is>
      </c>
      <c r="Y483" t="n">
        <v>347</v>
      </c>
      <c r="Z483" t="n">
        <v>295</v>
      </c>
      <c r="AA483" t="n">
        <v>296</v>
      </c>
      <c r="AB483" t="n">
        <v>3</v>
      </c>
      <c r="AC483" t="n">
        <v>3</v>
      </c>
      <c r="AD483" t="n">
        <v>13</v>
      </c>
      <c r="AE483" t="n">
        <v>13</v>
      </c>
      <c r="AF483" t="n">
        <v>3</v>
      </c>
      <c r="AG483" t="n">
        <v>3</v>
      </c>
      <c r="AH483" t="n">
        <v>4</v>
      </c>
      <c r="AI483" t="n">
        <v>4</v>
      </c>
      <c r="AJ483" t="n">
        <v>9</v>
      </c>
      <c r="AK483" t="n">
        <v>9</v>
      </c>
      <c r="AL483" t="n">
        <v>1</v>
      </c>
      <c r="AM483" t="n">
        <v>1</v>
      </c>
      <c r="AN483" t="n">
        <v>0</v>
      </c>
      <c r="AO483" t="n">
        <v>0</v>
      </c>
      <c r="AP483" t="inlineStr">
        <is>
          <t>No</t>
        </is>
      </c>
      <c r="AQ483" t="inlineStr">
        <is>
          <t>Yes</t>
        </is>
      </c>
      <c r="AR483">
        <f>HYPERLINK("http://catalog.hathitrust.org/Record/009918642","HathiTrust Record")</f>
        <v/>
      </c>
      <c r="AS483">
        <f>HYPERLINK("https://creighton-primo.hosted.exlibrisgroup.com/primo-explore/search?tab=default_tab&amp;search_scope=EVERYTHING&amp;vid=01CRU&amp;lang=en_US&amp;offset=0&amp;query=any,contains,991005213839702656","Catalog Record")</f>
        <v/>
      </c>
      <c r="AT483">
        <f>HYPERLINK("http://www.worldcat.org/oclc/8171554","WorldCat Record")</f>
        <v/>
      </c>
      <c r="AU483" t="inlineStr">
        <is>
          <t>195485722:eng</t>
        </is>
      </c>
      <c r="AV483" t="inlineStr">
        <is>
          <t>8171554</t>
        </is>
      </c>
      <c r="AW483" t="inlineStr">
        <is>
          <t>991005213839702656</t>
        </is>
      </c>
      <c r="AX483" t="inlineStr">
        <is>
          <t>991005213839702656</t>
        </is>
      </c>
      <c r="AY483" t="inlineStr">
        <is>
          <t>2256855120002656</t>
        </is>
      </c>
      <c r="AZ483" t="inlineStr">
        <is>
          <t>BOOK</t>
        </is>
      </c>
      <c r="BB483" t="inlineStr">
        <is>
          <t>9780898591835</t>
        </is>
      </c>
      <c r="BC483" t="inlineStr">
        <is>
          <t>32285001605707</t>
        </is>
      </c>
      <c r="BD483" t="inlineStr">
        <is>
          <t>893701212</t>
        </is>
      </c>
    </row>
    <row r="484">
      <c r="A484" t="inlineStr">
        <is>
          <t>No</t>
        </is>
      </c>
      <c r="B484" t="inlineStr">
        <is>
          <t>RC454 .H353 1982, v.2</t>
        </is>
      </c>
      <c r="C484" t="inlineStr">
        <is>
          <t>0                      RC 0454000H  353         1982                                        v.2</t>
        </is>
      </c>
      <c r="D484" t="inlineStr">
        <is>
          <t>Issues in child health and adolescent health / edited by Andrew Baum, Jerome E. Singer.</t>
        </is>
      </c>
      <c r="E484" t="inlineStr">
        <is>
          <t>V. 2</t>
        </is>
      </c>
      <c r="F484" t="inlineStr">
        <is>
          <t>No</t>
        </is>
      </c>
      <c r="G484" t="inlineStr">
        <is>
          <t>1</t>
        </is>
      </c>
      <c r="H484" t="inlineStr">
        <is>
          <t>Yes</t>
        </is>
      </c>
      <c r="I484" t="inlineStr">
        <is>
          <t>No</t>
        </is>
      </c>
      <c r="J484" t="inlineStr">
        <is>
          <t>0</t>
        </is>
      </c>
      <c r="L484" t="inlineStr">
        <is>
          <t>Hillsdale, N.J. : L. Erlbaum Associates, 1982.</t>
        </is>
      </c>
      <c r="M484" t="inlineStr">
        <is>
          <t>1982</t>
        </is>
      </c>
      <c r="O484" t="inlineStr">
        <is>
          <t>eng</t>
        </is>
      </c>
      <c r="P484" t="inlineStr">
        <is>
          <t>nju</t>
        </is>
      </c>
      <c r="Q484" t="inlineStr">
        <is>
          <t>Handbook of psychology and health ; v. 2</t>
        </is>
      </c>
      <c r="R484" t="inlineStr">
        <is>
          <t xml:space="preserve">RC </t>
        </is>
      </c>
      <c r="S484" t="n">
        <v>1</v>
      </c>
      <c r="T484" t="n">
        <v>1</v>
      </c>
      <c r="U484" t="inlineStr">
        <is>
          <t>1999-08-20</t>
        </is>
      </c>
      <c r="V484" t="inlineStr">
        <is>
          <t>1999-08-20</t>
        </is>
      </c>
      <c r="W484" t="inlineStr">
        <is>
          <t>1993-03-19</t>
        </is>
      </c>
      <c r="X484" t="inlineStr">
        <is>
          <t>1993-03-19</t>
        </is>
      </c>
      <c r="Y484" t="n">
        <v>287</v>
      </c>
      <c r="Z484" t="n">
        <v>235</v>
      </c>
      <c r="AA484" t="n">
        <v>258</v>
      </c>
      <c r="AB484" t="n">
        <v>2</v>
      </c>
      <c r="AC484" t="n">
        <v>2</v>
      </c>
      <c r="AD484" t="n">
        <v>15</v>
      </c>
      <c r="AE484" t="n">
        <v>15</v>
      </c>
      <c r="AF484" t="n">
        <v>6</v>
      </c>
      <c r="AG484" t="n">
        <v>6</v>
      </c>
      <c r="AH484" t="n">
        <v>3</v>
      </c>
      <c r="AI484" t="n">
        <v>3</v>
      </c>
      <c r="AJ484" t="n">
        <v>10</v>
      </c>
      <c r="AK484" t="n">
        <v>10</v>
      </c>
      <c r="AL484" t="n">
        <v>0</v>
      </c>
      <c r="AM484" t="n">
        <v>0</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HYPERLINK("https://creighton-primo.hosted.exlibrisgroup.com/primo-explore/search?tab=default_tab&amp;search_scope=EVERYTHING&amp;vid=01CRU&amp;lang=en_US&amp;offset=0&amp;query=any,contains,991000028839702656","Catalog Record")</f>
        <v/>
      </c>
      <c r="AT484">
        <f>HYPERLINK("http://www.worldcat.org/oclc/8590594","WorldCat Record")</f>
        <v/>
      </c>
      <c r="AU484" t="inlineStr">
        <is>
          <t>355933287:eng</t>
        </is>
      </c>
      <c r="AV484" t="inlineStr">
        <is>
          <t>8590594</t>
        </is>
      </c>
      <c r="AW484" t="inlineStr">
        <is>
          <t>991000028839702656</t>
        </is>
      </c>
      <c r="AX484" t="inlineStr">
        <is>
          <t>991000028839702656</t>
        </is>
      </c>
      <c r="AY484" t="inlineStr">
        <is>
          <t>2272138870002656</t>
        </is>
      </c>
      <c r="AZ484" t="inlineStr">
        <is>
          <t>BOOK</t>
        </is>
      </c>
      <c r="BB484" t="inlineStr">
        <is>
          <t>9780898591842</t>
        </is>
      </c>
      <c r="BC484" t="inlineStr">
        <is>
          <t>32285001605715</t>
        </is>
      </c>
      <c r="BD484" t="inlineStr">
        <is>
          <t>893589039</t>
        </is>
      </c>
    </row>
    <row r="485">
      <c r="A485" t="inlineStr">
        <is>
          <t>No</t>
        </is>
      </c>
      <c r="B485" t="inlineStr">
        <is>
          <t>RC454 .H353 1982, v.3</t>
        </is>
      </c>
      <c r="C485" t="inlineStr">
        <is>
          <t>0                      RC 0454000H  353         1982                                        v.3</t>
        </is>
      </c>
      <c r="D485" t="inlineStr">
        <is>
          <t>Cardiovascular disorders and behavior / edited by David S. Krantz, Andrew Baum, Jerome E. Singer.</t>
        </is>
      </c>
      <c r="E485" t="inlineStr">
        <is>
          <t>V. 3</t>
        </is>
      </c>
      <c r="F485" t="inlineStr">
        <is>
          <t>No</t>
        </is>
      </c>
      <c r="G485" t="inlineStr">
        <is>
          <t>1</t>
        </is>
      </c>
      <c r="H485" t="inlineStr">
        <is>
          <t>Yes</t>
        </is>
      </c>
      <c r="I485" t="inlineStr">
        <is>
          <t>No</t>
        </is>
      </c>
      <c r="J485" t="inlineStr">
        <is>
          <t>0</t>
        </is>
      </c>
      <c r="L485" t="inlineStr">
        <is>
          <t>Hillsdale, N.J. : L. Erlbaum Associates, 1983.</t>
        </is>
      </c>
      <c r="M485" t="inlineStr">
        <is>
          <t>1983</t>
        </is>
      </c>
      <c r="O485" t="inlineStr">
        <is>
          <t>eng</t>
        </is>
      </c>
      <c r="P485" t="inlineStr">
        <is>
          <t>nju</t>
        </is>
      </c>
      <c r="Q485" t="inlineStr">
        <is>
          <t>Handbook of psychology and health ; v. 3</t>
        </is>
      </c>
      <c r="R485" t="inlineStr">
        <is>
          <t xml:space="preserve">RC </t>
        </is>
      </c>
      <c r="S485" t="n">
        <v>1</v>
      </c>
      <c r="T485" t="n">
        <v>1</v>
      </c>
      <c r="U485" t="inlineStr">
        <is>
          <t>1999-08-20</t>
        </is>
      </c>
      <c r="V485" t="inlineStr">
        <is>
          <t>1999-08-20</t>
        </is>
      </c>
      <c r="W485" t="inlineStr">
        <is>
          <t>1993-03-19</t>
        </is>
      </c>
      <c r="X485" t="inlineStr">
        <is>
          <t>1993-03-19</t>
        </is>
      </c>
      <c r="Y485" t="n">
        <v>226</v>
      </c>
      <c r="Z485" t="n">
        <v>179</v>
      </c>
      <c r="AA485" t="n">
        <v>202</v>
      </c>
      <c r="AB485" t="n">
        <v>2</v>
      </c>
      <c r="AC485" t="n">
        <v>2</v>
      </c>
      <c r="AD485" t="n">
        <v>8</v>
      </c>
      <c r="AE485" t="n">
        <v>8</v>
      </c>
      <c r="AF485" t="n">
        <v>2</v>
      </c>
      <c r="AG485" t="n">
        <v>2</v>
      </c>
      <c r="AH485" t="n">
        <v>1</v>
      </c>
      <c r="AI485" t="n">
        <v>1</v>
      </c>
      <c r="AJ485" t="n">
        <v>6</v>
      </c>
      <c r="AK485" t="n">
        <v>6</v>
      </c>
      <c r="AL485" t="n">
        <v>0</v>
      </c>
      <c r="AM485" t="n">
        <v>0</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HYPERLINK("https://creighton-primo.hosted.exlibrisgroup.com/primo-explore/search?tab=default_tab&amp;search_scope=EVERYTHING&amp;vid=01CRU&amp;lang=en_US&amp;offset=0&amp;query=any,contains,991000158789702656","Catalog Record")</f>
        <v/>
      </c>
      <c r="AT485">
        <f>HYPERLINK("http://www.worldcat.org/oclc/9255532","WorldCat Record")</f>
        <v/>
      </c>
      <c r="AU485" t="inlineStr">
        <is>
          <t>355933305:eng</t>
        </is>
      </c>
      <c r="AV485" t="inlineStr">
        <is>
          <t>9255532</t>
        </is>
      </c>
      <c r="AW485" t="inlineStr">
        <is>
          <t>991000158789702656</t>
        </is>
      </c>
      <c r="AX485" t="inlineStr">
        <is>
          <t>991000158789702656</t>
        </is>
      </c>
      <c r="AY485" t="inlineStr">
        <is>
          <t>2256437200002656</t>
        </is>
      </c>
      <c r="AZ485" t="inlineStr">
        <is>
          <t>BOOK</t>
        </is>
      </c>
      <c r="BB485" t="inlineStr">
        <is>
          <t>9780898591859</t>
        </is>
      </c>
      <c r="BC485" t="inlineStr">
        <is>
          <t>32285001605723</t>
        </is>
      </c>
      <c r="BD485" t="inlineStr">
        <is>
          <t>893444230</t>
        </is>
      </c>
    </row>
    <row r="486">
      <c r="A486" t="inlineStr">
        <is>
          <t>No</t>
        </is>
      </c>
      <c r="B486" t="inlineStr">
        <is>
          <t>RC454 .H353 1982, v.4</t>
        </is>
      </c>
      <c r="C486" t="inlineStr">
        <is>
          <t>0                      RC 0454000H  353         1982                                        v.4</t>
        </is>
      </c>
      <c r="D486" t="inlineStr">
        <is>
          <t>Social psychological aspects of health / edited by Andrew Baum, Shelley E. Taylor, Jerome E. Singer.</t>
        </is>
      </c>
      <c r="E486" t="inlineStr">
        <is>
          <t>V. 4</t>
        </is>
      </c>
      <c r="F486" t="inlineStr">
        <is>
          <t>No</t>
        </is>
      </c>
      <c r="G486" t="inlineStr">
        <is>
          <t>1</t>
        </is>
      </c>
      <c r="H486" t="inlineStr">
        <is>
          <t>Yes</t>
        </is>
      </c>
      <c r="I486" t="inlineStr">
        <is>
          <t>No</t>
        </is>
      </c>
      <c r="J486" t="inlineStr">
        <is>
          <t>0</t>
        </is>
      </c>
      <c r="L486" t="inlineStr">
        <is>
          <t>Hillsdale, N.J. : L. Erlbaum Associates, 1984.</t>
        </is>
      </c>
      <c r="M486" t="inlineStr">
        <is>
          <t>1984</t>
        </is>
      </c>
      <c r="O486" t="inlineStr">
        <is>
          <t>eng</t>
        </is>
      </c>
      <c r="P486" t="inlineStr">
        <is>
          <t>nju</t>
        </is>
      </c>
      <c r="Q486" t="inlineStr">
        <is>
          <t>Handbook of psychology and health ; v. 4</t>
        </is>
      </c>
      <c r="R486" t="inlineStr">
        <is>
          <t xml:space="preserve">RC </t>
        </is>
      </c>
      <c r="S486" t="n">
        <v>5</v>
      </c>
      <c r="T486" t="n">
        <v>8</v>
      </c>
      <c r="U486" t="inlineStr">
        <is>
          <t>1999-08-20</t>
        </is>
      </c>
      <c r="V486" t="inlineStr">
        <is>
          <t>1999-08-20</t>
        </is>
      </c>
      <c r="W486" t="inlineStr">
        <is>
          <t>1991-11-13</t>
        </is>
      </c>
      <c r="X486" t="inlineStr">
        <is>
          <t>1991-11-13</t>
        </is>
      </c>
      <c r="Y486" t="n">
        <v>237</v>
      </c>
      <c r="Z486" t="n">
        <v>193</v>
      </c>
      <c r="AA486" t="n">
        <v>198</v>
      </c>
      <c r="AB486" t="n">
        <v>2</v>
      </c>
      <c r="AC486" t="n">
        <v>2</v>
      </c>
      <c r="AD486" t="n">
        <v>5</v>
      </c>
      <c r="AE486" t="n">
        <v>5</v>
      </c>
      <c r="AF486" t="n">
        <v>0</v>
      </c>
      <c r="AG486" t="n">
        <v>0</v>
      </c>
      <c r="AH486" t="n">
        <v>2</v>
      </c>
      <c r="AI486" t="n">
        <v>2</v>
      </c>
      <c r="AJ486" t="n">
        <v>4</v>
      </c>
      <c r="AK486" t="n">
        <v>4</v>
      </c>
      <c r="AL486" t="n">
        <v>0</v>
      </c>
      <c r="AM486" t="n">
        <v>0</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HYPERLINK("https://creighton-primo.hosted.exlibrisgroup.com/primo-explore/search?tab=default_tab&amp;search_scope=EVERYTHING&amp;vid=01CRU&amp;lang=en_US&amp;offset=0&amp;query=any,contains,991001785429702656","Catalog Record")</f>
        <v/>
      </c>
      <c r="AT486">
        <f>HYPERLINK("http://www.worldcat.org/oclc/10559081","WorldCat Record")</f>
        <v/>
      </c>
      <c r="AU486" t="inlineStr">
        <is>
          <t>355933281:eng</t>
        </is>
      </c>
      <c r="AV486" t="inlineStr">
        <is>
          <t>10559081</t>
        </is>
      </c>
      <c r="AW486" t="inlineStr">
        <is>
          <t>991001785429702656</t>
        </is>
      </c>
      <c r="AX486" t="inlineStr">
        <is>
          <t>991001785429702656</t>
        </is>
      </c>
      <c r="AY486" t="inlineStr">
        <is>
          <t>2272049720002656</t>
        </is>
      </c>
      <c r="AZ486" t="inlineStr">
        <is>
          <t>BOOK</t>
        </is>
      </c>
      <c r="BB486" t="inlineStr">
        <is>
          <t>9780898591866</t>
        </is>
      </c>
      <c r="BC486" t="inlineStr">
        <is>
          <t>32285000823590</t>
        </is>
      </c>
      <c r="BD486" t="inlineStr">
        <is>
          <t>893250506</t>
        </is>
      </c>
    </row>
    <row r="487">
      <c r="A487" t="inlineStr">
        <is>
          <t>No</t>
        </is>
      </c>
      <c r="B487" t="inlineStr">
        <is>
          <t>RC454 .H536 2005</t>
        </is>
      </c>
      <c r="C487" t="inlineStr">
        <is>
          <t>0                      RC 0454000H  536         2005</t>
        </is>
      </c>
      <c r="D487" t="inlineStr">
        <is>
          <t>Fifty signs of mental illness : a guide to understanding mental health / James Whitney Hicks.</t>
        </is>
      </c>
      <c r="F487" t="inlineStr">
        <is>
          <t>No</t>
        </is>
      </c>
      <c r="G487" t="inlineStr">
        <is>
          <t>1</t>
        </is>
      </c>
      <c r="H487" t="inlineStr">
        <is>
          <t>No</t>
        </is>
      </c>
      <c r="I487" t="inlineStr">
        <is>
          <t>No</t>
        </is>
      </c>
      <c r="J487" t="inlineStr">
        <is>
          <t>0</t>
        </is>
      </c>
      <c r="K487" t="inlineStr">
        <is>
          <t>Hicks, James Whitney.</t>
        </is>
      </c>
      <c r="L487" t="inlineStr">
        <is>
          <t>New Haven : Yale University Press, c2005.</t>
        </is>
      </c>
      <c r="M487" t="inlineStr">
        <is>
          <t>2005</t>
        </is>
      </c>
      <c r="O487" t="inlineStr">
        <is>
          <t>eng</t>
        </is>
      </c>
      <c r="P487" t="inlineStr">
        <is>
          <t>ctu</t>
        </is>
      </c>
      <c r="Q487" t="inlineStr">
        <is>
          <t>Yale University Press health &amp; wellness</t>
        </is>
      </c>
      <c r="R487" t="inlineStr">
        <is>
          <t xml:space="preserve">RC </t>
        </is>
      </c>
      <c r="S487" t="n">
        <v>6</v>
      </c>
      <c r="T487" t="n">
        <v>6</v>
      </c>
      <c r="U487" t="inlineStr">
        <is>
          <t>2007-09-11</t>
        </is>
      </c>
      <c r="V487" t="inlineStr">
        <is>
          <t>2007-09-11</t>
        </is>
      </c>
      <c r="W487" t="inlineStr">
        <is>
          <t>2005-07-25</t>
        </is>
      </c>
      <c r="X487" t="inlineStr">
        <is>
          <t>2005-07-25</t>
        </is>
      </c>
      <c r="Y487" t="n">
        <v>1241</v>
      </c>
      <c r="Z487" t="n">
        <v>1135</v>
      </c>
      <c r="AA487" t="n">
        <v>1137</v>
      </c>
      <c r="AB487" t="n">
        <v>13</v>
      </c>
      <c r="AC487" t="n">
        <v>13</v>
      </c>
      <c r="AD487" t="n">
        <v>17</v>
      </c>
      <c r="AE487" t="n">
        <v>17</v>
      </c>
      <c r="AF487" t="n">
        <v>9</v>
      </c>
      <c r="AG487" t="n">
        <v>9</v>
      </c>
      <c r="AH487" t="n">
        <v>1</v>
      </c>
      <c r="AI487" t="n">
        <v>1</v>
      </c>
      <c r="AJ487" t="n">
        <v>6</v>
      </c>
      <c r="AK487" t="n">
        <v>6</v>
      </c>
      <c r="AL487" t="n">
        <v>4</v>
      </c>
      <c r="AM487" t="n">
        <v>4</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HYPERLINK("https://creighton-primo.hosted.exlibrisgroup.com/primo-explore/search?tab=default_tab&amp;search_scope=EVERYTHING&amp;vid=01CRU&amp;lang=en_US&amp;offset=0&amp;query=any,contains,991004585839702656","Catalog Record")</f>
        <v/>
      </c>
      <c r="AT487">
        <f>HYPERLINK("http://www.worldcat.org/oclc/56535198","WorldCat Record")</f>
        <v/>
      </c>
      <c r="AU487" t="inlineStr">
        <is>
          <t>796438932:eng</t>
        </is>
      </c>
      <c r="AV487" t="inlineStr">
        <is>
          <t>56535198</t>
        </is>
      </c>
      <c r="AW487" t="inlineStr">
        <is>
          <t>991004585839702656</t>
        </is>
      </c>
      <c r="AX487" t="inlineStr">
        <is>
          <t>991004585839702656</t>
        </is>
      </c>
      <c r="AY487" t="inlineStr">
        <is>
          <t>2264210210002656</t>
        </is>
      </c>
      <c r="AZ487" t="inlineStr">
        <is>
          <t>BOOK</t>
        </is>
      </c>
      <c r="BB487" t="inlineStr">
        <is>
          <t>9780300106572</t>
        </is>
      </c>
      <c r="BC487" t="inlineStr">
        <is>
          <t>32285005097679</t>
        </is>
      </c>
      <c r="BD487" t="inlineStr">
        <is>
          <t>893229522</t>
        </is>
      </c>
    </row>
    <row r="488">
      <c r="A488" t="inlineStr">
        <is>
          <t>No</t>
        </is>
      </c>
      <c r="B488" t="inlineStr">
        <is>
          <t>RC454 .H675 2004</t>
        </is>
      </c>
      <c r="C488" t="inlineStr">
        <is>
          <t>0                      RC 0454000H  675         2004</t>
        </is>
      </c>
      <c r="D488" t="inlineStr">
        <is>
          <t>Interpersonal foundations of psychopathology / Leonard M. Horowitz.</t>
        </is>
      </c>
      <c r="F488" t="inlineStr">
        <is>
          <t>No</t>
        </is>
      </c>
      <c r="G488" t="inlineStr">
        <is>
          <t>1</t>
        </is>
      </c>
      <c r="H488" t="inlineStr">
        <is>
          <t>No</t>
        </is>
      </c>
      <c r="I488" t="inlineStr">
        <is>
          <t>No</t>
        </is>
      </c>
      <c r="J488" t="inlineStr">
        <is>
          <t>0</t>
        </is>
      </c>
      <c r="K488" t="inlineStr">
        <is>
          <t>Horowitz, Leonard M.</t>
        </is>
      </c>
      <c r="L488" t="inlineStr">
        <is>
          <t>Washington, DC : American Psychological Association, 2004.</t>
        </is>
      </c>
      <c r="M488" t="inlineStr">
        <is>
          <t>2004</t>
        </is>
      </c>
      <c r="N488" t="inlineStr">
        <is>
          <t>1st ed.</t>
        </is>
      </c>
      <c r="O488" t="inlineStr">
        <is>
          <t>eng</t>
        </is>
      </c>
      <c r="P488" t="inlineStr">
        <is>
          <t>dcu</t>
        </is>
      </c>
      <c r="R488" t="inlineStr">
        <is>
          <t xml:space="preserve">RC </t>
        </is>
      </c>
      <c r="S488" t="n">
        <v>10</v>
      </c>
      <c r="T488" t="n">
        <v>10</v>
      </c>
      <c r="U488" t="inlineStr">
        <is>
          <t>2010-11-04</t>
        </is>
      </c>
      <c r="V488" t="inlineStr">
        <is>
          <t>2010-11-04</t>
        </is>
      </c>
      <c r="W488" t="inlineStr">
        <is>
          <t>2005-07-05</t>
        </is>
      </c>
      <c r="X488" t="inlineStr">
        <is>
          <t>2005-07-05</t>
        </is>
      </c>
      <c r="Y488" t="n">
        <v>581</v>
      </c>
      <c r="Z488" t="n">
        <v>507</v>
      </c>
      <c r="AA488" t="n">
        <v>582</v>
      </c>
      <c r="AB488" t="n">
        <v>4</v>
      </c>
      <c r="AC488" t="n">
        <v>5</v>
      </c>
      <c r="AD488" t="n">
        <v>24</v>
      </c>
      <c r="AE488" t="n">
        <v>30</v>
      </c>
      <c r="AF488" t="n">
        <v>11</v>
      </c>
      <c r="AG488" t="n">
        <v>13</v>
      </c>
      <c r="AH488" t="n">
        <v>5</v>
      </c>
      <c r="AI488" t="n">
        <v>5</v>
      </c>
      <c r="AJ488" t="n">
        <v>12</v>
      </c>
      <c r="AK488" t="n">
        <v>15</v>
      </c>
      <c r="AL488" t="n">
        <v>3</v>
      </c>
      <c r="AM488" t="n">
        <v>4</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HYPERLINK("https://creighton-primo.hosted.exlibrisgroup.com/primo-explore/search?tab=default_tab&amp;search_scope=EVERYTHING&amp;vid=01CRU&amp;lang=en_US&amp;offset=0&amp;query=any,contains,991004545419702656","Catalog Record")</f>
        <v/>
      </c>
      <c r="AT488">
        <f>HYPERLINK("http://www.worldcat.org/oclc/53231750","WorldCat Record")</f>
        <v/>
      </c>
      <c r="AU488" t="inlineStr">
        <is>
          <t>808619:eng</t>
        </is>
      </c>
      <c r="AV488" t="inlineStr">
        <is>
          <t>53231750</t>
        </is>
      </c>
      <c r="AW488" t="inlineStr">
        <is>
          <t>991004545419702656</t>
        </is>
      </c>
      <c r="AX488" t="inlineStr">
        <is>
          <t>991004545419702656</t>
        </is>
      </c>
      <c r="AY488" t="inlineStr">
        <is>
          <t>2263922570002656</t>
        </is>
      </c>
      <c r="AZ488" t="inlineStr">
        <is>
          <t>BOOK</t>
        </is>
      </c>
      <c r="BB488" t="inlineStr">
        <is>
          <t>9781591470816</t>
        </is>
      </c>
      <c r="BC488" t="inlineStr">
        <is>
          <t>32285005094569</t>
        </is>
      </c>
      <c r="BD488" t="inlineStr">
        <is>
          <t>893350143</t>
        </is>
      </c>
    </row>
    <row r="489">
      <c r="A489" t="inlineStr">
        <is>
          <t>No</t>
        </is>
      </c>
      <c r="B489" t="inlineStr">
        <is>
          <t>RC454 .L375 2001</t>
        </is>
      </c>
      <c r="C489" t="inlineStr">
        <is>
          <t>0                      RC 0454000L  375         2001</t>
        </is>
      </c>
      <c r="D489" t="inlineStr">
        <is>
          <t>The unbalanced mind / Julian Leff.</t>
        </is>
      </c>
      <c r="F489" t="inlineStr">
        <is>
          <t>No</t>
        </is>
      </c>
      <c r="G489" t="inlineStr">
        <is>
          <t>1</t>
        </is>
      </c>
      <c r="H489" t="inlineStr">
        <is>
          <t>No</t>
        </is>
      </c>
      <c r="I489" t="inlineStr">
        <is>
          <t>No</t>
        </is>
      </c>
      <c r="J489" t="inlineStr">
        <is>
          <t>0</t>
        </is>
      </c>
      <c r="K489" t="inlineStr">
        <is>
          <t>Leff, Julian P.</t>
        </is>
      </c>
      <c r="L489" t="inlineStr">
        <is>
          <t>New York : Columbia University Press, c2001.</t>
        </is>
      </c>
      <c r="M489" t="inlineStr">
        <is>
          <t>2001</t>
        </is>
      </c>
      <c r="O489" t="inlineStr">
        <is>
          <t>eng</t>
        </is>
      </c>
      <c r="P489" t="inlineStr">
        <is>
          <t>nyu</t>
        </is>
      </c>
      <c r="Q489" t="inlineStr">
        <is>
          <t>Maps of the mind</t>
        </is>
      </c>
      <c r="R489" t="inlineStr">
        <is>
          <t xml:space="preserve">RC </t>
        </is>
      </c>
      <c r="S489" t="n">
        <v>3</v>
      </c>
      <c r="T489" t="n">
        <v>3</v>
      </c>
      <c r="U489" t="inlineStr">
        <is>
          <t>2006-03-02</t>
        </is>
      </c>
      <c r="V489" t="inlineStr">
        <is>
          <t>2006-03-02</t>
        </is>
      </c>
      <c r="W489" t="inlineStr">
        <is>
          <t>2002-08-14</t>
        </is>
      </c>
      <c r="X489" t="inlineStr">
        <is>
          <t>2002-08-14</t>
        </is>
      </c>
      <c r="Y489" t="n">
        <v>783</v>
      </c>
      <c r="Z489" t="n">
        <v>731</v>
      </c>
      <c r="AA489" t="n">
        <v>731</v>
      </c>
      <c r="AB489" t="n">
        <v>4</v>
      </c>
      <c r="AC489" t="n">
        <v>4</v>
      </c>
      <c r="AD489" t="n">
        <v>24</v>
      </c>
      <c r="AE489" t="n">
        <v>24</v>
      </c>
      <c r="AF489" t="n">
        <v>13</v>
      </c>
      <c r="AG489" t="n">
        <v>13</v>
      </c>
      <c r="AH489" t="n">
        <v>5</v>
      </c>
      <c r="AI489" t="n">
        <v>5</v>
      </c>
      <c r="AJ489" t="n">
        <v>10</v>
      </c>
      <c r="AK489" t="n">
        <v>10</v>
      </c>
      <c r="AL489" t="n">
        <v>2</v>
      </c>
      <c r="AM489" t="n">
        <v>2</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HYPERLINK("https://creighton-primo.hosted.exlibrisgroup.com/primo-explore/search?tab=default_tab&amp;search_scope=EVERYTHING&amp;vid=01CRU&amp;lang=en_US&amp;offset=0&amp;query=any,contains,991003848869702656","Catalog Record")</f>
        <v/>
      </c>
      <c r="AT489">
        <f>HYPERLINK("http://www.worldcat.org/oclc/48109531","WorldCat Record")</f>
        <v/>
      </c>
      <c r="AU489" t="inlineStr">
        <is>
          <t>9415109208:eng</t>
        </is>
      </c>
      <c r="AV489" t="inlineStr">
        <is>
          <t>48109531</t>
        </is>
      </c>
      <c r="AW489" t="inlineStr">
        <is>
          <t>991003848869702656</t>
        </is>
      </c>
      <c r="AX489" t="inlineStr">
        <is>
          <t>991003848869702656</t>
        </is>
      </c>
      <c r="AY489" t="inlineStr">
        <is>
          <t>2272153710002656</t>
        </is>
      </c>
      <c r="AZ489" t="inlineStr">
        <is>
          <t>BOOK</t>
        </is>
      </c>
      <c r="BB489" t="inlineStr">
        <is>
          <t>9780231120265</t>
        </is>
      </c>
      <c r="BC489" t="inlineStr">
        <is>
          <t>32285004643317</t>
        </is>
      </c>
      <c r="BD489" t="inlineStr">
        <is>
          <t>893499786</t>
        </is>
      </c>
    </row>
    <row r="490">
      <c r="A490" t="inlineStr">
        <is>
          <t>No</t>
        </is>
      </c>
      <c r="B490" t="inlineStr">
        <is>
          <t>RC454 .L63</t>
        </is>
      </c>
      <c r="C490" t="inlineStr">
        <is>
          <t>0                      RC 0454000L  63</t>
        </is>
      </c>
      <c r="D490" t="inlineStr">
        <is>
          <t>Foundations of abnormal psychology, edited by Perry London [and] David Rosenhan. Contributors: W. Ross Ashby [and others]</t>
        </is>
      </c>
      <c r="F490" t="inlineStr">
        <is>
          <t>No</t>
        </is>
      </c>
      <c r="G490" t="inlineStr">
        <is>
          <t>1</t>
        </is>
      </c>
      <c r="H490" t="inlineStr">
        <is>
          <t>No</t>
        </is>
      </c>
      <c r="I490" t="inlineStr">
        <is>
          <t>No</t>
        </is>
      </c>
      <c r="J490" t="inlineStr">
        <is>
          <t>0</t>
        </is>
      </c>
      <c r="K490" t="inlineStr">
        <is>
          <t>London, Perry.</t>
        </is>
      </c>
      <c r="L490" t="inlineStr">
        <is>
          <t>New York, Holt, Rinehart and Winston [1968]</t>
        </is>
      </c>
      <c r="M490" t="inlineStr">
        <is>
          <t>1968</t>
        </is>
      </c>
      <c r="O490" t="inlineStr">
        <is>
          <t>eng</t>
        </is>
      </c>
      <c r="P490" t="inlineStr">
        <is>
          <t>nyu</t>
        </is>
      </c>
      <c r="R490" t="inlineStr">
        <is>
          <t xml:space="preserve">RC </t>
        </is>
      </c>
      <c r="S490" t="n">
        <v>3</v>
      </c>
      <c r="T490" t="n">
        <v>3</v>
      </c>
      <c r="U490" t="inlineStr">
        <is>
          <t>2006-03-02</t>
        </is>
      </c>
      <c r="V490" t="inlineStr">
        <is>
          <t>2006-03-02</t>
        </is>
      </c>
      <c r="W490" t="inlineStr">
        <is>
          <t>1997-08-11</t>
        </is>
      </c>
      <c r="X490" t="inlineStr">
        <is>
          <t>1997-08-11</t>
        </is>
      </c>
      <c r="Y490" t="n">
        <v>454</v>
      </c>
      <c r="Z490" t="n">
        <v>334</v>
      </c>
      <c r="AA490" t="n">
        <v>343</v>
      </c>
      <c r="AB490" t="n">
        <v>4</v>
      </c>
      <c r="AC490" t="n">
        <v>4</v>
      </c>
      <c r="AD490" t="n">
        <v>9</v>
      </c>
      <c r="AE490" t="n">
        <v>9</v>
      </c>
      <c r="AF490" t="n">
        <v>1</v>
      </c>
      <c r="AG490" t="n">
        <v>1</v>
      </c>
      <c r="AH490" t="n">
        <v>1</v>
      </c>
      <c r="AI490" t="n">
        <v>1</v>
      </c>
      <c r="AJ490" t="n">
        <v>5</v>
      </c>
      <c r="AK490" t="n">
        <v>5</v>
      </c>
      <c r="AL490" t="n">
        <v>3</v>
      </c>
      <c r="AM490" t="n">
        <v>3</v>
      </c>
      <c r="AN490" t="n">
        <v>0</v>
      </c>
      <c r="AO490" t="n">
        <v>0</v>
      </c>
      <c r="AP490" t="inlineStr">
        <is>
          <t>No</t>
        </is>
      </c>
      <c r="AQ490" t="inlineStr">
        <is>
          <t>Yes</t>
        </is>
      </c>
      <c r="AR490">
        <f>HYPERLINK("http://catalog.hathitrust.org/Record/001563938","HathiTrust Record")</f>
        <v/>
      </c>
      <c r="AS490">
        <f>HYPERLINK("https://creighton-primo.hosted.exlibrisgroup.com/primo-explore/search?tab=default_tab&amp;search_scope=EVERYTHING&amp;vid=01CRU&amp;lang=en_US&amp;offset=0&amp;query=any,contains,991002770079702656","Catalog Record")</f>
        <v/>
      </c>
      <c r="AT490">
        <f>HYPERLINK("http://www.worldcat.org/oclc/436627","WorldCat Record")</f>
        <v/>
      </c>
      <c r="AU490" t="inlineStr">
        <is>
          <t>3856651267:eng</t>
        </is>
      </c>
      <c r="AV490" t="inlineStr">
        <is>
          <t>436627</t>
        </is>
      </c>
      <c r="AW490" t="inlineStr">
        <is>
          <t>991002770079702656</t>
        </is>
      </c>
      <c r="AX490" t="inlineStr">
        <is>
          <t>991002770079702656</t>
        </is>
      </c>
      <c r="AY490" t="inlineStr">
        <is>
          <t>2268862000002656</t>
        </is>
      </c>
      <c r="AZ490" t="inlineStr">
        <is>
          <t>BOOK</t>
        </is>
      </c>
      <c r="BC490" t="inlineStr">
        <is>
          <t>32285003090528</t>
        </is>
      </c>
      <c r="BD490" t="inlineStr">
        <is>
          <t>893239465</t>
        </is>
      </c>
    </row>
    <row r="491">
      <c r="A491" t="inlineStr">
        <is>
          <t>No</t>
        </is>
      </c>
      <c r="B491" t="inlineStr">
        <is>
          <t>RC454 .M18</t>
        </is>
      </c>
      <c r="C491" t="inlineStr">
        <is>
          <t>0                      RC 0454000M  18</t>
        </is>
      </c>
      <c r="D491" t="inlineStr">
        <is>
          <t>The varieties of abnormality : a phenomenological analysis / by Raymond J. McCall.</t>
        </is>
      </c>
      <c r="F491" t="inlineStr">
        <is>
          <t>No</t>
        </is>
      </c>
      <c r="G491" t="inlineStr">
        <is>
          <t>1</t>
        </is>
      </c>
      <c r="H491" t="inlineStr">
        <is>
          <t>No</t>
        </is>
      </c>
      <c r="I491" t="inlineStr">
        <is>
          <t>No</t>
        </is>
      </c>
      <c r="J491" t="inlineStr">
        <is>
          <t>0</t>
        </is>
      </c>
      <c r="K491" t="inlineStr">
        <is>
          <t>McCall, Raymond J. (Raymond Joseph), 1913-1990.</t>
        </is>
      </c>
      <c r="L491" t="inlineStr">
        <is>
          <t>Springfield, Ill. : Thomas, [1975]</t>
        </is>
      </c>
      <c r="M491" t="inlineStr">
        <is>
          <t>1975</t>
        </is>
      </c>
      <c r="O491" t="inlineStr">
        <is>
          <t>eng</t>
        </is>
      </c>
      <c r="P491" t="inlineStr">
        <is>
          <t>ilu</t>
        </is>
      </c>
      <c r="R491" t="inlineStr">
        <is>
          <t xml:space="preserve">RC </t>
        </is>
      </c>
      <c r="S491" t="n">
        <v>2</v>
      </c>
      <c r="T491" t="n">
        <v>2</v>
      </c>
      <c r="U491" t="inlineStr">
        <is>
          <t>1999-01-25</t>
        </is>
      </c>
      <c r="V491" t="inlineStr">
        <is>
          <t>1999-01-25</t>
        </is>
      </c>
      <c r="W491" t="inlineStr">
        <is>
          <t>1992-03-13</t>
        </is>
      </c>
      <c r="X491" t="inlineStr">
        <is>
          <t>1992-03-13</t>
        </is>
      </c>
      <c r="Y491" t="n">
        <v>234</v>
      </c>
      <c r="Z491" t="n">
        <v>196</v>
      </c>
      <c r="AA491" t="n">
        <v>203</v>
      </c>
      <c r="AB491" t="n">
        <v>2</v>
      </c>
      <c r="AC491" t="n">
        <v>2</v>
      </c>
      <c r="AD491" t="n">
        <v>9</v>
      </c>
      <c r="AE491" t="n">
        <v>9</v>
      </c>
      <c r="AF491" t="n">
        <v>0</v>
      </c>
      <c r="AG491" t="n">
        <v>0</v>
      </c>
      <c r="AH491" t="n">
        <v>3</v>
      </c>
      <c r="AI491" t="n">
        <v>3</v>
      </c>
      <c r="AJ491" t="n">
        <v>7</v>
      </c>
      <c r="AK491" t="n">
        <v>7</v>
      </c>
      <c r="AL491" t="n">
        <v>1</v>
      </c>
      <c r="AM491" t="n">
        <v>1</v>
      </c>
      <c r="AN491" t="n">
        <v>1</v>
      </c>
      <c r="AO491" t="n">
        <v>1</v>
      </c>
      <c r="AP491" t="inlineStr">
        <is>
          <t>No</t>
        </is>
      </c>
      <c r="AQ491" t="inlineStr">
        <is>
          <t>Yes</t>
        </is>
      </c>
      <c r="AR491">
        <f>HYPERLINK("http://catalog.hathitrust.org/Record/000027404","HathiTrust Record")</f>
        <v/>
      </c>
      <c r="AS491">
        <f>HYPERLINK("https://creighton-primo.hosted.exlibrisgroup.com/primo-explore/search?tab=default_tab&amp;search_scope=EVERYTHING&amp;vid=01CRU&amp;lang=en_US&amp;offset=0&amp;query=any,contains,991003523479702656","Catalog Record")</f>
        <v/>
      </c>
      <c r="AT491">
        <f>HYPERLINK("http://www.worldcat.org/oclc/1085687","WorldCat Record")</f>
        <v/>
      </c>
      <c r="AU491" t="inlineStr">
        <is>
          <t>2051999:eng</t>
        </is>
      </c>
      <c r="AV491" t="inlineStr">
        <is>
          <t>1085687</t>
        </is>
      </c>
      <c r="AW491" t="inlineStr">
        <is>
          <t>991003523479702656</t>
        </is>
      </c>
      <c r="AX491" t="inlineStr">
        <is>
          <t>991003523479702656</t>
        </is>
      </c>
      <c r="AY491" t="inlineStr">
        <is>
          <t>2269476640002656</t>
        </is>
      </c>
      <c r="AZ491" t="inlineStr">
        <is>
          <t>BOOK</t>
        </is>
      </c>
      <c r="BB491" t="inlineStr">
        <is>
          <t>9780398032807</t>
        </is>
      </c>
      <c r="BC491" t="inlineStr">
        <is>
          <t>32285001020253</t>
        </is>
      </c>
      <c r="BD491" t="inlineStr">
        <is>
          <t>893623580</t>
        </is>
      </c>
    </row>
    <row r="492">
      <c r="A492" t="inlineStr">
        <is>
          <t>No</t>
        </is>
      </c>
      <c r="B492" t="inlineStr">
        <is>
          <t>RC454 .P67</t>
        </is>
      </c>
      <c r="C492" t="inlineStr">
        <is>
          <t>0                      RC 0454000P  67</t>
        </is>
      </c>
      <c r="D492" t="inlineStr">
        <is>
          <t>Abnormal behavior : perspectives in conflict / [by] Richard H. Price.</t>
        </is>
      </c>
      <c r="F492" t="inlineStr">
        <is>
          <t>No</t>
        </is>
      </c>
      <c r="G492" t="inlineStr">
        <is>
          <t>1</t>
        </is>
      </c>
      <c r="H492" t="inlineStr">
        <is>
          <t>No</t>
        </is>
      </c>
      <c r="I492" t="inlineStr">
        <is>
          <t>No</t>
        </is>
      </c>
      <c r="J492" t="inlineStr">
        <is>
          <t>0</t>
        </is>
      </c>
      <c r="K492" t="inlineStr">
        <is>
          <t>Price, Richard H.</t>
        </is>
      </c>
      <c r="L492" t="inlineStr">
        <is>
          <t>New York : Holt, Rinehart and Winston, [1972]</t>
        </is>
      </c>
      <c r="M492" t="inlineStr">
        <is>
          <t>1972</t>
        </is>
      </c>
      <c r="O492" t="inlineStr">
        <is>
          <t>eng</t>
        </is>
      </c>
      <c r="P492" t="inlineStr">
        <is>
          <t>nyu</t>
        </is>
      </c>
      <c r="R492" t="inlineStr">
        <is>
          <t xml:space="preserve">RC </t>
        </is>
      </c>
      <c r="S492" t="n">
        <v>4</v>
      </c>
      <c r="T492" t="n">
        <v>4</v>
      </c>
      <c r="U492" t="inlineStr">
        <is>
          <t>1996-12-03</t>
        </is>
      </c>
      <c r="V492" t="inlineStr">
        <is>
          <t>1996-12-03</t>
        </is>
      </c>
      <c r="W492" t="inlineStr">
        <is>
          <t>1992-06-26</t>
        </is>
      </c>
      <c r="X492" t="inlineStr">
        <is>
          <t>1992-06-26</t>
        </is>
      </c>
      <c r="Y492" t="n">
        <v>380</v>
      </c>
      <c r="Z492" t="n">
        <v>285</v>
      </c>
      <c r="AA492" t="n">
        <v>379</v>
      </c>
      <c r="AB492" t="n">
        <v>2</v>
      </c>
      <c r="AC492" t="n">
        <v>3</v>
      </c>
      <c r="AD492" t="n">
        <v>10</v>
      </c>
      <c r="AE492" t="n">
        <v>13</v>
      </c>
      <c r="AF492" t="n">
        <v>4</v>
      </c>
      <c r="AG492" t="n">
        <v>4</v>
      </c>
      <c r="AH492" t="n">
        <v>2</v>
      </c>
      <c r="AI492" t="n">
        <v>3</v>
      </c>
      <c r="AJ492" t="n">
        <v>6</v>
      </c>
      <c r="AK492" t="n">
        <v>8</v>
      </c>
      <c r="AL492" t="n">
        <v>1</v>
      </c>
      <c r="AM492" t="n">
        <v>2</v>
      </c>
      <c r="AN492" t="n">
        <v>1</v>
      </c>
      <c r="AO492" t="n">
        <v>1</v>
      </c>
      <c r="AP492" t="inlineStr">
        <is>
          <t>No</t>
        </is>
      </c>
      <c r="AQ492" t="inlineStr">
        <is>
          <t>Yes</t>
        </is>
      </c>
      <c r="AR492">
        <f>HYPERLINK("http://catalog.hathitrust.org/Record/001563966","HathiTrust Record")</f>
        <v/>
      </c>
      <c r="AS492">
        <f>HYPERLINK("https://creighton-primo.hosted.exlibrisgroup.com/primo-explore/search?tab=default_tab&amp;search_scope=EVERYTHING&amp;vid=01CRU&amp;lang=en_US&amp;offset=0&amp;query=any,contains,991002384839702656","Catalog Record")</f>
        <v/>
      </c>
      <c r="AT492">
        <f>HYPERLINK("http://www.worldcat.org/oclc/329569","WorldCat Record")</f>
        <v/>
      </c>
      <c r="AU492" t="inlineStr">
        <is>
          <t>1089549934:eng</t>
        </is>
      </c>
      <c r="AV492" t="inlineStr">
        <is>
          <t>329569</t>
        </is>
      </c>
      <c r="AW492" t="inlineStr">
        <is>
          <t>991002384839702656</t>
        </is>
      </c>
      <c r="AX492" t="inlineStr">
        <is>
          <t>991002384839702656</t>
        </is>
      </c>
      <c r="AY492" t="inlineStr">
        <is>
          <t>2267466130002656</t>
        </is>
      </c>
      <c r="AZ492" t="inlineStr">
        <is>
          <t>BOOK</t>
        </is>
      </c>
      <c r="BB492" t="inlineStr">
        <is>
          <t>9780030849701</t>
        </is>
      </c>
      <c r="BC492" t="inlineStr">
        <is>
          <t>32285001145571</t>
        </is>
      </c>
      <c r="BD492" t="inlineStr">
        <is>
          <t>893597392</t>
        </is>
      </c>
    </row>
    <row r="493">
      <c r="A493" t="inlineStr">
        <is>
          <t>No</t>
        </is>
      </c>
      <c r="B493" t="inlineStr">
        <is>
          <t>RC454 .P787 1993</t>
        </is>
      </c>
      <c r="C493" t="inlineStr">
        <is>
          <t>0                      RC 0454000P  787         1993</t>
        </is>
      </c>
      <c r="D493" t="inlineStr">
        <is>
          <t>Psychopathology in adulthood / edited by Alan S. Bellack, Michel Hersen.</t>
        </is>
      </c>
      <c r="F493" t="inlineStr">
        <is>
          <t>No</t>
        </is>
      </c>
      <c r="G493" t="inlineStr">
        <is>
          <t>1</t>
        </is>
      </c>
      <c r="H493" t="inlineStr">
        <is>
          <t>No</t>
        </is>
      </c>
      <c r="I493" t="inlineStr">
        <is>
          <t>No</t>
        </is>
      </c>
      <c r="J493" t="inlineStr">
        <is>
          <t>0</t>
        </is>
      </c>
      <c r="L493" t="inlineStr">
        <is>
          <t>Boston : Allyn and Bacon, c1993.</t>
        </is>
      </c>
      <c r="M493" t="inlineStr">
        <is>
          <t>1993</t>
        </is>
      </c>
      <c r="O493" t="inlineStr">
        <is>
          <t>eng</t>
        </is>
      </c>
      <c r="P493" t="inlineStr">
        <is>
          <t>vtu</t>
        </is>
      </c>
      <c r="R493" t="inlineStr">
        <is>
          <t xml:space="preserve">RC </t>
        </is>
      </c>
      <c r="S493" t="n">
        <v>6</v>
      </c>
      <c r="T493" t="n">
        <v>6</v>
      </c>
      <c r="U493" t="inlineStr">
        <is>
          <t>2002-04-28</t>
        </is>
      </c>
      <c r="V493" t="inlineStr">
        <is>
          <t>2002-04-28</t>
        </is>
      </c>
      <c r="W493" t="inlineStr">
        <is>
          <t>1994-07-25</t>
        </is>
      </c>
      <c r="X493" t="inlineStr">
        <is>
          <t>1994-07-25</t>
        </is>
      </c>
      <c r="Y493" t="n">
        <v>162</v>
      </c>
      <c r="Z493" t="n">
        <v>132</v>
      </c>
      <c r="AA493" t="n">
        <v>220</v>
      </c>
      <c r="AB493" t="n">
        <v>3</v>
      </c>
      <c r="AC493" t="n">
        <v>4</v>
      </c>
      <c r="AD493" t="n">
        <v>5</v>
      </c>
      <c r="AE493" t="n">
        <v>10</v>
      </c>
      <c r="AF493" t="n">
        <v>0</v>
      </c>
      <c r="AG493" t="n">
        <v>3</v>
      </c>
      <c r="AH493" t="n">
        <v>1</v>
      </c>
      <c r="AI493" t="n">
        <v>2</v>
      </c>
      <c r="AJ493" t="n">
        <v>3</v>
      </c>
      <c r="AK493" t="n">
        <v>6</v>
      </c>
      <c r="AL493" t="n">
        <v>2</v>
      </c>
      <c r="AM493" t="n">
        <v>3</v>
      </c>
      <c r="AN493" t="n">
        <v>0</v>
      </c>
      <c r="AO493" t="n">
        <v>0</v>
      </c>
      <c r="AP493" t="inlineStr">
        <is>
          <t>No</t>
        </is>
      </c>
      <c r="AQ493" t="inlineStr">
        <is>
          <t>No</t>
        </is>
      </c>
      <c r="AS493">
        <f>HYPERLINK("https://creighton-primo.hosted.exlibrisgroup.com/primo-explore/search?tab=default_tab&amp;search_scope=EVERYTHING&amp;vid=01CRU&amp;lang=en_US&amp;offset=0&amp;query=any,contains,991002135969702656","Catalog Record")</f>
        <v/>
      </c>
      <c r="AT493">
        <f>HYPERLINK("http://www.worldcat.org/oclc/27385762","WorldCat Record")</f>
        <v/>
      </c>
      <c r="AU493" t="inlineStr">
        <is>
          <t>364522809:eng</t>
        </is>
      </c>
      <c r="AV493" t="inlineStr">
        <is>
          <t>27385762</t>
        </is>
      </c>
      <c r="AW493" t="inlineStr">
        <is>
          <t>991002135969702656</t>
        </is>
      </c>
      <c r="AX493" t="inlineStr">
        <is>
          <t>991002135969702656</t>
        </is>
      </c>
      <c r="AY493" t="inlineStr">
        <is>
          <t>2260291240002656</t>
        </is>
      </c>
      <c r="AZ493" t="inlineStr">
        <is>
          <t>BOOK</t>
        </is>
      </c>
      <c r="BB493" t="inlineStr">
        <is>
          <t>9780205145843</t>
        </is>
      </c>
      <c r="BC493" t="inlineStr">
        <is>
          <t>32285001932895</t>
        </is>
      </c>
      <c r="BD493" t="inlineStr">
        <is>
          <t>893892195</t>
        </is>
      </c>
    </row>
    <row r="494">
      <c r="A494" t="inlineStr">
        <is>
          <t>No</t>
        </is>
      </c>
      <c r="B494" t="inlineStr">
        <is>
          <t>RC454 .R38</t>
        </is>
      </c>
      <c r="C494" t="inlineStr">
        <is>
          <t>0                      RC 0454000R  38</t>
        </is>
      </c>
      <c r="D494" t="inlineStr">
        <is>
          <t>Readings in abnormal psychology : contemporary perspectives / edited by Lawrence R. Allman and Dennis T. Jaffe.</t>
        </is>
      </c>
      <c r="F494" t="inlineStr">
        <is>
          <t>No</t>
        </is>
      </c>
      <c r="G494" t="inlineStr">
        <is>
          <t>1</t>
        </is>
      </c>
      <c r="H494" t="inlineStr">
        <is>
          <t>No</t>
        </is>
      </c>
      <c r="I494" t="inlineStr">
        <is>
          <t>No</t>
        </is>
      </c>
      <c r="J494" t="inlineStr">
        <is>
          <t>0</t>
        </is>
      </c>
      <c r="L494" t="inlineStr">
        <is>
          <t>[New York] : Harper and Row, c1976.</t>
        </is>
      </c>
      <c r="M494" t="inlineStr">
        <is>
          <t>1976</t>
        </is>
      </c>
      <c r="N494" t="inlineStr">
        <is>
          <t>1976-77 ed.</t>
        </is>
      </c>
      <c r="O494" t="inlineStr">
        <is>
          <t>eng</t>
        </is>
      </c>
      <c r="P494" t="inlineStr">
        <is>
          <t>nyu</t>
        </is>
      </c>
      <c r="Q494" t="inlineStr">
        <is>
          <t>Contemporary perspectives reader series</t>
        </is>
      </c>
      <c r="R494" t="inlineStr">
        <is>
          <t xml:space="preserve">RC </t>
        </is>
      </c>
      <c r="S494" t="n">
        <v>3</v>
      </c>
      <c r="T494" t="n">
        <v>3</v>
      </c>
      <c r="U494" t="inlineStr">
        <is>
          <t>1999-03-04</t>
        </is>
      </c>
      <c r="V494" t="inlineStr">
        <is>
          <t>1999-03-04</t>
        </is>
      </c>
      <c r="W494" t="inlineStr">
        <is>
          <t>1992-06-25</t>
        </is>
      </c>
      <c r="X494" t="inlineStr">
        <is>
          <t>1992-06-25</t>
        </is>
      </c>
      <c r="Y494" t="n">
        <v>131</v>
      </c>
      <c r="Z494" t="n">
        <v>99</v>
      </c>
      <c r="AA494" t="n">
        <v>101</v>
      </c>
      <c r="AB494" t="n">
        <v>2</v>
      </c>
      <c r="AC494" t="n">
        <v>2</v>
      </c>
      <c r="AD494" t="n">
        <v>2</v>
      </c>
      <c r="AE494" t="n">
        <v>2</v>
      </c>
      <c r="AF494" t="n">
        <v>1</v>
      </c>
      <c r="AG494" t="n">
        <v>1</v>
      </c>
      <c r="AH494" t="n">
        <v>0</v>
      </c>
      <c r="AI494" t="n">
        <v>0</v>
      </c>
      <c r="AJ494" t="n">
        <v>1</v>
      </c>
      <c r="AK494" t="n">
        <v>1</v>
      </c>
      <c r="AL494" t="n">
        <v>1</v>
      </c>
      <c r="AM494" t="n">
        <v>1</v>
      </c>
      <c r="AN494" t="n">
        <v>0</v>
      </c>
      <c r="AO494" t="n">
        <v>0</v>
      </c>
      <c r="AP494" t="inlineStr">
        <is>
          <t>No</t>
        </is>
      </c>
      <c r="AQ494" t="inlineStr">
        <is>
          <t>Yes</t>
        </is>
      </c>
      <c r="AR494">
        <f>HYPERLINK("http://catalog.hathitrust.org/Record/000742588","HathiTrust Record")</f>
        <v/>
      </c>
      <c r="AS494">
        <f>HYPERLINK("https://creighton-primo.hosted.exlibrisgroup.com/primo-explore/search?tab=default_tab&amp;search_scope=EVERYTHING&amp;vid=01CRU&amp;lang=en_US&amp;offset=0&amp;query=any,contains,991004110449702656","Catalog Record")</f>
        <v/>
      </c>
      <c r="AT494">
        <f>HYPERLINK("http://www.worldcat.org/oclc/2396089","WorldCat Record")</f>
        <v/>
      </c>
      <c r="AU494" t="inlineStr">
        <is>
          <t>5055348:eng</t>
        </is>
      </c>
      <c r="AV494" t="inlineStr">
        <is>
          <t>2396089</t>
        </is>
      </c>
      <c r="AW494" t="inlineStr">
        <is>
          <t>991004110449702656</t>
        </is>
      </c>
      <c r="AX494" t="inlineStr">
        <is>
          <t>991004110449702656</t>
        </is>
      </c>
      <c r="AY494" t="inlineStr">
        <is>
          <t>2272696330002656</t>
        </is>
      </c>
      <c r="AZ494" t="inlineStr">
        <is>
          <t>BOOK</t>
        </is>
      </c>
      <c r="BB494" t="inlineStr">
        <is>
          <t>9780060432591</t>
        </is>
      </c>
      <c r="BC494" t="inlineStr">
        <is>
          <t>32285001145563</t>
        </is>
      </c>
      <c r="BD494" t="inlineStr">
        <is>
          <t>893253246</t>
        </is>
      </c>
    </row>
    <row r="495">
      <c r="A495" t="inlineStr">
        <is>
          <t>No</t>
        </is>
      </c>
      <c r="B495" t="inlineStr">
        <is>
          <t>RC454 .R57 1972</t>
        </is>
      </c>
      <c r="C495" t="inlineStr">
        <is>
          <t>0                      RC 0454000R  57          1972</t>
        </is>
      </c>
      <c r="D495" t="inlineStr">
        <is>
          <t>Abnormal psychology / [by] Ephraim Rosen, Ronald E. Fox [and] Ian Gregory.</t>
        </is>
      </c>
      <c r="F495" t="inlineStr">
        <is>
          <t>No</t>
        </is>
      </c>
      <c r="G495" t="inlineStr">
        <is>
          <t>1</t>
        </is>
      </c>
      <c r="H495" t="inlineStr">
        <is>
          <t>No</t>
        </is>
      </c>
      <c r="I495" t="inlineStr">
        <is>
          <t>No</t>
        </is>
      </c>
      <c r="J495" t="inlineStr">
        <is>
          <t>0</t>
        </is>
      </c>
      <c r="K495" t="inlineStr">
        <is>
          <t>Rosen, Ephraim.</t>
        </is>
      </c>
      <c r="L495" t="inlineStr">
        <is>
          <t>Philadelphia : Saunders, 1972.</t>
        </is>
      </c>
      <c r="M495" t="inlineStr">
        <is>
          <t>1972</t>
        </is>
      </c>
      <c r="N495" t="inlineStr">
        <is>
          <t>2d ed.</t>
        </is>
      </c>
      <c r="O495" t="inlineStr">
        <is>
          <t>eng</t>
        </is>
      </c>
      <c r="P495" t="inlineStr">
        <is>
          <t>pau</t>
        </is>
      </c>
      <c r="R495" t="inlineStr">
        <is>
          <t xml:space="preserve">RC </t>
        </is>
      </c>
      <c r="S495" t="n">
        <v>23</v>
      </c>
      <c r="T495" t="n">
        <v>23</v>
      </c>
      <c r="U495" t="inlineStr">
        <is>
          <t>2002-04-01</t>
        </is>
      </c>
      <c r="V495" t="inlineStr">
        <is>
          <t>2002-04-01</t>
        </is>
      </c>
      <c r="W495" t="inlineStr">
        <is>
          <t>1992-03-23</t>
        </is>
      </c>
      <c r="X495" t="inlineStr">
        <is>
          <t>1992-03-23</t>
        </is>
      </c>
      <c r="Y495" t="n">
        <v>306</v>
      </c>
      <c r="Z495" t="n">
        <v>224</v>
      </c>
      <c r="AA495" t="n">
        <v>417</v>
      </c>
      <c r="AB495" t="n">
        <v>2</v>
      </c>
      <c r="AC495" t="n">
        <v>5</v>
      </c>
      <c r="AD495" t="n">
        <v>6</v>
      </c>
      <c r="AE495" t="n">
        <v>13</v>
      </c>
      <c r="AF495" t="n">
        <v>2</v>
      </c>
      <c r="AG495" t="n">
        <v>3</v>
      </c>
      <c r="AH495" t="n">
        <v>1</v>
      </c>
      <c r="AI495" t="n">
        <v>2</v>
      </c>
      <c r="AJ495" t="n">
        <v>3</v>
      </c>
      <c r="AK495" t="n">
        <v>7</v>
      </c>
      <c r="AL495" t="n">
        <v>1</v>
      </c>
      <c r="AM495" t="n">
        <v>3</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HYPERLINK("https://creighton-primo.hosted.exlibrisgroup.com/primo-explore/search?tab=default_tab&amp;search_scope=EVERYTHING&amp;vid=01CRU&amp;lang=en_US&amp;offset=0&amp;query=any,contains,991002259449702656","Catalog Record")</f>
        <v/>
      </c>
      <c r="AT495">
        <f>HYPERLINK("http://www.worldcat.org/oclc/303560","WorldCat Record")</f>
        <v/>
      </c>
      <c r="AU495" t="inlineStr">
        <is>
          <t>1350243:eng</t>
        </is>
      </c>
      <c r="AV495" t="inlineStr">
        <is>
          <t>303560</t>
        </is>
      </c>
      <c r="AW495" t="inlineStr">
        <is>
          <t>991002259449702656</t>
        </is>
      </c>
      <c r="AX495" t="inlineStr">
        <is>
          <t>991002259449702656</t>
        </is>
      </c>
      <c r="AY495" t="inlineStr">
        <is>
          <t>2272541920002656</t>
        </is>
      </c>
      <c r="AZ495" t="inlineStr">
        <is>
          <t>BOOK</t>
        </is>
      </c>
      <c r="BB495" t="inlineStr">
        <is>
          <t>9780721676968</t>
        </is>
      </c>
      <c r="BC495" t="inlineStr">
        <is>
          <t>32285001025864</t>
        </is>
      </c>
      <c r="BD495" t="inlineStr">
        <is>
          <t>893879675</t>
        </is>
      </c>
    </row>
    <row r="496">
      <c r="A496" t="inlineStr">
        <is>
          <t>No</t>
        </is>
      </c>
      <c r="B496" t="inlineStr">
        <is>
          <t>RC454 .S87 1975</t>
        </is>
      </c>
      <c r="C496" t="inlineStr">
        <is>
          <t>0                      RC 0454000S  87          1975</t>
        </is>
      </c>
      <c r="D496" t="inlineStr">
        <is>
          <t>Fundamentals of behavior pathology / Richard M Suinn.</t>
        </is>
      </c>
      <c r="F496" t="inlineStr">
        <is>
          <t>No</t>
        </is>
      </c>
      <c r="G496" t="inlineStr">
        <is>
          <t>1</t>
        </is>
      </c>
      <c r="H496" t="inlineStr">
        <is>
          <t>No</t>
        </is>
      </c>
      <c r="I496" t="inlineStr">
        <is>
          <t>No</t>
        </is>
      </c>
      <c r="J496" t="inlineStr">
        <is>
          <t>0</t>
        </is>
      </c>
      <c r="K496" t="inlineStr">
        <is>
          <t>Suinn, Richard M.</t>
        </is>
      </c>
      <c r="L496" t="inlineStr">
        <is>
          <t>New York : Wiley, [1975]</t>
        </is>
      </c>
      <c r="M496" t="inlineStr">
        <is>
          <t>1975</t>
        </is>
      </c>
      <c r="N496" t="inlineStr">
        <is>
          <t>2d ed.</t>
        </is>
      </c>
      <c r="O496" t="inlineStr">
        <is>
          <t>eng</t>
        </is>
      </c>
      <c r="P496" t="inlineStr">
        <is>
          <t>nyu</t>
        </is>
      </c>
      <c r="Q496" t="inlineStr">
        <is>
          <t>Series in psychology</t>
        </is>
      </c>
      <c r="R496" t="inlineStr">
        <is>
          <t xml:space="preserve">RC </t>
        </is>
      </c>
      <c r="S496" t="n">
        <v>1</v>
      </c>
      <c r="T496" t="n">
        <v>1</v>
      </c>
      <c r="U496" t="inlineStr">
        <is>
          <t>1997-10-19</t>
        </is>
      </c>
      <c r="V496" t="inlineStr">
        <is>
          <t>1997-10-19</t>
        </is>
      </c>
      <c r="W496" t="inlineStr">
        <is>
          <t>1997-08-11</t>
        </is>
      </c>
      <c r="X496" t="inlineStr">
        <is>
          <t>1997-08-11</t>
        </is>
      </c>
      <c r="Y496" t="n">
        <v>224</v>
      </c>
      <c r="Z496" t="n">
        <v>130</v>
      </c>
      <c r="AA496" t="n">
        <v>296</v>
      </c>
      <c r="AB496" t="n">
        <v>2</v>
      </c>
      <c r="AC496" t="n">
        <v>3</v>
      </c>
      <c r="AD496" t="n">
        <v>6</v>
      </c>
      <c r="AE496" t="n">
        <v>8</v>
      </c>
      <c r="AF496" t="n">
        <v>0</v>
      </c>
      <c r="AG496" t="n">
        <v>0</v>
      </c>
      <c r="AH496" t="n">
        <v>3</v>
      </c>
      <c r="AI496" t="n">
        <v>4</v>
      </c>
      <c r="AJ496" t="n">
        <v>5</v>
      </c>
      <c r="AK496" t="n">
        <v>5</v>
      </c>
      <c r="AL496" t="n">
        <v>1</v>
      </c>
      <c r="AM496" t="n">
        <v>2</v>
      </c>
      <c r="AN496" t="n">
        <v>0</v>
      </c>
      <c r="AO496" t="n">
        <v>0</v>
      </c>
      <c r="AP496" t="inlineStr">
        <is>
          <t>No</t>
        </is>
      </c>
      <c r="AQ496" t="inlineStr">
        <is>
          <t>Yes</t>
        </is>
      </c>
      <c r="AR496">
        <f>HYPERLINK("http://catalog.hathitrust.org/Record/000033167","HathiTrust Record")</f>
        <v/>
      </c>
      <c r="AS496">
        <f>HYPERLINK("https://creighton-primo.hosted.exlibrisgroup.com/primo-explore/search?tab=default_tab&amp;search_scope=EVERYTHING&amp;vid=01CRU&amp;lang=en_US&amp;offset=0&amp;query=any,contains,991003545779702656","Catalog Record")</f>
        <v/>
      </c>
      <c r="AT496">
        <f>HYPERLINK("http://www.worldcat.org/oclc/1111471","WorldCat Record")</f>
        <v/>
      </c>
      <c r="AU496" t="inlineStr">
        <is>
          <t>254184:eng</t>
        </is>
      </c>
      <c r="AV496" t="inlineStr">
        <is>
          <t>1111471</t>
        </is>
      </c>
      <c r="AW496" t="inlineStr">
        <is>
          <t>991003545779702656</t>
        </is>
      </c>
      <c r="AX496" t="inlineStr">
        <is>
          <t>991003545779702656</t>
        </is>
      </c>
      <c r="AY496" t="inlineStr">
        <is>
          <t>2269661460002656</t>
        </is>
      </c>
      <c r="AZ496" t="inlineStr">
        <is>
          <t>BOOK</t>
        </is>
      </c>
      <c r="BB496" t="inlineStr">
        <is>
          <t>9780471835479</t>
        </is>
      </c>
      <c r="BC496" t="inlineStr">
        <is>
          <t>32285003090569</t>
        </is>
      </c>
      <c r="BD496" t="inlineStr">
        <is>
          <t>893623606</t>
        </is>
      </c>
    </row>
    <row r="497">
      <c r="A497" t="inlineStr">
        <is>
          <t>No</t>
        </is>
      </c>
      <c r="B497" t="inlineStr">
        <is>
          <t>RC454 .V46 1977, v.1</t>
        </is>
      </c>
      <c r="C497" t="inlineStr">
        <is>
          <t>0                      RC 0454000V  46          1977                                        v.1</t>
        </is>
      </c>
      <c r="D497" t="inlineStr">
        <is>
          <t>The issues : an overview of primary prevention / editors, George W. Albee, Justin M. Joffe.</t>
        </is>
      </c>
      <c r="E497" t="inlineStr">
        <is>
          <t>V.1</t>
        </is>
      </c>
      <c r="F497" t="inlineStr">
        <is>
          <t>No</t>
        </is>
      </c>
      <c r="G497" t="inlineStr">
        <is>
          <t>1</t>
        </is>
      </c>
      <c r="H497" t="inlineStr">
        <is>
          <t>No</t>
        </is>
      </c>
      <c r="I497" t="inlineStr">
        <is>
          <t>No</t>
        </is>
      </c>
      <c r="J497" t="inlineStr">
        <is>
          <t>0</t>
        </is>
      </c>
      <c r="L497" t="inlineStr">
        <is>
          <t>Hanover, N.H. : Published for the University of Vermont by the University Press of New England, c1977, 1980 printing.</t>
        </is>
      </c>
      <c r="M497" t="inlineStr">
        <is>
          <t>1977</t>
        </is>
      </c>
      <c r="O497" t="inlineStr">
        <is>
          <t>eng</t>
        </is>
      </c>
      <c r="P497" t="inlineStr">
        <is>
          <t>nhu</t>
        </is>
      </c>
      <c r="Q497" t="inlineStr">
        <is>
          <t>Primary prevention of psychopathology ; v. 1</t>
        </is>
      </c>
      <c r="R497" t="inlineStr">
        <is>
          <t xml:space="preserve">RC </t>
        </is>
      </c>
      <c r="S497" t="n">
        <v>3</v>
      </c>
      <c r="T497" t="n">
        <v>3</v>
      </c>
      <c r="U497" t="inlineStr">
        <is>
          <t>2003-10-27</t>
        </is>
      </c>
      <c r="V497" t="inlineStr">
        <is>
          <t>2003-10-27</t>
        </is>
      </c>
      <c r="W497" t="inlineStr">
        <is>
          <t>1991-09-27</t>
        </is>
      </c>
      <c r="X497" t="inlineStr">
        <is>
          <t>1991-09-27</t>
        </is>
      </c>
      <c r="Y497" t="n">
        <v>204</v>
      </c>
      <c r="Z497" t="n">
        <v>182</v>
      </c>
      <c r="AA497" t="n">
        <v>191</v>
      </c>
      <c r="AB497" t="n">
        <v>2</v>
      </c>
      <c r="AC497" t="n">
        <v>2</v>
      </c>
      <c r="AD497" t="n">
        <v>10</v>
      </c>
      <c r="AE497" t="n">
        <v>10</v>
      </c>
      <c r="AF497" t="n">
        <v>1</v>
      </c>
      <c r="AG497" t="n">
        <v>1</v>
      </c>
      <c r="AH497" t="n">
        <v>4</v>
      </c>
      <c r="AI497" t="n">
        <v>4</v>
      </c>
      <c r="AJ497" t="n">
        <v>6</v>
      </c>
      <c r="AK497" t="n">
        <v>6</v>
      </c>
      <c r="AL497" t="n">
        <v>1</v>
      </c>
      <c r="AM497" t="n">
        <v>1</v>
      </c>
      <c r="AN497" t="n">
        <v>0</v>
      </c>
      <c r="AO497" t="n">
        <v>0</v>
      </c>
      <c r="AP497" t="inlineStr">
        <is>
          <t>No</t>
        </is>
      </c>
      <c r="AQ497" t="inlineStr">
        <is>
          <t>Yes</t>
        </is>
      </c>
      <c r="AR497">
        <f>HYPERLINK("http://catalog.hathitrust.org/Record/002587443","HathiTrust Record")</f>
        <v/>
      </c>
      <c r="AS497">
        <f>HYPERLINK("https://creighton-primo.hosted.exlibrisgroup.com/primo-explore/search?tab=default_tab&amp;search_scope=EVERYTHING&amp;vid=01CRU&amp;lang=en_US&amp;offset=0&amp;query=any,contains,991004972169702656","Catalog Record")</f>
        <v/>
      </c>
      <c r="AT497">
        <f>HYPERLINK("http://www.worldcat.org/oclc/5906820","WorldCat Record")</f>
        <v/>
      </c>
      <c r="AU497" t="inlineStr">
        <is>
          <t>356095613:eng</t>
        </is>
      </c>
      <c r="AV497" t="inlineStr">
        <is>
          <t>5906820</t>
        </is>
      </c>
      <c r="AW497" t="inlineStr">
        <is>
          <t>991004972169702656</t>
        </is>
      </c>
      <c r="AX497" t="inlineStr">
        <is>
          <t>991004972169702656</t>
        </is>
      </c>
      <c r="AY497" t="inlineStr">
        <is>
          <t>2269714690002656</t>
        </is>
      </c>
      <c r="AZ497" t="inlineStr">
        <is>
          <t>BOOK</t>
        </is>
      </c>
      <c r="BB497" t="inlineStr">
        <is>
          <t>9780874511352</t>
        </is>
      </c>
      <c r="BC497" t="inlineStr">
        <is>
          <t>32285000764513</t>
        </is>
      </c>
      <c r="BD497" t="inlineStr">
        <is>
          <t>893700872</t>
        </is>
      </c>
    </row>
    <row r="498">
      <c r="A498" t="inlineStr">
        <is>
          <t>No</t>
        </is>
      </c>
      <c r="B498" t="inlineStr">
        <is>
          <t>RC454 .V46 1977, v.10</t>
        </is>
      </c>
      <c r="C498" t="inlineStr">
        <is>
          <t>0                      RC 0454000V  46          1977                                        v.10</t>
        </is>
      </c>
      <c r="D498" t="inlineStr">
        <is>
          <t>Prevention of delinquent behavior / editors John D. Burchard and Sara N. Burchard.</t>
        </is>
      </c>
      <c r="E498" t="inlineStr">
        <is>
          <t>V.10</t>
        </is>
      </c>
      <c r="F498" t="inlineStr">
        <is>
          <t>No</t>
        </is>
      </c>
      <c r="G498" t="inlineStr">
        <is>
          <t>1</t>
        </is>
      </c>
      <c r="H498" t="inlineStr">
        <is>
          <t>No</t>
        </is>
      </c>
      <c r="I498" t="inlineStr">
        <is>
          <t>No</t>
        </is>
      </c>
      <c r="J498" t="inlineStr">
        <is>
          <t>0</t>
        </is>
      </c>
      <c r="L498" t="inlineStr">
        <is>
          <t>Beverly Hills : Sage Publications, c1987.</t>
        </is>
      </c>
      <c r="M498" t="inlineStr">
        <is>
          <t>1986</t>
        </is>
      </c>
      <c r="O498" t="inlineStr">
        <is>
          <t>eng</t>
        </is>
      </c>
      <c r="P498" t="inlineStr">
        <is>
          <t>cau</t>
        </is>
      </c>
      <c r="Q498" t="inlineStr">
        <is>
          <t>Vermont conference on the primary prevention of psychopathology ; v. 10</t>
        </is>
      </c>
      <c r="R498" t="inlineStr">
        <is>
          <t xml:space="preserve">RC </t>
        </is>
      </c>
      <c r="S498" t="n">
        <v>7</v>
      </c>
      <c r="T498" t="n">
        <v>7</v>
      </c>
      <c r="U498" t="inlineStr">
        <is>
          <t>2005-05-06</t>
        </is>
      </c>
      <c r="V498" t="inlineStr">
        <is>
          <t>2005-05-06</t>
        </is>
      </c>
      <c r="W498" t="inlineStr">
        <is>
          <t>1991-09-27</t>
        </is>
      </c>
      <c r="X498" t="inlineStr">
        <is>
          <t>1991-09-27</t>
        </is>
      </c>
      <c r="Y498" t="n">
        <v>390</v>
      </c>
      <c r="Z498" t="n">
        <v>304</v>
      </c>
      <c r="AA498" t="n">
        <v>311</v>
      </c>
      <c r="AB498" t="n">
        <v>4</v>
      </c>
      <c r="AC498" t="n">
        <v>4</v>
      </c>
      <c r="AD498" t="n">
        <v>16</v>
      </c>
      <c r="AE498" t="n">
        <v>16</v>
      </c>
      <c r="AF498" t="n">
        <v>4</v>
      </c>
      <c r="AG498" t="n">
        <v>4</v>
      </c>
      <c r="AH498" t="n">
        <v>3</v>
      </c>
      <c r="AI498" t="n">
        <v>3</v>
      </c>
      <c r="AJ498" t="n">
        <v>10</v>
      </c>
      <c r="AK498" t="n">
        <v>10</v>
      </c>
      <c r="AL498" t="n">
        <v>3</v>
      </c>
      <c r="AM498" t="n">
        <v>3</v>
      </c>
      <c r="AN498" t="n">
        <v>0</v>
      </c>
      <c r="AO498" t="n">
        <v>0</v>
      </c>
      <c r="AP498" t="inlineStr">
        <is>
          <t>No</t>
        </is>
      </c>
      <c r="AQ498" t="inlineStr">
        <is>
          <t>Yes</t>
        </is>
      </c>
      <c r="AR498">
        <f>HYPERLINK("http://catalog.hathitrust.org/Record/000840505","HathiTrust Record")</f>
        <v/>
      </c>
      <c r="AS498">
        <f>HYPERLINK("https://creighton-primo.hosted.exlibrisgroup.com/primo-explore/search?tab=default_tab&amp;search_scope=EVERYTHING&amp;vid=01CRU&amp;lang=en_US&amp;offset=0&amp;query=any,contains,991000942459702656","Catalog Record")</f>
        <v/>
      </c>
      <c r="AT498">
        <f>HYPERLINK("http://www.worldcat.org/oclc/14413971","WorldCat Record")</f>
        <v/>
      </c>
      <c r="AU498" t="inlineStr">
        <is>
          <t>5218123431:eng</t>
        </is>
      </c>
      <c r="AV498" t="inlineStr">
        <is>
          <t>14413971</t>
        </is>
      </c>
      <c r="AW498" t="inlineStr">
        <is>
          <t>991000942459702656</t>
        </is>
      </c>
      <c r="AX498" t="inlineStr">
        <is>
          <t>991000942459702656</t>
        </is>
      </c>
      <c r="AY498" t="inlineStr">
        <is>
          <t>2264347080002656</t>
        </is>
      </c>
      <c r="AZ498" t="inlineStr">
        <is>
          <t>BOOK</t>
        </is>
      </c>
      <c r="BB498" t="inlineStr">
        <is>
          <t>9780803929081</t>
        </is>
      </c>
      <c r="BC498" t="inlineStr">
        <is>
          <t>32285000764596</t>
        </is>
      </c>
      <c r="BD498" t="inlineStr">
        <is>
          <t>893528523</t>
        </is>
      </c>
    </row>
    <row r="499">
      <c r="A499" t="inlineStr">
        <is>
          <t>No</t>
        </is>
      </c>
      <c r="B499" t="inlineStr">
        <is>
          <t>RC454 .V46 1977, v.13</t>
        </is>
      </c>
      <c r="C499" t="inlineStr">
        <is>
          <t>0                      RC 0454000V  46          1977                                        v.13</t>
        </is>
      </c>
      <c r="D499" t="inlineStr">
        <is>
          <t>Primary prevention of AIDS : psychological approaches / editors, Vickie M. Mays, George W. Albee, Stanley F. Schneider.</t>
        </is>
      </c>
      <c r="E499" t="inlineStr">
        <is>
          <t>V.13</t>
        </is>
      </c>
      <c r="F499" t="inlineStr">
        <is>
          <t>No</t>
        </is>
      </c>
      <c r="G499" t="inlineStr">
        <is>
          <t>1</t>
        </is>
      </c>
      <c r="H499" t="inlineStr">
        <is>
          <t>No</t>
        </is>
      </c>
      <c r="I499" t="inlineStr">
        <is>
          <t>No</t>
        </is>
      </c>
      <c r="J499" t="inlineStr">
        <is>
          <t>0</t>
        </is>
      </c>
      <c r="L499" t="inlineStr">
        <is>
          <t>Newbury Park : SAGE Publications, c1989.</t>
        </is>
      </c>
      <c r="M499" t="inlineStr">
        <is>
          <t>1989</t>
        </is>
      </c>
      <c r="O499" t="inlineStr">
        <is>
          <t>eng</t>
        </is>
      </c>
      <c r="P499" t="inlineStr">
        <is>
          <t>cau</t>
        </is>
      </c>
      <c r="Q499" t="inlineStr">
        <is>
          <t>Primary prevention of psychopathology ; vol. 13</t>
        </is>
      </c>
      <c r="R499" t="inlineStr">
        <is>
          <t xml:space="preserve">RC </t>
        </is>
      </c>
      <c r="S499" t="n">
        <v>6</v>
      </c>
      <c r="T499" t="n">
        <v>6</v>
      </c>
      <c r="U499" t="inlineStr">
        <is>
          <t>2005-05-06</t>
        </is>
      </c>
      <c r="V499" t="inlineStr">
        <is>
          <t>2005-05-06</t>
        </is>
      </c>
      <c r="W499" t="inlineStr">
        <is>
          <t>1991-05-31</t>
        </is>
      </c>
      <c r="X499" t="inlineStr">
        <is>
          <t>1991-05-31</t>
        </is>
      </c>
      <c r="Y499" t="n">
        <v>394</v>
      </c>
      <c r="Z499" t="n">
        <v>312</v>
      </c>
      <c r="AA499" t="n">
        <v>314</v>
      </c>
      <c r="AB499" t="n">
        <v>2</v>
      </c>
      <c r="AC499" t="n">
        <v>2</v>
      </c>
      <c r="AD499" t="n">
        <v>19</v>
      </c>
      <c r="AE499" t="n">
        <v>19</v>
      </c>
      <c r="AF499" t="n">
        <v>7</v>
      </c>
      <c r="AG499" t="n">
        <v>7</v>
      </c>
      <c r="AH499" t="n">
        <v>5</v>
      </c>
      <c r="AI499" t="n">
        <v>5</v>
      </c>
      <c r="AJ499" t="n">
        <v>10</v>
      </c>
      <c r="AK499" t="n">
        <v>10</v>
      </c>
      <c r="AL499" t="n">
        <v>1</v>
      </c>
      <c r="AM499" t="n">
        <v>1</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HYPERLINK("https://creighton-primo.hosted.exlibrisgroup.com/primo-explore/search?tab=default_tab&amp;search_scope=EVERYTHING&amp;vid=01CRU&amp;lang=en_US&amp;offset=0&amp;query=any,contains,991001527259702656","Catalog Record")</f>
        <v/>
      </c>
      <c r="AT499">
        <f>HYPERLINK("http://www.worldcat.org/oclc/20013570","WorldCat Record")</f>
        <v/>
      </c>
      <c r="AU499" t="inlineStr">
        <is>
          <t>890409887:eng</t>
        </is>
      </c>
      <c r="AV499" t="inlineStr">
        <is>
          <t>20013570</t>
        </is>
      </c>
      <c r="AW499" t="inlineStr">
        <is>
          <t>991001527259702656</t>
        </is>
      </c>
      <c r="AX499" t="inlineStr">
        <is>
          <t>991001527259702656</t>
        </is>
      </c>
      <c r="AY499" t="inlineStr">
        <is>
          <t>2262307070002656</t>
        </is>
      </c>
      <c r="AZ499" t="inlineStr">
        <is>
          <t>BOOK</t>
        </is>
      </c>
      <c r="BB499" t="inlineStr">
        <is>
          <t>9780803936003</t>
        </is>
      </c>
      <c r="BC499" t="inlineStr">
        <is>
          <t>32285000592153</t>
        </is>
      </c>
      <c r="BD499" t="inlineStr">
        <is>
          <t>893414293</t>
        </is>
      </c>
    </row>
    <row r="500">
      <c r="A500" t="inlineStr">
        <is>
          <t>No</t>
        </is>
      </c>
      <c r="B500" t="inlineStr">
        <is>
          <t>RC454 .V46 1977, v.14</t>
        </is>
      </c>
      <c r="C500" t="inlineStr">
        <is>
          <t>0                      RC 0454000V  46          1977                                        v.14</t>
        </is>
      </c>
      <c r="D500" t="inlineStr">
        <is>
          <t>Improving children's lives : global perspectives on prevention / editors, George W. Albee, Lynne A. Bond, Toni V. Cook Monsey.</t>
        </is>
      </c>
      <c r="E500" t="inlineStr">
        <is>
          <t>V.14</t>
        </is>
      </c>
      <c r="F500" t="inlineStr">
        <is>
          <t>No</t>
        </is>
      </c>
      <c r="G500" t="inlineStr">
        <is>
          <t>1</t>
        </is>
      </c>
      <c r="H500" t="inlineStr">
        <is>
          <t>No</t>
        </is>
      </c>
      <c r="I500" t="inlineStr">
        <is>
          <t>No</t>
        </is>
      </c>
      <c r="J500" t="inlineStr">
        <is>
          <t>0</t>
        </is>
      </c>
      <c r="L500" t="inlineStr">
        <is>
          <t>Newbury Park : Sage Publications, c1992.</t>
        </is>
      </c>
      <c r="M500" t="inlineStr">
        <is>
          <t>1992</t>
        </is>
      </c>
      <c r="O500" t="inlineStr">
        <is>
          <t>eng</t>
        </is>
      </c>
      <c r="P500" t="inlineStr">
        <is>
          <t>cau</t>
        </is>
      </c>
      <c r="Q500" t="inlineStr">
        <is>
          <t>Primary prevention of psychopathology ; v. 14</t>
        </is>
      </c>
      <c r="R500" t="inlineStr">
        <is>
          <t xml:space="preserve">RC </t>
        </is>
      </c>
      <c r="S500" t="n">
        <v>9</v>
      </c>
      <c r="T500" t="n">
        <v>9</v>
      </c>
      <c r="U500" t="inlineStr">
        <is>
          <t>1999-10-14</t>
        </is>
      </c>
      <c r="V500" t="inlineStr">
        <is>
          <t>1999-10-14</t>
        </is>
      </c>
      <c r="W500" t="inlineStr">
        <is>
          <t>1992-05-21</t>
        </is>
      </c>
      <c r="X500" t="inlineStr">
        <is>
          <t>1992-05-21</t>
        </is>
      </c>
      <c r="Y500" t="n">
        <v>257</v>
      </c>
      <c r="Z500" t="n">
        <v>193</v>
      </c>
      <c r="AA500" t="n">
        <v>495</v>
      </c>
      <c r="AB500" t="n">
        <v>3</v>
      </c>
      <c r="AC500" t="n">
        <v>5</v>
      </c>
      <c r="AD500" t="n">
        <v>15</v>
      </c>
      <c r="AE500" t="n">
        <v>18</v>
      </c>
      <c r="AF500" t="n">
        <v>3</v>
      </c>
      <c r="AG500" t="n">
        <v>4</v>
      </c>
      <c r="AH500" t="n">
        <v>5</v>
      </c>
      <c r="AI500" t="n">
        <v>5</v>
      </c>
      <c r="AJ500" t="n">
        <v>8</v>
      </c>
      <c r="AK500" t="n">
        <v>9</v>
      </c>
      <c r="AL500" t="n">
        <v>2</v>
      </c>
      <c r="AM500" t="n">
        <v>4</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HYPERLINK("https://creighton-primo.hosted.exlibrisgroup.com/primo-explore/search?tab=default_tab&amp;search_scope=EVERYTHING&amp;vid=01CRU&amp;lang=en_US&amp;offset=0&amp;query=any,contains,991001942419702656","Catalog Record")</f>
        <v/>
      </c>
      <c r="AT500">
        <f>HYPERLINK("http://www.worldcat.org/oclc/24543564","WorldCat Record")</f>
        <v/>
      </c>
      <c r="AU500" t="inlineStr">
        <is>
          <t>836733829:eng</t>
        </is>
      </c>
      <c r="AV500" t="inlineStr">
        <is>
          <t>24543564</t>
        </is>
      </c>
      <c r="AW500" t="inlineStr">
        <is>
          <t>991001942419702656</t>
        </is>
      </c>
      <c r="AX500" t="inlineStr">
        <is>
          <t>991001942419702656</t>
        </is>
      </c>
      <c r="AY500" t="inlineStr">
        <is>
          <t>2262980990002656</t>
        </is>
      </c>
      <c r="AZ500" t="inlineStr">
        <is>
          <t>BOOK</t>
        </is>
      </c>
      <c r="BB500" t="inlineStr">
        <is>
          <t>9780803946101</t>
        </is>
      </c>
      <c r="BC500" t="inlineStr">
        <is>
          <t>32285001125193</t>
        </is>
      </c>
      <c r="BD500" t="inlineStr">
        <is>
          <t>893534761</t>
        </is>
      </c>
    </row>
    <row r="501">
      <c r="A501" t="inlineStr">
        <is>
          <t>No</t>
        </is>
      </c>
      <c r="B501" t="inlineStr">
        <is>
          <t>RC454 .V46 1977, v.15</t>
        </is>
      </c>
      <c r="C501" t="inlineStr">
        <is>
          <t>0                      RC 0454000V  46          1977                                        v.15</t>
        </is>
      </c>
      <c r="D501" t="inlineStr">
        <is>
          <t>The Present and future of prevention : in honor of George W. Albee / editors Marc Kessler, Stephen E. Goldston, Justin M. Joffe.</t>
        </is>
      </c>
      <c r="E501" t="inlineStr">
        <is>
          <t>V.15</t>
        </is>
      </c>
      <c r="F501" t="inlineStr">
        <is>
          <t>No</t>
        </is>
      </c>
      <c r="G501" t="inlineStr">
        <is>
          <t>1</t>
        </is>
      </c>
      <c r="H501" t="inlineStr">
        <is>
          <t>No</t>
        </is>
      </c>
      <c r="I501" t="inlineStr">
        <is>
          <t>No</t>
        </is>
      </c>
      <c r="J501" t="inlineStr">
        <is>
          <t>0</t>
        </is>
      </c>
      <c r="L501" t="inlineStr">
        <is>
          <t>Newbury Park, Calif. : Sage Publications, c1992.</t>
        </is>
      </c>
      <c r="M501" t="inlineStr">
        <is>
          <t>1992</t>
        </is>
      </c>
      <c r="O501" t="inlineStr">
        <is>
          <t>eng</t>
        </is>
      </c>
      <c r="P501" t="inlineStr">
        <is>
          <t>cau</t>
        </is>
      </c>
      <c r="Q501" t="inlineStr">
        <is>
          <t>Primary prevention of psychopathology ; v. 15</t>
        </is>
      </c>
      <c r="R501" t="inlineStr">
        <is>
          <t xml:space="preserve">RC </t>
        </is>
      </c>
      <c r="S501" t="n">
        <v>9</v>
      </c>
      <c r="T501" t="n">
        <v>9</v>
      </c>
      <c r="U501" t="inlineStr">
        <is>
          <t>2005-04-28</t>
        </is>
      </c>
      <c r="V501" t="inlineStr">
        <is>
          <t>2005-04-28</t>
        </is>
      </c>
      <c r="W501" t="inlineStr">
        <is>
          <t>1993-08-05</t>
        </is>
      </c>
      <c r="X501" t="inlineStr">
        <is>
          <t>1993-08-05</t>
        </is>
      </c>
      <c r="Y501" t="n">
        <v>185</v>
      </c>
      <c r="Z501" t="n">
        <v>137</v>
      </c>
      <c r="AA501" t="n">
        <v>137</v>
      </c>
      <c r="AB501" t="n">
        <v>1</v>
      </c>
      <c r="AC501" t="n">
        <v>1</v>
      </c>
      <c r="AD501" t="n">
        <v>8</v>
      </c>
      <c r="AE501" t="n">
        <v>8</v>
      </c>
      <c r="AF501" t="n">
        <v>1</v>
      </c>
      <c r="AG501" t="n">
        <v>1</v>
      </c>
      <c r="AH501" t="n">
        <v>4</v>
      </c>
      <c r="AI501" t="n">
        <v>4</v>
      </c>
      <c r="AJ501" t="n">
        <v>5</v>
      </c>
      <c r="AK501" t="n">
        <v>5</v>
      </c>
      <c r="AL501" t="n">
        <v>0</v>
      </c>
      <c r="AM501" t="n">
        <v>0</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HYPERLINK("https://creighton-primo.hosted.exlibrisgroup.com/primo-explore/search?tab=default_tab&amp;search_scope=EVERYTHING&amp;vid=01CRU&amp;lang=en_US&amp;offset=0&amp;query=any,contains,991002014179702656","Catalog Record")</f>
        <v/>
      </c>
      <c r="AT501">
        <f>HYPERLINK("http://www.worldcat.org/oclc/25630316","WorldCat Record")</f>
        <v/>
      </c>
      <c r="AU501" t="inlineStr">
        <is>
          <t>836889592:eng</t>
        </is>
      </c>
      <c r="AV501" t="inlineStr">
        <is>
          <t>25630316</t>
        </is>
      </c>
      <c r="AW501" t="inlineStr">
        <is>
          <t>991002014179702656</t>
        </is>
      </c>
      <c r="AX501" t="inlineStr">
        <is>
          <t>991002014179702656</t>
        </is>
      </c>
      <c r="AY501" t="inlineStr">
        <is>
          <t>2266745690002656</t>
        </is>
      </c>
      <c r="AZ501" t="inlineStr">
        <is>
          <t>BOOK</t>
        </is>
      </c>
      <c r="BB501" t="inlineStr">
        <is>
          <t>9780803945906</t>
        </is>
      </c>
      <c r="BC501" t="inlineStr">
        <is>
          <t>32285001750776</t>
        </is>
      </c>
      <c r="BD501" t="inlineStr">
        <is>
          <t>893427110</t>
        </is>
      </c>
    </row>
    <row r="502">
      <c r="A502" t="inlineStr">
        <is>
          <t>No</t>
        </is>
      </c>
      <c r="B502" t="inlineStr">
        <is>
          <t>RC454 .V46 1977, v.2</t>
        </is>
      </c>
      <c r="C502" t="inlineStr">
        <is>
          <t>0                      RC 0454000V  46          1977                                        v.2</t>
        </is>
      </c>
      <c r="D502" t="inlineStr">
        <is>
          <t>Environmental influences and strategies in primary prevention / Donald G. Forgays, editor.</t>
        </is>
      </c>
      <c r="E502" t="inlineStr">
        <is>
          <t>V.2</t>
        </is>
      </c>
      <c r="F502" t="inlineStr">
        <is>
          <t>No</t>
        </is>
      </c>
      <c r="G502" t="inlineStr">
        <is>
          <t>1</t>
        </is>
      </c>
      <c r="H502" t="inlineStr">
        <is>
          <t>No</t>
        </is>
      </c>
      <c r="I502" t="inlineStr">
        <is>
          <t>No</t>
        </is>
      </c>
      <c r="J502" t="inlineStr">
        <is>
          <t>0</t>
        </is>
      </c>
      <c r="L502" t="inlineStr">
        <is>
          <t>Hanover [N.H.] : Published for the University of Vermont by the University Press of New England, 1982, c1978.</t>
        </is>
      </c>
      <c r="M502" t="inlineStr">
        <is>
          <t>1982</t>
        </is>
      </c>
      <c r="O502" t="inlineStr">
        <is>
          <t>eng</t>
        </is>
      </c>
      <c r="P502" t="inlineStr">
        <is>
          <t>nhu</t>
        </is>
      </c>
      <c r="Q502" t="inlineStr">
        <is>
          <t>Primary prevention of psychopathology ; 2</t>
        </is>
      </c>
      <c r="R502" t="inlineStr">
        <is>
          <t xml:space="preserve">RC </t>
        </is>
      </c>
      <c r="S502" t="n">
        <v>1</v>
      </c>
      <c r="T502" t="n">
        <v>1</v>
      </c>
      <c r="U502" t="inlineStr">
        <is>
          <t>1992-11-17</t>
        </is>
      </c>
      <c r="V502" t="inlineStr">
        <is>
          <t>1992-11-17</t>
        </is>
      </c>
      <c r="W502" t="inlineStr">
        <is>
          <t>1991-09-27</t>
        </is>
      </c>
      <c r="X502" t="inlineStr">
        <is>
          <t>1991-09-27</t>
        </is>
      </c>
      <c r="Y502" t="n">
        <v>78</v>
      </c>
      <c r="Z502" t="n">
        <v>73</v>
      </c>
      <c r="AA502" t="n">
        <v>75</v>
      </c>
      <c r="AB502" t="n">
        <v>2</v>
      </c>
      <c r="AC502" t="n">
        <v>2</v>
      </c>
      <c r="AD502" t="n">
        <v>1</v>
      </c>
      <c r="AE502" t="n">
        <v>1</v>
      </c>
      <c r="AF502" t="n">
        <v>0</v>
      </c>
      <c r="AG502" t="n">
        <v>0</v>
      </c>
      <c r="AH502" t="n">
        <v>0</v>
      </c>
      <c r="AI502" t="n">
        <v>0</v>
      </c>
      <c r="AJ502" t="n">
        <v>0</v>
      </c>
      <c r="AK502" t="n">
        <v>0</v>
      </c>
      <c r="AL502" t="n">
        <v>1</v>
      </c>
      <c r="AM502" t="n">
        <v>1</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HYPERLINK("https://creighton-primo.hosted.exlibrisgroup.com/primo-explore/search?tab=default_tab&amp;search_scope=EVERYTHING&amp;vid=01CRU&amp;lang=en_US&amp;offset=0&amp;query=any,contains,991000076099702656","Catalog Record")</f>
        <v/>
      </c>
      <c r="AT502">
        <f>HYPERLINK("http://www.worldcat.org/oclc/8806075","WorldCat Record")</f>
        <v/>
      </c>
      <c r="AU502" t="inlineStr">
        <is>
          <t>427606975:eng</t>
        </is>
      </c>
      <c r="AV502" t="inlineStr">
        <is>
          <t>8806075</t>
        </is>
      </c>
      <c r="AW502" t="inlineStr">
        <is>
          <t>991000076099702656</t>
        </is>
      </c>
      <c r="AX502" t="inlineStr">
        <is>
          <t>991000076099702656</t>
        </is>
      </c>
      <c r="AY502" t="inlineStr">
        <is>
          <t>2267272320002656</t>
        </is>
      </c>
      <c r="AZ502" t="inlineStr">
        <is>
          <t>BOOK</t>
        </is>
      </c>
      <c r="BB502" t="inlineStr">
        <is>
          <t>9780874511536</t>
        </is>
      </c>
      <c r="BC502" t="inlineStr">
        <is>
          <t>32285000764521</t>
        </is>
      </c>
      <c r="BD502" t="inlineStr">
        <is>
          <t>893255157</t>
        </is>
      </c>
    </row>
    <row r="503">
      <c r="A503" t="inlineStr">
        <is>
          <t>No</t>
        </is>
      </c>
      <c r="B503" t="inlineStr">
        <is>
          <t>RC454 .V46 1977, v.3</t>
        </is>
      </c>
      <c r="C503" t="inlineStr">
        <is>
          <t>0                      RC 0454000V  46          1977                                        v.3</t>
        </is>
      </c>
      <c r="D503" t="inlineStr">
        <is>
          <t>Social competence in children / editors, Martha Whalen Kent, Jon E. Rolf.</t>
        </is>
      </c>
      <c r="E503" t="inlineStr">
        <is>
          <t>V.3</t>
        </is>
      </c>
      <c r="F503" t="inlineStr">
        <is>
          <t>No</t>
        </is>
      </c>
      <c r="G503" t="inlineStr">
        <is>
          <t>1</t>
        </is>
      </c>
      <c r="H503" t="inlineStr">
        <is>
          <t>No</t>
        </is>
      </c>
      <c r="I503" t="inlineStr">
        <is>
          <t>No</t>
        </is>
      </c>
      <c r="J503" t="inlineStr">
        <is>
          <t>0</t>
        </is>
      </c>
      <c r="L503" t="inlineStr">
        <is>
          <t>Hanover, N.H. : Published for the University of Vermont by the University Press of New England, c1979, 1980 printing.</t>
        </is>
      </c>
      <c r="M503" t="inlineStr">
        <is>
          <t>1979</t>
        </is>
      </c>
      <c r="O503" t="inlineStr">
        <is>
          <t>eng</t>
        </is>
      </c>
      <c r="P503" t="inlineStr">
        <is>
          <t>nhu</t>
        </is>
      </c>
      <c r="Q503" t="inlineStr">
        <is>
          <t>Primary prevention of psychopathology ; v. 3</t>
        </is>
      </c>
      <c r="R503" t="inlineStr">
        <is>
          <t xml:space="preserve">RC </t>
        </is>
      </c>
      <c r="S503" t="n">
        <v>1</v>
      </c>
      <c r="T503" t="n">
        <v>1</v>
      </c>
      <c r="U503" t="inlineStr">
        <is>
          <t>1992-02-06</t>
        </is>
      </c>
      <c r="V503" t="inlineStr">
        <is>
          <t>1992-02-06</t>
        </is>
      </c>
      <c r="W503" t="inlineStr">
        <is>
          <t>1991-09-27</t>
        </is>
      </c>
      <c r="X503" t="inlineStr">
        <is>
          <t>1991-09-27</t>
        </is>
      </c>
      <c r="Y503" t="n">
        <v>322</v>
      </c>
      <c r="Z503" t="n">
        <v>275</v>
      </c>
      <c r="AA503" t="n">
        <v>285</v>
      </c>
      <c r="AB503" t="n">
        <v>4</v>
      </c>
      <c r="AC503" t="n">
        <v>4</v>
      </c>
      <c r="AD503" t="n">
        <v>12</v>
      </c>
      <c r="AE503" t="n">
        <v>12</v>
      </c>
      <c r="AF503" t="n">
        <v>3</v>
      </c>
      <c r="AG503" t="n">
        <v>3</v>
      </c>
      <c r="AH503" t="n">
        <v>4</v>
      </c>
      <c r="AI503" t="n">
        <v>4</v>
      </c>
      <c r="AJ503" t="n">
        <v>8</v>
      </c>
      <c r="AK503" t="n">
        <v>8</v>
      </c>
      <c r="AL503" t="n">
        <v>2</v>
      </c>
      <c r="AM503" t="n">
        <v>2</v>
      </c>
      <c r="AN503" t="n">
        <v>0</v>
      </c>
      <c r="AO503" t="n">
        <v>0</v>
      </c>
      <c r="AP503" t="inlineStr">
        <is>
          <t>No</t>
        </is>
      </c>
      <c r="AQ503" t="inlineStr">
        <is>
          <t>Yes</t>
        </is>
      </c>
      <c r="AR503">
        <f>HYPERLINK("http://catalog.hathitrust.org/Record/002587426","HathiTrust Record")</f>
        <v/>
      </c>
      <c r="AS503">
        <f>HYPERLINK("https://creighton-primo.hosted.exlibrisgroup.com/primo-explore/search?tab=default_tab&amp;search_scope=EVERYTHING&amp;vid=01CRU&amp;lang=en_US&amp;offset=0&amp;query=any,contains,991004677879702656","Catalog Record")</f>
        <v/>
      </c>
      <c r="AT503">
        <f>HYPERLINK("http://www.worldcat.org/oclc/4549510","WorldCat Record")</f>
        <v/>
      </c>
      <c r="AU503" t="inlineStr">
        <is>
          <t>411454635:eng</t>
        </is>
      </c>
      <c r="AV503" t="inlineStr">
        <is>
          <t>4549510</t>
        </is>
      </c>
      <c r="AW503" t="inlineStr">
        <is>
          <t>991004677879702656</t>
        </is>
      </c>
      <c r="AX503" t="inlineStr">
        <is>
          <t>991004677879702656</t>
        </is>
      </c>
      <c r="AY503" t="inlineStr">
        <is>
          <t>2272621050002656</t>
        </is>
      </c>
      <c r="AZ503" t="inlineStr">
        <is>
          <t>BOOK</t>
        </is>
      </c>
      <c r="BB503" t="inlineStr">
        <is>
          <t>9780874511536</t>
        </is>
      </c>
      <c r="BC503" t="inlineStr">
        <is>
          <t>32285000764539</t>
        </is>
      </c>
      <c r="BD503" t="inlineStr">
        <is>
          <t>893532677</t>
        </is>
      </c>
    </row>
    <row r="504">
      <c r="A504" t="inlineStr">
        <is>
          <t>No</t>
        </is>
      </c>
      <c r="B504" t="inlineStr">
        <is>
          <t>RC454 .V46 1977, v.4</t>
        </is>
      </c>
      <c r="C504" t="inlineStr">
        <is>
          <t>0                      RC 0454000V  46          1977                                        v.4</t>
        </is>
      </c>
      <c r="D504" t="inlineStr">
        <is>
          <t>Competence and coping during adulthood / Lynne A. Bond and James C. Rosen, editors.</t>
        </is>
      </c>
      <c r="E504" t="inlineStr">
        <is>
          <t>V.4</t>
        </is>
      </c>
      <c r="F504" t="inlineStr">
        <is>
          <t>No</t>
        </is>
      </c>
      <c r="G504" t="inlineStr">
        <is>
          <t>1</t>
        </is>
      </c>
      <c r="H504" t="inlineStr">
        <is>
          <t>No</t>
        </is>
      </c>
      <c r="I504" t="inlineStr">
        <is>
          <t>No</t>
        </is>
      </c>
      <c r="J504" t="inlineStr">
        <is>
          <t>0</t>
        </is>
      </c>
      <c r="L504" t="inlineStr">
        <is>
          <t>Hanover, N.H. : Published for the Vermont Conference on the Primary Prevention of Psychopathology by the University Press of New England, 1980.</t>
        </is>
      </c>
      <c r="M504" t="inlineStr">
        <is>
          <t>1980</t>
        </is>
      </c>
      <c r="O504" t="inlineStr">
        <is>
          <t>eng</t>
        </is>
      </c>
      <c r="P504" t="inlineStr">
        <is>
          <t>nhu</t>
        </is>
      </c>
      <c r="Q504" t="inlineStr">
        <is>
          <t>Primary prevention of psychopathology</t>
        </is>
      </c>
      <c r="R504" t="inlineStr">
        <is>
          <t xml:space="preserve">RC </t>
        </is>
      </c>
      <c r="S504" t="n">
        <v>9</v>
      </c>
      <c r="T504" t="n">
        <v>9</v>
      </c>
      <c r="U504" t="inlineStr">
        <is>
          <t>1997-09-16</t>
        </is>
      </c>
      <c r="V504" t="inlineStr">
        <is>
          <t>1997-09-16</t>
        </is>
      </c>
      <c r="W504" t="inlineStr">
        <is>
          <t>1991-09-27</t>
        </is>
      </c>
      <c r="X504" t="inlineStr">
        <is>
          <t>1991-09-27</t>
        </is>
      </c>
      <c r="Y504" t="n">
        <v>408</v>
      </c>
      <c r="Z504" t="n">
        <v>336</v>
      </c>
      <c r="AA504" t="n">
        <v>341</v>
      </c>
      <c r="AB504" t="n">
        <v>4</v>
      </c>
      <c r="AC504" t="n">
        <v>4</v>
      </c>
      <c r="AD504" t="n">
        <v>18</v>
      </c>
      <c r="AE504" t="n">
        <v>18</v>
      </c>
      <c r="AF504" t="n">
        <v>5</v>
      </c>
      <c r="AG504" t="n">
        <v>5</v>
      </c>
      <c r="AH504" t="n">
        <v>4</v>
      </c>
      <c r="AI504" t="n">
        <v>4</v>
      </c>
      <c r="AJ504" t="n">
        <v>10</v>
      </c>
      <c r="AK504" t="n">
        <v>10</v>
      </c>
      <c r="AL504" t="n">
        <v>3</v>
      </c>
      <c r="AM504" t="n">
        <v>3</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HYPERLINK("https://creighton-primo.hosted.exlibrisgroup.com/primo-explore/search?tab=default_tab&amp;search_scope=EVERYTHING&amp;vid=01CRU&amp;lang=en_US&amp;offset=0&amp;query=any,contains,991004968399702656","Catalog Record")</f>
        <v/>
      </c>
      <c r="AT504">
        <f>HYPERLINK("http://www.worldcat.org/oclc/6355510","WorldCat Record")</f>
        <v/>
      </c>
      <c r="AU504" t="inlineStr">
        <is>
          <t>375401991:eng</t>
        </is>
      </c>
      <c r="AV504" t="inlineStr">
        <is>
          <t>6355510</t>
        </is>
      </c>
      <c r="AW504" t="inlineStr">
        <is>
          <t>991004968399702656</t>
        </is>
      </c>
      <c r="AX504" t="inlineStr">
        <is>
          <t>991004968399702656</t>
        </is>
      </c>
      <c r="AY504" t="inlineStr">
        <is>
          <t>2256644710002656</t>
        </is>
      </c>
      <c r="AZ504" t="inlineStr">
        <is>
          <t>BOOK</t>
        </is>
      </c>
      <c r="BB504" t="inlineStr">
        <is>
          <t>9780874511598</t>
        </is>
      </c>
      <c r="BC504" t="inlineStr">
        <is>
          <t>32285000764547</t>
        </is>
      </c>
      <c r="BD504" t="inlineStr">
        <is>
          <t>893876757</t>
        </is>
      </c>
    </row>
    <row r="505">
      <c r="A505" t="inlineStr">
        <is>
          <t>No</t>
        </is>
      </c>
      <c r="B505" t="inlineStr">
        <is>
          <t>RC454 .V46 1977, v.5</t>
        </is>
      </c>
      <c r="C505" t="inlineStr">
        <is>
          <t>0                      RC 0454000V  46          1977                                        v.5</t>
        </is>
      </c>
      <c r="D505" t="inlineStr">
        <is>
          <t>Prevention through political action and social change / Justin M. Joffe and George W. Albee, editors.</t>
        </is>
      </c>
      <c r="E505" t="inlineStr">
        <is>
          <t>V.5</t>
        </is>
      </c>
      <c r="F505" t="inlineStr">
        <is>
          <t>No</t>
        </is>
      </c>
      <c r="G505" t="inlineStr">
        <is>
          <t>1</t>
        </is>
      </c>
      <c r="H505" t="inlineStr">
        <is>
          <t>No</t>
        </is>
      </c>
      <c r="I505" t="inlineStr">
        <is>
          <t>No</t>
        </is>
      </c>
      <c r="J505" t="inlineStr">
        <is>
          <t>0</t>
        </is>
      </c>
      <c r="K505" t="inlineStr">
        <is>
          <t>Vermont Conference on the Primary Prevention of Psychopathology (5th : 1979 : University of Vermont)</t>
        </is>
      </c>
      <c r="L505" t="inlineStr">
        <is>
          <t>Hanover, NH ; London : published for the Vermont Conference on the Primary Prevention of Psychopathology by the University Press of New England, 1981.</t>
        </is>
      </c>
      <c r="M505" t="inlineStr">
        <is>
          <t>1981</t>
        </is>
      </c>
      <c r="O505" t="inlineStr">
        <is>
          <t>eng</t>
        </is>
      </c>
      <c r="P505" t="inlineStr">
        <is>
          <t>nhu</t>
        </is>
      </c>
      <c r="Q505" t="inlineStr">
        <is>
          <t>Primary prevention of psychopathology ; 5</t>
        </is>
      </c>
      <c r="R505" t="inlineStr">
        <is>
          <t xml:space="preserve">RC </t>
        </is>
      </c>
      <c r="S505" t="n">
        <v>2</v>
      </c>
      <c r="T505" t="n">
        <v>2</v>
      </c>
      <c r="U505" t="inlineStr">
        <is>
          <t>2003-10-27</t>
        </is>
      </c>
      <c r="V505" t="inlineStr">
        <is>
          <t>2003-10-27</t>
        </is>
      </c>
      <c r="W505" t="inlineStr">
        <is>
          <t>1991-09-27</t>
        </is>
      </c>
      <c r="X505" t="inlineStr">
        <is>
          <t>1991-09-27</t>
        </is>
      </c>
      <c r="Y505" t="n">
        <v>341</v>
      </c>
      <c r="Z505" t="n">
        <v>287</v>
      </c>
      <c r="AA505" t="n">
        <v>298</v>
      </c>
      <c r="AB505" t="n">
        <v>3</v>
      </c>
      <c r="AC505" t="n">
        <v>3</v>
      </c>
      <c r="AD505" t="n">
        <v>15</v>
      </c>
      <c r="AE505" t="n">
        <v>15</v>
      </c>
      <c r="AF505" t="n">
        <v>4</v>
      </c>
      <c r="AG505" t="n">
        <v>4</v>
      </c>
      <c r="AH505" t="n">
        <v>5</v>
      </c>
      <c r="AI505" t="n">
        <v>5</v>
      </c>
      <c r="AJ505" t="n">
        <v>9</v>
      </c>
      <c r="AK505" t="n">
        <v>9</v>
      </c>
      <c r="AL505" t="n">
        <v>2</v>
      </c>
      <c r="AM505" t="n">
        <v>2</v>
      </c>
      <c r="AN505" t="n">
        <v>0</v>
      </c>
      <c r="AO505" t="n">
        <v>0</v>
      </c>
      <c r="AP505" t="inlineStr">
        <is>
          <t>No</t>
        </is>
      </c>
      <c r="AQ505" t="inlineStr">
        <is>
          <t>Yes</t>
        </is>
      </c>
      <c r="AR505">
        <f>HYPERLINK("http://catalog.hathitrust.org/Record/002564696","HathiTrust Record")</f>
        <v/>
      </c>
      <c r="AS505">
        <f>HYPERLINK("https://creighton-primo.hosted.exlibrisgroup.com/primo-explore/search?tab=default_tab&amp;search_scope=EVERYTHING&amp;vid=01CRU&amp;lang=en_US&amp;offset=0&amp;query=any,contains,991005121939702656","Catalog Record")</f>
        <v/>
      </c>
      <c r="AT505">
        <f>HYPERLINK("http://www.worldcat.org/oclc/7717020","WorldCat Record")</f>
        <v/>
      </c>
      <c r="AU505" t="inlineStr">
        <is>
          <t>522108:eng</t>
        </is>
      </c>
      <c r="AV505" t="inlineStr">
        <is>
          <t>7717020</t>
        </is>
      </c>
      <c r="AW505" t="inlineStr">
        <is>
          <t>991005121939702656</t>
        </is>
      </c>
      <c r="AX505" t="inlineStr">
        <is>
          <t>991005121939702656</t>
        </is>
      </c>
      <c r="AY505" t="inlineStr">
        <is>
          <t>2255415930002656</t>
        </is>
      </c>
      <c r="AZ505" t="inlineStr">
        <is>
          <t>BOOK</t>
        </is>
      </c>
      <c r="BB505" t="inlineStr">
        <is>
          <t>9780874511871</t>
        </is>
      </c>
      <c r="BC505" t="inlineStr">
        <is>
          <t>32285000764554</t>
        </is>
      </c>
      <c r="BD505" t="inlineStr">
        <is>
          <t>893902151</t>
        </is>
      </c>
    </row>
    <row r="506">
      <c r="A506" t="inlineStr">
        <is>
          <t>No</t>
        </is>
      </c>
      <c r="B506" t="inlineStr">
        <is>
          <t>RC454 .V46 1977, v.7</t>
        </is>
      </c>
      <c r="C506" t="inlineStr">
        <is>
          <t>0                      RC 0454000V  46          1977                                        v.7</t>
        </is>
      </c>
      <c r="D506" t="inlineStr">
        <is>
          <t>Promoting sexual responsibility and preventing sexual problems / George W. Albee, Sol Gordon, and Harold Leitenberg, editors.</t>
        </is>
      </c>
      <c r="E506" t="inlineStr">
        <is>
          <t>V.7</t>
        </is>
      </c>
      <c r="F506" t="inlineStr">
        <is>
          <t>No</t>
        </is>
      </c>
      <c r="G506" t="inlineStr">
        <is>
          <t>1</t>
        </is>
      </c>
      <c r="H506" t="inlineStr">
        <is>
          <t>No</t>
        </is>
      </c>
      <c r="I506" t="inlineStr">
        <is>
          <t>No</t>
        </is>
      </c>
      <c r="J506" t="inlineStr">
        <is>
          <t>0</t>
        </is>
      </c>
      <c r="K506" t="inlineStr">
        <is>
          <t>Vermont Conference on the Primary Prevention of Psychopathology (7th : 1981 : University of Vermont)</t>
        </is>
      </c>
      <c r="L506" t="inlineStr">
        <is>
          <t>Hanover, NH : Published for the Vermont Conference on the Primary Prevention of Psychopathology by University Press of New England, 1983.</t>
        </is>
      </c>
      <c r="M506" t="inlineStr">
        <is>
          <t>1983</t>
        </is>
      </c>
      <c r="O506" t="inlineStr">
        <is>
          <t>eng</t>
        </is>
      </c>
      <c r="P506" t="inlineStr">
        <is>
          <t>nhu</t>
        </is>
      </c>
      <c r="Q506" t="inlineStr">
        <is>
          <t>Primary prevention of psychopathology ; 7</t>
        </is>
      </c>
      <c r="R506" t="inlineStr">
        <is>
          <t xml:space="preserve">RC </t>
        </is>
      </c>
      <c r="S506" t="n">
        <v>5</v>
      </c>
      <c r="T506" t="n">
        <v>5</v>
      </c>
      <c r="U506" t="inlineStr">
        <is>
          <t>2005-05-06</t>
        </is>
      </c>
      <c r="V506" t="inlineStr">
        <is>
          <t>2005-05-06</t>
        </is>
      </c>
      <c r="W506" t="inlineStr">
        <is>
          <t>1991-09-27</t>
        </is>
      </c>
      <c r="X506" t="inlineStr">
        <is>
          <t>1991-09-27</t>
        </is>
      </c>
      <c r="Y506" t="n">
        <v>370</v>
      </c>
      <c r="Z506" t="n">
        <v>321</v>
      </c>
      <c r="AA506" t="n">
        <v>328</v>
      </c>
      <c r="AB506" t="n">
        <v>2</v>
      </c>
      <c r="AC506" t="n">
        <v>2</v>
      </c>
      <c r="AD506" t="n">
        <v>11</v>
      </c>
      <c r="AE506" t="n">
        <v>11</v>
      </c>
      <c r="AF506" t="n">
        <v>3</v>
      </c>
      <c r="AG506" t="n">
        <v>3</v>
      </c>
      <c r="AH506" t="n">
        <v>2</v>
      </c>
      <c r="AI506" t="n">
        <v>2</v>
      </c>
      <c r="AJ506" t="n">
        <v>6</v>
      </c>
      <c r="AK506" t="n">
        <v>6</v>
      </c>
      <c r="AL506" t="n">
        <v>1</v>
      </c>
      <c r="AM506" t="n">
        <v>1</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HYPERLINK("https://creighton-primo.hosted.exlibrisgroup.com/primo-explore/search?tab=default_tab&amp;search_scope=EVERYTHING&amp;vid=01CRU&amp;lang=en_US&amp;offset=0&amp;query=any,contains,991000195329702656","Catalog Record")</f>
        <v/>
      </c>
      <c r="AT506">
        <f>HYPERLINK("http://www.worldcat.org/oclc/9440958","WorldCat Record")</f>
        <v/>
      </c>
      <c r="AU506" t="inlineStr">
        <is>
          <t>42964322:eng</t>
        </is>
      </c>
      <c r="AV506" t="inlineStr">
        <is>
          <t>9440958</t>
        </is>
      </c>
      <c r="AW506" t="inlineStr">
        <is>
          <t>991000195329702656</t>
        </is>
      </c>
      <c r="AX506" t="inlineStr">
        <is>
          <t>991000195329702656</t>
        </is>
      </c>
      <c r="AY506" t="inlineStr">
        <is>
          <t>2264566820002656</t>
        </is>
      </c>
      <c r="AZ506" t="inlineStr">
        <is>
          <t>BOOK</t>
        </is>
      </c>
      <c r="BB506" t="inlineStr">
        <is>
          <t>9780874512489</t>
        </is>
      </c>
      <c r="BC506" t="inlineStr">
        <is>
          <t>32285000764570</t>
        </is>
      </c>
      <c r="BD506" t="inlineStr">
        <is>
          <t>893230959</t>
        </is>
      </c>
    </row>
    <row r="507">
      <c r="A507" t="inlineStr">
        <is>
          <t>No</t>
        </is>
      </c>
      <c r="B507" t="inlineStr">
        <is>
          <t>RC454 .V46 1977, v.8</t>
        </is>
      </c>
      <c r="C507" t="inlineStr">
        <is>
          <t>0                      RC 0454000V  46          1977                                        v.8</t>
        </is>
      </c>
      <c r="D507" t="inlineStr">
        <is>
          <t>Prevention in health psychology / James C. Rosen and Laura J. Solomon, editors.</t>
        </is>
      </c>
      <c r="E507" t="inlineStr">
        <is>
          <t>V.8</t>
        </is>
      </c>
      <c r="F507" t="inlineStr">
        <is>
          <t>No</t>
        </is>
      </c>
      <c r="G507" t="inlineStr">
        <is>
          <t>1</t>
        </is>
      </c>
      <c r="H507" t="inlineStr">
        <is>
          <t>No</t>
        </is>
      </c>
      <c r="I507" t="inlineStr">
        <is>
          <t>No</t>
        </is>
      </c>
      <c r="J507" t="inlineStr">
        <is>
          <t>0</t>
        </is>
      </c>
      <c r="K507" t="inlineStr">
        <is>
          <t>Vermont Conference on the Primary Prevention of Psychopathology (8th : 1983 : University of Vermont)</t>
        </is>
      </c>
      <c r="L507" t="inlineStr">
        <is>
          <t>Hanover [N.H.] : Published for the University of Vermont and the Vermont Conference on the Primary Prevention of Psychopathology by University Press of New England, 1985.</t>
        </is>
      </c>
      <c r="M507" t="inlineStr">
        <is>
          <t>1985</t>
        </is>
      </c>
      <c r="O507" t="inlineStr">
        <is>
          <t>eng</t>
        </is>
      </c>
      <c r="P507" t="inlineStr">
        <is>
          <t>nhu</t>
        </is>
      </c>
      <c r="Q507" t="inlineStr">
        <is>
          <t>Primary prevention of psychopathology ; 8</t>
        </is>
      </c>
      <c r="R507" t="inlineStr">
        <is>
          <t xml:space="preserve">RC </t>
        </is>
      </c>
      <c r="S507" t="n">
        <v>3</v>
      </c>
      <c r="T507" t="n">
        <v>3</v>
      </c>
      <c r="U507" t="inlineStr">
        <is>
          <t>1995-03-21</t>
        </is>
      </c>
      <c r="V507" t="inlineStr">
        <is>
          <t>1995-03-21</t>
        </is>
      </c>
      <c r="W507" t="inlineStr">
        <is>
          <t>1991-09-27</t>
        </is>
      </c>
      <c r="X507" t="inlineStr">
        <is>
          <t>1991-09-27</t>
        </is>
      </c>
      <c r="Y507" t="n">
        <v>262</v>
      </c>
      <c r="Z507" t="n">
        <v>217</v>
      </c>
      <c r="AA507" t="n">
        <v>225</v>
      </c>
      <c r="AB507" t="n">
        <v>2</v>
      </c>
      <c r="AC507" t="n">
        <v>2</v>
      </c>
      <c r="AD507" t="n">
        <v>10</v>
      </c>
      <c r="AE507" t="n">
        <v>10</v>
      </c>
      <c r="AF507" t="n">
        <v>2</v>
      </c>
      <c r="AG507" t="n">
        <v>2</v>
      </c>
      <c r="AH507" t="n">
        <v>4</v>
      </c>
      <c r="AI507" t="n">
        <v>4</v>
      </c>
      <c r="AJ507" t="n">
        <v>6</v>
      </c>
      <c r="AK507" t="n">
        <v>6</v>
      </c>
      <c r="AL507" t="n">
        <v>1</v>
      </c>
      <c r="AM507" t="n">
        <v>1</v>
      </c>
      <c r="AN507" t="n">
        <v>0</v>
      </c>
      <c r="AO507" t="n">
        <v>0</v>
      </c>
      <c r="AP507" t="inlineStr">
        <is>
          <t>No</t>
        </is>
      </c>
      <c r="AQ507" t="inlineStr">
        <is>
          <t>Yes</t>
        </is>
      </c>
      <c r="AR507">
        <f>HYPERLINK("http://catalog.hathitrust.org/Record/000949072","HathiTrust Record")</f>
        <v/>
      </c>
      <c r="AS507">
        <f>HYPERLINK("https://creighton-primo.hosted.exlibrisgroup.com/primo-explore/search?tab=default_tab&amp;search_scope=EVERYTHING&amp;vid=01CRU&amp;lang=en_US&amp;offset=0&amp;query=any,contains,991000597029702656","Catalog Record")</f>
        <v/>
      </c>
      <c r="AT507">
        <f>HYPERLINK("http://www.worldcat.org/oclc/11813909","WorldCat Record")</f>
        <v/>
      </c>
      <c r="AU507" t="inlineStr">
        <is>
          <t>356001062:eng</t>
        </is>
      </c>
      <c r="AV507" t="inlineStr">
        <is>
          <t>11813909</t>
        </is>
      </c>
      <c r="AW507" t="inlineStr">
        <is>
          <t>991000597029702656</t>
        </is>
      </c>
      <c r="AX507" t="inlineStr">
        <is>
          <t>991000597029702656</t>
        </is>
      </c>
      <c r="AY507" t="inlineStr">
        <is>
          <t>2260421300002656</t>
        </is>
      </c>
      <c r="AZ507" t="inlineStr">
        <is>
          <t>BOOK</t>
        </is>
      </c>
      <c r="BB507" t="inlineStr">
        <is>
          <t>9780874513202</t>
        </is>
      </c>
      <c r="BC507" t="inlineStr">
        <is>
          <t>32285000764588</t>
        </is>
      </c>
      <c r="BD507" t="inlineStr">
        <is>
          <t>893508923</t>
        </is>
      </c>
    </row>
    <row r="508">
      <c r="A508" t="inlineStr">
        <is>
          <t>No</t>
        </is>
      </c>
      <c r="B508" t="inlineStr">
        <is>
          <t>RC454.4 .A38 1984</t>
        </is>
      </c>
      <c r="C508" t="inlineStr">
        <is>
          <t>0                      RC 0454400A  38          1984</t>
        </is>
      </c>
      <c r="D508" t="inlineStr">
        <is>
          <t>Adult psychopathology : a social work perspective / edited by Francis J. Turner.</t>
        </is>
      </c>
      <c r="F508" t="inlineStr">
        <is>
          <t>No</t>
        </is>
      </c>
      <c r="G508" t="inlineStr">
        <is>
          <t>1</t>
        </is>
      </c>
      <c r="H508" t="inlineStr">
        <is>
          <t>No</t>
        </is>
      </c>
      <c r="I508" t="inlineStr">
        <is>
          <t>No</t>
        </is>
      </c>
      <c r="J508" t="inlineStr">
        <is>
          <t>0</t>
        </is>
      </c>
      <c r="L508" t="inlineStr">
        <is>
          <t>New York : Free Press ; London : Collier Macmillan, c1984.</t>
        </is>
      </c>
      <c r="M508" t="inlineStr">
        <is>
          <t>1984</t>
        </is>
      </c>
      <c r="O508" t="inlineStr">
        <is>
          <t>eng</t>
        </is>
      </c>
      <c r="P508" t="inlineStr">
        <is>
          <t>nyu</t>
        </is>
      </c>
      <c r="R508" t="inlineStr">
        <is>
          <t xml:space="preserve">RC </t>
        </is>
      </c>
      <c r="S508" t="n">
        <v>4</v>
      </c>
      <c r="T508" t="n">
        <v>4</v>
      </c>
      <c r="U508" t="inlineStr">
        <is>
          <t>1997-11-02</t>
        </is>
      </c>
      <c r="V508" t="inlineStr">
        <is>
          <t>1997-11-02</t>
        </is>
      </c>
      <c r="W508" t="inlineStr">
        <is>
          <t>1993-03-19</t>
        </is>
      </c>
      <c r="X508" t="inlineStr">
        <is>
          <t>1993-03-19</t>
        </is>
      </c>
      <c r="Y508" t="n">
        <v>372</v>
      </c>
      <c r="Z508" t="n">
        <v>300</v>
      </c>
      <c r="AA508" t="n">
        <v>402</v>
      </c>
      <c r="AB508" t="n">
        <v>2</v>
      </c>
      <c r="AC508" t="n">
        <v>2</v>
      </c>
      <c r="AD508" t="n">
        <v>6</v>
      </c>
      <c r="AE508" t="n">
        <v>9</v>
      </c>
      <c r="AF508" t="n">
        <v>1</v>
      </c>
      <c r="AG508" t="n">
        <v>3</v>
      </c>
      <c r="AH508" t="n">
        <v>2</v>
      </c>
      <c r="AI508" t="n">
        <v>3</v>
      </c>
      <c r="AJ508" t="n">
        <v>2</v>
      </c>
      <c r="AK508" t="n">
        <v>5</v>
      </c>
      <c r="AL508" t="n">
        <v>1</v>
      </c>
      <c r="AM508" t="n">
        <v>1</v>
      </c>
      <c r="AN508" t="n">
        <v>0</v>
      </c>
      <c r="AO508" t="n">
        <v>0</v>
      </c>
      <c r="AP508" t="inlineStr">
        <is>
          <t>No</t>
        </is>
      </c>
      <c r="AQ508" t="inlineStr">
        <is>
          <t>Yes</t>
        </is>
      </c>
      <c r="AR508">
        <f>HYPERLINK("http://catalog.hathitrust.org/Record/000281339","HathiTrust Record")</f>
        <v/>
      </c>
      <c r="AS508">
        <f>HYPERLINK("https://creighton-primo.hosted.exlibrisgroup.com/primo-explore/search?tab=default_tab&amp;search_scope=EVERYTHING&amp;vid=01CRU&amp;lang=en_US&amp;offset=0&amp;query=any,contains,991000257599702656","Catalog Record")</f>
        <v/>
      </c>
      <c r="AT508">
        <f>HYPERLINK("http://www.worldcat.org/oclc/9784098","WorldCat Record")</f>
        <v/>
      </c>
      <c r="AU508" t="inlineStr">
        <is>
          <t>836626275:eng</t>
        </is>
      </c>
      <c r="AV508" t="inlineStr">
        <is>
          <t>9784098</t>
        </is>
      </c>
      <c r="AW508" t="inlineStr">
        <is>
          <t>991000257599702656</t>
        </is>
      </c>
      <c r="AX508" t="inlineStr">
        <is>
          <t>991000257599702656</t>
        </is>
      </c>
      <c r="AY508" t="inlineStr">
        <is>
          <t>2268666140002656</t>
        </is>
      </c>
      <c r="AZ508" t="inlineStr">
        <is>
          <t>BOOK</t>
        </is>
      </c>
      <c r="BB508" t="inlineStr">
        <is>
          <t>9780029330005</t>
        </is>
      </c>
      <c r="BC508" t="inlineStr">
        <is>
          <t>32285001605749</t>
        </is>
      </c>
      <c r="BD508" t="inlineStr">
        <is>
          <t>893425559</t>
        </is>
      </c>
    </row>
    <row r="509">
      <c r="A509" t="inlineStr">
        <is>
          <t>No</t>
        </is>
      </c>
      <c r="B509" t="inlineStr">
        <is>
          <t>RC454.4 .A46 1979</t>
        </is>
      </c>
      <c r="C509" t="inlineStr">
        <is>
          <t>0                      RC 0454400A  46          1979</t>
        </is>
      </c>
      <c r="D509" t="inlineStr">
        <is>
          <t>Stress and mental disorder / editor, James E. Barrett, associate editors, Robert M. Rose, Gerald L. Klerman.</t>
        </is>
      </c>
      <c r="F509" t="inlineStr">
        <is>
          <t>No</t>
        </is>
      </c>
      <c r="G509" t="inlineStr">
        <is>
          <t>1</t>
        </is>
      </c>
      <c r="H509" t="inlineStr">
        <is>
          <t>Yes</t>
        </is>
      </c>
      <c r="I509" t="inlineStr">
        <is>
          <t>No</t>
        </is>
      </c>
      <c r="J509" t="inlineStr">
        <is>
          <t>0</t>
        </is>
      </c>
      <c r="K509" t="inlineStr">
        <is>
          <t>American Psychopathological Association.</t>
        </is>
      </c>
      <c r="L509" t="inlineStr">
        <is>
          <t>New York : Raven Press, c1979.</t>
        </is>
      </c>
      <c r="M509" t="inlineStr">
        <is>
          <t>1979</t>
        </is>
      </c>
      <c r="O509" t="inlineStr">
        <is>
          <t>eng</t>
        </is>
      </c>
      <c r="P509" t="inlineStr">
        <is>
          <t>nyu</t>
        </is>
      </c>
      <c r="Q509" t="inlineStr">
        <is>
          <t>American Psychopathological Association series</t>
        </is>
      </c>
      <c r="R509" t="inlineStr">
        <is>
          <t xml:space="preserve">RC </t>
        </is>
      </c>
      <c r="S509" t="n">
        <v>10</v>
      </c>
      <c r="T509" t="n">
        <v>22</v>
      </c>
      <c r="U509" t="inlineStr">
        <is>
          <t>1997-09-16</t>
        </is>
      </c>
      <c r="V509" t="inlineStr">
        <is>
          <t>1998-03-16</t>
        </is>
      </c>
      <c r="W509" t="inlineStr">
        <is>
          <t>1992-03-23</t>
        </is>
      </c>
      <c r="X509" t="inlineStr">
        <is>
          <t>1992-03-23</t>
        </is>
      </c>
      <c r="Y509" t="n">
        <v>403</v>
      </c>
      <c r="Z509" t="n">
        <v>274</v>
      </c>
      <c r="AA509" t="n">
        <v>281</v>
      </c>
      <c r="AB509" t="n">
        <v>4</v>
      </c>
      <c r="AC509" t="n">
        <v>4</v>
      </c>
      <c r="AD509" t="n">
        <v>11</v>
      </c>
      <c r="AE509" t="n">
        <v>11</v>
      </c>
      <c r="AF509" t="n">
        <v>2</v>
      </c>
      <c r="AG509" t="n">
        <v>2</v>
      </c>
      <c r="AH509" t="n">
        <v>3</v>
      </c>
      <c r="AI509" t="n">
        <v>3</v>
      </c>
      <c r="AJ509" t="n">
        <v>7</v>
      </c>
      <c r="AK509" t="n">
        <v>7</v>
      </c>
      <c r="AL509" t="n">
        <v>2</v>
      </c>
      <c r="AM509" t="n">
        <v>2</v>
      </c>
      <c r="AN509" t="n">
        <v>0</v>
      </c>
      <c r="AO509" t="n">
        <v>0</v>
      </c>
      <c r="AP509" t="inlineStr">
        <is>
          <t>No</t>
        </is>
      </c>
      <c r="AQ509" t="inlineStr">
        <is>
          <t>Yes</t>
        </is>
      </c>
      <c r="AR509">
        <f>HYPERLINK("http://catalog.hathitrust.org/Record/000032207","HathiTrust Record")</f>
        <v/>
      </c>
      <c r="AS509">
        <f>HYPERLINK("https://creighton-primo.hosted.exlibrisgroup.com/primo-explore/search?tab=default_tab&amp;search_scope=EVERYTHING&amp;vid=01CRU&amp;lang=en_US&amp;offset=0&amp;query=any,contains,991001773109702656","Catalog Record")</f>
        <v/>
      </c>
      <c r="AT509">
        <f>HYPERLINK("http://www.worldcat.org/oclc/4982860","WorldCat Record")</f>
        <v/>
      </c>
      <c r="AU509" t="inlineStr">
        <is>
          <t>15211519:eng</t>
        </is>
      </c>
      <c r="AV509" t="inlineStr">
        <is>
          <t>4982860</t>
        </is>
      </c>
      <c r="AW509" t="inlineStr">
        <is>
          <t>991001773109702656</t>
        </is>
      </c>
      <c r="AX509" t="inlineStr">
        <is>
          <t>991001773109702656</t>
        </is>
      </c>
      <c r="AY509" t="inlineStr">
        <is>
          <t>2265745900002656</t>
        </is>
      </c>
      <c r="AZ509" t="inlineStr">
        <is>
          <t>BOOK</t>
        </is>
      </c>
      <c r="BB509" t="inlineStr">
        <is>
          <t>9780890043844</t>
        </is>
      </c>
      <c r="BC509" t="inlineStr">
        <is>
          <t>32285001027449</t>
        </is>
      </c>
      <c r="BD509" t="inlineStr">
        <is>
          <t>893803887</t>
        </is>
      </c>
    </row>
    <row r="510">
      <c r="A510" t="inlineStr">
        <is>
          <t>No</t>
        </is>
      </c>
      <c r="B510" t="inlineStr">
        <is>
          <t>RC454.4 .C56 1995</t>
        </is>
      </c>
      <c r="C510" t="inlineStr">
        <is>
          <t>0                      RC 0454400C  56          1995</t>
        </is>
      </c>
      <c r="D510" t="inlineStr">
        <is>
          <t>Origins of mental illness : temperament, deviance, and disorder / Gordon Claridge.</t>
        </is>
      </c>
      <c r="F510" t="inlineStr">
        <is>
          <t>No</t>
        </is>
      </c>
      <c r="G510" t="inlineStr">
        <is>
          <t>1</t>
        </is>
      </c>
      <c r="H510" t="inlineStr">
        <is>
          <t>No</t>
        </is>
      </c>
      <c r="I510" t="inlineStr">
        <is>
          <t>No</t>
        </is>
      </c>
      <c r="J510" t="inlineStr">
        <is>
          <t>0</t>
        </is>
      </c>
      <c r="K510" t="inlineStr">
        <is>
          <t>Claridge, Gordon, 1932-</t>
        </is>
      </c>
      <c r="L510" t="inlineStr">
        <is>
          <t>Cambridge, MA : ISHK, 1995.</t>
        </is>
      </c>
      <c r="M510" t="inlineStr">
        <is>
          <t>1995</t>
        </is>
      </c>
      <c r="N510" t="inlineStr">
        <is>
          <t>2nd ed.</t>
        </is>
      </c>
      <c r="O510" t="inlineStr">
        <is>
          <t>eng</t>
        </is>
      </c>
      <c r="P510" t="inlineStr">
        <is>
          <t>mau</t>
        </is>
      </c>
      <c r="R510" t="inlineStr">
        <is>
          <t xml:space="preserve">RC </t>
        </is>
      </c>
      <c r="S510" t="n">
        <v>7</v>
      </c>
      <c r="T510" t="n">
        <v>7</v>
      </c>
      <c r="U510" t="inlineStr">
        <is>
          <t>1999-09-24</t>
        </is>
      </c>
      <c r="V510" t="inlineStr">
        <is>
          <t>1999-09-24</t>
        </is>
      </c>
      <c r="W510" t="inlineStr">
        <is>
          <t>1996-12-18</t>
        </is>
      </c>
      <c r="X510" t="inlineStr">
        <is>
          <t>1996-12-18</t>
        </is>
      </c>
      <c r="Y510" t="n">
        <v>106</v>
      </c>
      <c r="Z510" t="n">
        <v>91</v>
      </c>
      <c r="AA510" t="n">
        <v>464</v>
      </c>
      <c r="AB510" t="n">
        <v>3</v>
      </c>
      <c r="AC510" t="n">
        <v>5</v>
      </c>
      <c r="AD510" t="n">
        <v>1</v>
      </c>
      <c r="AE510" t="n">
        <v>13</v>
      </c>
      <c r="AF510" t="n">
        <v>0</v>
      </c>
      <c r="AG510" t="n">
        <v>6</v>
      </c>
      <c r="AH510" t="n">
        <v>0</v>
      </c>
      <c r="AI510" t="n">
        <v>2</v>
      </c>
      <c r="AJ510" t="n">
        <v>0</v>
      </c>
      <c r="AK510" t="n">
        <v>5</v>
      </c>
      <c r="AL510" t="n">
        <v>1</v>
      </c>
      <c r="AM510" t="n">
        <v>3</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HYPERLINK("https://creighton-primo.hosted.exlibrisgroup.com/primo-explore/search?tab=default_tab&amp;search_scope=EVERYTHING&amp;vid=01CRU&amp;lang=en_US&amp;offset=0&amp;query=any,contains,991002663989702656","Catalog Record")</f>
        <v/>
      </c>
      <c r="AT510">
        <f>HYPERLINK("http://www.worldcat.org/oclc/34835142","WorldCat Record")</f>
        <v/>
      </c>
      <c r="AU510" t="inlineStr">
        <is>
          <t>836713496:eng</t>
        </is>
      </c>
      <c r="AV510" t="inlineStr">
        <is>
          <t>34835142</t>
        </is>
      </c>
      <c r="AW510" t="inlineStr">
        <is>
          <t>991002663989702656</t>
        </is>
      </c>
      <c r="AX510" t="inlineStr">
        <is>
          <t>991002663989702656</t>
        </is>
      </c>
      <c r="AY510" t="inlineStr">
        <is>
          <t>2261876520002656</t>
        </is>
      </c>
      <c r="AZ510" t="inlineStr">
        <is>
          <t>BOOK</t>
        </is>
      </c>
      <c r="BB510" t="inlineStr">
        <is>
          <t>9781883536015</t>
        </is>
      </c>
      <c r="BC510" t="inlineStr">
        <is>
          <t>32285002394954</t>
        </is>
      </c>
      <c r="BD510" t="inlineStr">
        <is>
          <t>893427849</t>
        </is>
      </c>
    </row>
    <row r="511">
      <c r="A511" t="inlineStr">
        <is>
          <t>No</t>
        </is>
      </c>
      <c r="B511" t="inlineStr">
        <is>
          <t>RC454.4 .D68</t>
        </is>
      </c>
      <c r="C511" t="inlineStr">
        <is>
          <t>0                      RC 0454400D  68</t>
        </is>
      </c>
      <c r="D511" t="inlineStr">
        <is>
          <t>Double bind : the foundation of the communicational approach to the family / edited by Carlos E. Sluzki, Donald C. Ransom.</t>
        </is>
      </c>
      <c r="F511" t="inlineStr">
        <is>
          <t>No</t>
        </is>
      </c>
      <c r="G511" t="inlineStr">
        <is>
          <t>1</t>
        </is>
      </c>
      <c r="H511" t="inlineStr">
        <is>
          <t>No</t>
        </is>
      </c>
      <c r="I511" t="inlineStr">
        <is>
          <t>No</t>
        </is>
      </c>
      <c r="J511" t="inlineStr">
        <is>
          <t>0</t>
        </is>
      </c>
      <c r="L511" t="inlineStr">
        <is>
          <t>New York : Grune &amp; Stratton ; London : distributed in the United Kingdom by Academic Press, c1976.</t>
        </is>
      </c>
      <c r="M511" t="inlineStr">
        <is>
          <t>1976</t>
        </is>
      </c>
      <c r="O511" t="inlineStr">
        <is>
          <t>eng</t>
        </is>
      </c>
      <c r="P511" t="inlineStr">
        <is>
          <t>nyu</t>
        </is>
      </c>
      <c r="R511" t="inlineStr">
        <is>
          <t xml:space="preserve">RC </t>
        </is>
      </c>
      <c r="S511" t="n">
        <v>0</v>
      </c>
      <c r="T511" t="n">
        <v>0</v>
      </c>
      <c r="U511" t="inlineStr">
        <is>
          <t>2007-06-04</t>
        </is>
      </c>
      <c r="V511" t="inlineStr">
        <is>
          <t>2007-06-04</t>
        </is>
      </c>
      <c r="W511" t="inlineStr">
        <is>
          <t>1997-08-11</t>
        </is>
      </c>
      <c r="X511" t="inlineStr">
        <is>
          <t>1997-08-11</t>
        </is>
      </c>
      <c r="Y511" t="n">
        <v>353</v>
      </c>
      <c r="Z511" t="n">
        <v>253</v>
      </c>
      <c r="AA511" t="n">
        <v>254</v>
      </c>
      <c r="AB511" t="n">
        <v>3</v>
      </c>
      <c r="AC511" t="n">
        <v>3</v>
      </c>
      <c r="AD511" t="n">
        <v>11</v>
      </c>
      <c r="AE511" t="n">
        <v>11</v>
      </c>
      <c r="AF511" t="n">
        <v>4</v>
      </c>
      <c r="AG511" t="n">
        <v>4</v>
      </c>
      <c r="AH511" t="n">
        <v>3</v>
      </c>
      <c r="AI511" t="n">
        <v>3</v>
      </c>
      <c r="AJ511" t="n">
        <v>6</v>
      </c>
      <c r="AK511" t="n">
        <v>6</v>
      </c>
      <c r="AL511" t="n">
        <v>1</v>
      </c>
      <c r="AM511" t="n">
        <v>1</v>
      </c>
      <c r="AN511" t="n">
        <v>0</v>
      </c>
      <c r="AO511" t="n">
        <v>0</v>
      </c>
      <c r="AP511" t="inlineStr">
        <is>
          <t>No</t>
        </is>
      </c>
      <c r="AQ511" t="inlineStr">
        <is>
          <t>Yes</t>
        </is>
      </c>
      <c r="AR511">
        <f>HYPERLINK("http://catalog.hathitrust.org/Record/007480971","HathiTrust Record")</f>
        <v/>
      </c>
      <c r="AS511">
        <f>HYPERLINK("https://creighton-primo.hosted.exlibrisgroup.com/primo-explore/search?tab=default_tab&amp;search_scope=EVERYTHING&amp;vid=01CRU&amp;lang=en_US&amp;offset=0&amp;query=any,contains,991004223109702656","Catalog Record")</f>
        <v/>
      </c>
      <c r="AT511">
        <f>HYPERLINK("http://www.worldcat.org/oclc/2719002","WorldCat Record")</f>
        <v/>
      </c>
      <c r="AU511" t="inlineStr">
        <is>
          <t>3945660620:eng</t>
        </is>
      </c>
      <c r="AV511" t="inlineStr">
        <is>
          <t>2719002</t>
        </is>
      </c>
      <c r="AW511" t="inlineStr">
        <is>
          <t>991004223109702656</t>
        </is>
      </c>
      <c r="AX511" t="inlineStr">
        <is>
          <t>991004223109702656</t>
        </is>
      </c>
      <c r="AY511" t="inlineStr">
        <is>
          <t>2272468770002656</t>
        </is>
      </c>
      <c r="AZ511" t="inlineStr">
        <is>
          <t>BOOK</t>
        </is>
      </c>
      <c r="BB511" t="inlineStr">
        <is>
          <t>9780808909507</t>
        </is>
      </c>
      <c r="BC511" t="inlineStr">
        <is>
          <t>32285003090585</t>
        </is>
      </c>
      <c r="BD511" t="inlineStr">
        <is>
          <t>893229078</t>
        </is>
      </c>
    </row>
    <row r="512">
      <c r="A512" t="inlineStr">
        <is>
          <t>No</t>
        </is>
      </c>
      <c r="B512" t="inlineStr">
        <is>
          <t>RC454.4 .P76</t>
        </is>
      </c>
      <c r="C512" t="inlineStr">
        <is>
          <t>0                      RC 0454400P  76</t>
        </is>
      </c>
      <c r="D512" t="inlineStr">
        <is>
          <t>Psychologists in health care settings / guest editors, Simon H. Budman and Donald Wertlieb.</t>
        </is>
      </c>
      <c r="F512" t="inlineStr">
        <is>
          <t>No</t>
        </is>
      </c>
      <c r="G512" t="inlineStr">
        <is>
          <t>1</t>
        </is>
      </c>
      <c r="H512" t="inlineStr">
        <is>
          <t>No</t>
        </is>
      </c>
      <c r="I512" t="inlineStr">
        <is>
          <t>No</t>
        </is>
      </c>
      <c r="J512" t="inlineStr">
        <is>
          <t>0</t>
        </is>
      </c>
      <c r="L512" t="inlineStr">
        <is>
          <t>Washington : American Psychological Association, c1979.</t>
        </is>
      </c>
      <c r="M512" t="inlineStr">
        <is>
          <t>1979</t>
        </is>
      </c>
      <c r="O512" t="inlineStr">
        <is>
          <t>eng</t>
        </is>
      </c>
      <c r="P512" t="inlineStr">
        <is>
          <t>dcu</t>
        </is>
      </c>
      <c r="Q512" t="inlineStr">
        <is>
          <t>Professional psychology ; v. 10, no. 4</t>
        </is>
      </c>
      <c r="R512" t="inlineStr">
        <is>
          <t xml:space="preserve">RC </t>
        </is>
      </c>
      <c r="S512" t="n">
        <v>1</v>
      </c>
      <c r="T512" t="n">
        <v>1</v>
      </c>
      <c r="U512" t="inlineStr">
        <is>
          <t>1997-10-20</t>
        </is>
      </c>
      <c r="V512" t="inlineStr">
        <is>
          <t>1997-10-20</t>
        </is>
      </c>
      <c r="W512" t="inlineStr">
        <is>
          <t>1993-03-19</t>
        </is>
      </c>
      <c r="X512" t="inlineStr">
        <is>
          <t>1993-03-19</t>
        </is>
      </c>
      <c r="Y512" t="n">
        <v>11</v>
      </c>
      <c r="Z512" t="n">
        <v>10</v>
      </c>
      <c r="AA512" t="n">
        <v>10</v>
      </c>
      <c r="AB512" t="n">
        <v>1</v>
      </c>
      <c r="AC512" t="n">
        <v>1</v>
      </c>
      <c r="AD512" t="n">
        <v>1</v>
      </c>
      <c r="AE512" t="n">
        <v>1</v>
      </c>
      <c r="AF512" t="n">
        <v>0</v>
      </c>
      <c r="AG512" t="n">
        <v>0</v>
      </c>
      <c r="AH512" t="n">
        <v>0</v>
      </c>
      <c r="AI512" t="n">
        <v>0</v>
      </c>
      <c r="AJ512" t="n">
        <v>1</v>
      </c>
      <c r="AK512" t="n">
        <v>1</v>
      </c>
      <c r="AL512" t="n">
        <v>0</v>
      </c>
      <c r="AM512" t="n">
        <v>0</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HYPERLINK("https://creighton-primo.hosted.exlibrisgroup.com/primo-explore/search?tab=default_tab&amp;search_scope=EVERYTHING&amp;vid=01CRU&amp;lang=en_US&amp;offset=0&amp;query=any,contains,991004921779702656","Catalog Record")</f>
        <v/>
      </c>
      <c r="AT512">
        <f>HYPERLINK("http://www.worldcat.org/oclc/6050057","WorldCat Record")</f>
        <v/>
      </c>
      <c r="AU512" t="inlineStr">
        <is>
          <t>20460447:eng</t>
        </is>
      </c>
      <c r="AV512" t="inlineStr">
        <is>
          <t>6050057</t>
        </is>
      </c>
      <c r="AW512" t="inlineStr">
        <is>
          <t>991004921779702656</t>
        </is>
      </c>
      <c r="AX512" t="inlineStr">
        <is>
          <t>991004921779702656</t>
        </is>
      </c>
      <c r="AY512" t="inlineStr">
        <is>
          <t>2267008110002656</t>
        </is>
      </c>
      <c r="AZ512" t="inlineStr">
        <is>
          <t>BOOK</t>
        </is>
      </c>
      <c r="BC512" t="inlineStr">
        <is>
          <t>32285001605764</t>
        </is>
      </c>
      <c r="BD512" t="inlineStr">
        <is>
          <t>893418146</t>
        </is>
      </c>
    </row>
    <row r="513">
      <c r="A513" t="inlineStr">
        <is>
          <t>No</t>
        </is>
      </c>
      <c r="B513" t="inlineStr">
        <is>
          <t>RC454.4 .R87 1993</t>
        </is>
      </c>
      <c r="C513" t="inlineStr">
        <is>
          <t>0                      RC 0454400R  87          1993</t>
        </is>
      </c>
      <c r="D513" t="inlineStr">
        <is>
          <t>Developing minds : challenge and continuity across the life span / Michael and Marjorie Rutter.</t>
        </is>
      </c>
      <c r="F513" t="inlineStr">
        <is>
          <t>No</t>
        </is>
      </c>
      <c r="G513" t="inlineStr">
        <is>
          <t>1</t>
        </is>
      </c>
      <c r="H513" t="inlineStr">
        <is>
          <t>No</t>
        </is>
      </c>
      <c r="I513" t="inlineStr">
        <is>
          <t>No</t>
        </is>
      </c>
      <c r="J513" t="inlineStr">
        <is>
          <t>0</t>
        </is>
      </c>
      <c r="K513" t="inlineStr">
        <is>
          <t>Rutter, Michael, 1953-</t>
        </is>
      </c>
      <c r="L513" t="inlineStr">
        <is>
          <t>New York, NY : BasicBooks, c1993.</t>
        </is>
      </c>
      <c r="M513" t="inlineStr">
        <is>
          <t>1993</t>
        </is>
      </c>
      <c r="O513" t="inlineStr">
        <is>
          <t>eng</t>
        </is>
      </c>
      <c r="P513" t="inlineStr">
        <is>
          <t>nyu</t>
        </is>
      </c>
      <c r="R513" t="inlineStr">
        <is>
          <t xml:space="preserve">RC </t>
        </is>
      </c>
      <c r="S513" t="n">
        <v>2</v>
      </c>
      <c r="T513" t="n">
        <v>2</v>
      </c>
      <c r="U513" t="inlineStr">
        <is>
          <t>1995-11-30</t>
        </is>
      </c>
      <c r="V513" t="inlineStr">
        <is>
          <t>1995-11-30</t>
        </is>
      </c>
      <c r="W513" t="inlineStr">
        <is>
          <t>1993-11-02</t>
        </is>
      </c>
      <c r="X513" t="inlineStr">
        <is>
          <t>1993-11-02</t>
        </is>
      </c>
      <c r="Y513" t="n">
        <v>398</v>
      </c>
      <c r="Z513" t="n">
        <v>330</v>
      </c>
      <c r="AA513" t="n">
        <v>351</v>
      </c>
      <c r="AB513" t="n">
        <v>2</v>
      </c>
      <c r="AC513" t="n">
        <v>2</v>
      </c>
      <c r="AD513" t="n">
        <v>15</v>
      </c>
      <c r="AE513" t="n">
        <v>15</v>
      </c>
      <c r="AF513" t="n">
        <v>5</v>
      </c>
      <c r="AG513" t="n">
        <v>5</v>
      </c>
      <c r="AH513" t="n">
        <v>6</v>
      </c>
      <c r="AI513" t="n">
        <v>6</v>
      </c>
      <c r="AJ513" t="n">
        <v>9</v>
      </c>
      <c r="AK513" t="n">
        <v>9</v>
      </c>
      <c r="AL513" t="n">
        <v>1</v>
      </c>
      <c r="AM513" t="n">
        <v>1</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HYPERLINK("https://creighton-primo.hosted.exlibrisgroup.com/primo-explore/search?tab=default_tab&amp;search_scope=EVERYTHING&amp;vid=01CRU&amp;lang=en_US&amp;offset=0&amp;query=any,contains,991002086359702656","Catalog Record")</f>
        <v/>
      </c>
      <c r="AT513">
        <f>HYPERLINK("http://www.worldcat.org/oclc/26766986","WorldCat Record")</f>
        <v/>
      </c>
      <c r="AU513" t="inlineStr">
        <is>
          <t>820037808:eng</t>
        </is>
      </c>
      <c r="AV513" t="inlineStr">
        <is>
          <t>26766986</t>
        </is>
      </c>
      <c r="AW513" t="inlineStr">
        <is>
          <t>991002086359702656</t>
        </is>
      </c>
      <c r="AX513" t="inlineStr">
        <is>
          <t>991002086359702656</t>
        </is>
      </c>
      <c r="AY513" t="inlineStr">
        <is>
          <t>2269128560002656</t>
        </is>
      </c>
      <c r="AZ513" t="inlineStr">
        <is>
          <t>BOOK</t>
        </is>
      </c>
      <c r="BB513" t="inlineStr">
        <is>
          <t>9780465010370</t>
        </is>
      </c>
      <c r="BC513" t="inlineStr">
        <is>
          <t>32285001789865</t>
        </is>
      </c>
      <c r="BD513" t="inlineStr">
        <is>
          <t>893697320</t>
        </is>
      </c>
    </row>
    <row r="514">
      <c r="A514" t="inlineStr">
        <is>
          <t>No</t>
        </is>
      </c>
      <c r="B514" t="inlineStr">
        <is>
          <t>RC454.4 .W37 1982</t>
        </is>
      </c>
      <c r="C514" t="inlineStr">
        <is>
          <t>0                      RC 0454400W  37          1982</t>
        </is>
      </c>
      <c r="D514" t="inlineStr">
        <is>
          <t>Psychopathology, from infancy through adolescence : a developmental approach / Charles Wenar.</t>
        </is>
      </c>
      <c r="F514" t="inlineStr">
        <is>
          <t>No</t>
        </is>
      </c>
      <c r="G514" t="inlineStr">
        <is>
          <t>1</t>
        </is>
      </c>
      <c r="H514" t="inlineStr">
        <is>
          <t>No</t>
        </is>
      </c>
      <c r="I514" t="inlineStr">
        <is>
          <t>No</t>
        </is>
      </c>
      <c r="J514" t="inlineStr">
        <is>
          <t>0</t>
        </is>
      </c>
      <c r="K514" t="inlineStr">
        <is>
          <t>Wenar, Charles, 1922-</t>
        </is>
      </c>
      <c r="L514" t="inlineStr">
        <is>
          <t>New York, NY : Random House, c1982.</t>
        </is>
      </c>
      <c r="M514" t="inlineStr">
        <is>
          <t>1982</t>
        </is>
      </c>
      <c r="N514" t="inlineStr">
        <is>
          <t>1st ed.</t>
        </is>
      </c>
      <c r="O514" t="inlineStr">
        <is>
          <t>eng</t>
        </is>
      </c>
      <c r="P514" t="inlineStr">
        <is>
          <t>nyu</t>
        </is>
      </c>
      <c r="R514" t="inlineStr">
        <is>
          <t xml:space="preserve">RC </t>
        </is>
      </c>
      <c r="S514" t="n">
        <v>7</v>
      </c>
      <c r="T514" t="n">
        <v>7</v>
      </c>
      <c r="U514" t="inlineStr">
        <is>
          <t>1995-02-15</t>
        </is>
      </c>
      <c r="V514" t="inlineStr">
        <is>
          <t>1995-02-15</t>
        </is>
      </c>
      <c r="W514" t="inlineStr">
        <is>
          <t>1992-01-14</t>
        </is>
      </c>
      <c r="X514" t="inlineStr">
        <is>
          <t>1992-01-14</t>
        </is>
      </c>
      <c r="Y514" t="n">
        <v>149</v>
      </c>
      <c r="Z514" t="n">
        <v>122</v>
      </c>
      <c r="AA514" t="n">
        <v>124</v>
      </c>
      <c r="AB514" t="n">
        <v>1</v>
      </c>
      <c r="AC514" t="n">
        <v>1</v>
      </c>
      <c r="AD514" t="n">
        <v>2</v>
      </c>
      <c r="AE514" t="n">
        <v>2</v>
      </c>
      <c r="AF514" t="n">
        <v>0</v>
      </c>
      <c r="AG514" t="n">
        <v>0</v>
      </c>
      <c r="AH514" t="n">
        <v>0</v>
      </c>
      <c r="AI514" t="n">
        <v>0</v>
      </c>
      <c r="AJ514" t="n">
        <v>2</v>
      </c>
      <c r="AK514" t="n">
        <v>2</v>
      </c>
      <c r="AL514" t="n">
        <v>0</v>
      </c>
      <c r="AM514" t="n">
        <v>0</v>
      </c>
      <c r="AN514" t="n">
        <v>0</v>
      </c>
      <c r="AO514" t="n">
        <v>0</v>
      </c>
      <c r="AP514" t="inlineStr">
        <is>
          <t>No</t>
        </is>
      </c>
      <c r="AQ514" t="inlineStr">
        <is>
          <t>Yes</t>
        </is>
      </c>
      <c r="AR514">
        <f>HYPERLINK("http://catalog.hathitrust.org/Record/000284445","HathiTrust Record")</f>
        <v/>
      </c>
      <c r="AS514">
        <f>HYPERLINK("https://creighton-primo.hosted.exlibrisgroup.com/primo-explore/search?tab=default_tab&amp;search_scope=EVERYTHING&amp;vid=01CRU&amp;lang=en_US&amp;offset=0&amp;query=any,contains,991005245939702656","Catalog Record")</f>
        <v/>
      </c>
      <c r="AT514">
        <f>HYPERLINK("http://www.worldcat.org/oclc/8452477","WorldCat Record")</f>
        <v/>
      </c>
      <c r="AU514" t="inlineStr">
        <is>
          <t>3901769120:eng</t>
        </is>
      </c>
      <c r="AV514" t="inlineStr">
        <is>
          <t>8452477</t>
        </is>
      </c>
      <c r="AW514" t="inlineStr">
        <is>
          <t>991005245939702656</t>
        </is>
      </c>
      <c r="AX514" t="inlineStr">
        <is>
          <t>991005245939702656</t>
        </is>
      </c>
      <c r="AY514" t="inlineStr">
        <is>
          <t>2262913980002656</t>
        </is>
      </c>
      <c r="AZ514" t="inlineStr">
        <is>
          <t>BOOK</t>
        </is>
      </c>
      <c r="BB514" t="inlineStr">
        <is>
          <t>9780394323961</t>
        </is>
      </c>
      <c r="BC514" t="inlineStr">
        <is>
          <t>32285000913029</t>
        </is>
      </c>
      <c r="BD514" t="inlineStr">
        <is>
          <t>893613379</t>
        </is>
      </c>
    </row>
    <row r="515">
      <c r="A515" t="inlineStr">
        <is>
          <t>No</t>
        </is>
      </c>
      <c r="B515" t="inlineStr">
        <is>
          <t>RC455 .B3313</t>
        </is>
      </c>
      <c r="C515" t="inlineStr">
        <is>
          <t>0                      RC 0455000B  3313</t>
        </is>
      </c>
      <c r="D515" t="inlineStr">
        <is>
          <t>The sociology of mental disorder / translated by Jean McNeil.</t>
        </is>
      </c>
      <c r="F515" t="inlineStr">
        <is>
          <t>No</t>
        </is>
      </c>
      <c r="G515" t="inlineStr">
        <is>
          <t>1</t>
        </is>
      </c>
      <c r="H515" t="inlineStr">
        <is>
          <t>No</t>
        </is>
      </c>
      <c r="I515" t="inlineStr">
        <is>
          <t>No</t>
        </is>
      </c>
      <c r="J515" t="inlineStr">
        <is>
          <t>0</t>
        </is>
      </c>
      <c r="K515" t="inlineStr">
        <is>
          <t>Bastide, Roger, 1898-1974.</t>
        </is>
      </c>
      <c r="L515" t="inlineStr">
        <is>
          <t>New York : D. McKay Co., [1972]</t>
        </is>
      </c>
      <c r="M515" t="inlineStr">
        <is>
          <t>1972</t>
        </is>
      </c>
      <c r="O515" t="inlineStr">
        <is>
          <t>eng</t>
        </is>
      </c>
      <c r="P515" t="inlineStr">
        <is>
          <t>nyu</t>
        </is>
      </c>
      <c r="R515" t="inlineStr">
        <is>
          <t xml:space="preserve">RC </t>
        </is>
      </c>
      <c r="S515" t="n">
        <v>14</v>
      </c>
      <c r="T515" t="n">
        <v>14</v>
      </c>
      <c r="U515" t="inlineStr">
        <is>
          <t>1999-04-06</t>
        </is>
      </c>
      <c r="V515" t="inlineStr">
        <is>
          <t>1999-04-06</t>
        </is>
      </c>
      <c r="W515" t="inlineStr">
        <is>
          <t>1994-05-12</t>
        </is>
      </c>
      <c r="X515" t="inlineStr">
        <is>
          <t>1994-05-12</t>
        </is>
      </c>
      <c r="Y515" t="n">
        <v>238</v>
      </c>
      <c r="Z515" t="n">
        <v>224</v>
      </c>
      <c r="AA515" t="n">
        <v>260</v>
      </c>
      <c r="AB515" t="n">
        <v>2</v>
      </c>
      <c r="AC515" t="n">
        <v>2</v>
      </c>
      <c r="AD515" t="n">
        <v>11</v>
      </c>
      <c r="AE515" t="n">
        <v>11</v>
      </c>
      <c r="AF515" t="n">
        <v>2</v>
      </c>
      <c r="AG515" t="n">
        <v>2</v>
      </c>
      <c r="AH515" t="n">
        <v>4</v>
      </c>
      <c r="AI515" t="n">
        <v>4</v>
      </c>
      <c r="AJ515" t="n">
        <v>6</v>
      </c>
      <c r="AK515" t="n">
        <v>6</v>
      </c>
      <c r="AL515" t="n">
        <v>1</v>
      </c>
      <c r="AM515" t="n">
        <v>1</v>
      </c>
      <c r="AN515" t="n">
        <v>0</v>
      </c>
      <c r="AO515" t="n">
        <v>0</v>
      </c>
      <c r="AP515" t="inlineStr">
        <is>
          <t>No</t>
        </is>
      </c>
      <c r="AQ515" t="inlineStr">
        <is>
          <t>No</t>
        </is>
      </c>
      <c r="AS515">
        <f>HYPERLINK("https://creighton-primo.hosted.exlibrisgroup.com/primo-explore/search?tab=default_tab&amp;search_scope=EVERYTHING&amp;vid=01CRU&amp;lang=en_US&amp;offset=0&amp;query=any,contains,991002273579702656","Catalog Record")</f>
        <v/>
      </c>
      <c r="AT515">
        <f>HYPERLINK("http://www.worldcat.org/oclc/309353","WorldCat Record")</f>
        <v/>
      </c>
      <c r="AU515" t="inlineStr">
        <is>
          <t>1367144:eng</t>
        </is>
      </c>
      <c r="AV515" t="inlineStr">
        <is>
          <t>309353</t>
        </is>
      </c>
      <c r="AW515" t="inlineStr">
        <is>
          <t>991002273579702656</t>
        </is>
      </c>
      <c r="AX515" t="inlineStr">
        <is>
          <t>991002273579702656</t>
        </is>
      </c>
      <c r="AY515" t="inlineStr">
        <is>
          <t>2264688500002656</t>
        </is>
      </c>
      <c r="AZ515" t="inlineStr">
        <is>
          <t>BOOK</t>
        </is>
      </c>
      <c r="BC515" t="inlineStr">
        <is>
          <t>32285001910719</t>
        </is>
      </c>
      <c r="BD515" t="inlineStr">
        <is>
          <t>893244977</t>
        </is>
      </c>
    </row>
    <row r="516">
      <c r="A516" t="inlineStr">
        <is>
          <t>No</t>
        </is>
      </c>
      <c r="B516" t="inlineStr">
        <is>
          <t>RC455 .F6</t>
        </is>
      </c>
      <c r="C516" t="inlineStr">
        <is>
          <t>0                      RC 0455000F  6</t>
        </is>
      </c>
      <c r="D516" t="inlineStr">
        <is>
          <t>Personality and personal illness [by] G.A. Foulds, in collaboration with T.M. Caine and with the assistance of Anne Adams and Anna Owen.</t>
        </is>
      </c>
      <c r="F516" t="inlineStr">
        <is>
          <t>No</t>
        </is>
      </c>
      <c r="G516" t="inlineStr">
        <is>
          <t>1</t>
        </is>
      </c>
      <c r="H516" t="inlineStr">
        <is>
          <t>No</t>
        </is>
      </c>
      <c r="I516" t="inlineStr">
        <is>
          <t>No</t>
        </is>
      </c>
      <c r="J516" t="inlineStr">
        <is>
          <t>0</t>
        </is>
      </c>
      <c r="K516" t="inlineStr">
        <is>
          <t>Foulds, G. A.</t>
        </is>
      </c>
      <c r="L516" t="inlineStr">
        <is>
          <t>[London] Tavistock Publications [1965]</t>
        </is>
      </c>
      <c r="M516" t="inlineStr">
        <is>
          <t>1965</t>
        </is>
      </c>
      <c r="O516" t="inlineStr">
        <is>
          <t>eng</t>
        </is>
      </c>
      <c r="P516" t="inlineStr">
        <is>
          <t>enk</t>
        </is>
      </c>
      <c r="R516" t="inlineStr">
        <is>
          <t xml:space="preserve">RC </t>
        </is>
      </c>
      <c r="S516" t="n">
        <v>3</v>
      </c>
      <c r="T516" t="n">
        <v>3</v>
      </c>
      <c r="U516" t="inlineStr">
        <is>
          <t>1997-09-24</t>
        </is>
      </c>
      <c r="V516" t="inlineStr">
        <is>
          <t>1997-09-24</t>
        </is>
      </c>
      <c r="W516" t="inlineStr">
        <is>
          <t>1997-08-11</t>
        </is>
      </c>
      <c r="X516" t="inlineStr">
        <is>
          <t>1997-08-11</t>
        </is>
      </c>
      <c r="Y516" t="n">
        <v>250</v>
      </c>
      <c r="Z516" t="n">
        <v>150</v>
      </c>
      <c r="AA516" t="n">
        <v>170</v>
      </c>
      <c r="AB516" t="n">
        <v>3</v>
      </c>
      <c r="AC516" t="n">
        <v>3</v>
      </c>
      <c r="AD516" t="n">
        <v>9</v>
      </c>
      <c r="AE516" t="n">
        <v>10</v>
      </c>
      <c r="AF516" t="n">
        <v>1</v>
      </c>
      <c r="AG516" t="n">
        <v>1</v>
      </c>
      <c r="AH516" t="n">
        <v>2</v>
      </c>
      <c r="AI516" t="n">
        <v>2</v>
      </c>
      <c r="AJ516" t="n">
        <v>5</v>
      </c>
      <c r="AK516" t="n">
        <v>6</v>
      </c>
      <c r="AL516" t="n">
        <v>2</v>
      </c>
      <c r="AM516" t="n">
        <v>2</v>
      </c>
      <c r="AN516" t="n">
        <v>0</v>
      </c>
      <c r="AO516" t="n">
        <v>0</v>
      </c>
      <c r="AP516" t="inlineStr">
        <is>
          <t>No</t>
        </is>
      </c>
      <c r="AQ516" t="inlineStr">
        <is>
          <t>Yes</t>
        </is>
      </c>
      <c r="AR516">
        <f>HYPERLINK("http://catalog.hathitrust.org/Record/001564045","HathiTrust Record")</f>
        <v/>
      </c>
      <c r="AS516">
        <f>HYPERLINK("https://creighton-primo.hosted.exlibrisgroup.com/primo-explore/search?tab=default_tab&amp;search_scope=EVERYTHING&amp;vid=01CRU&amp;lang=en_US&amp;offset=0&amp;query=any,contains,991003089659702656","Catalog Record")</f>
        <v/>
      </c>
      <c r="AT516">
        <f>HYPERLINK("http://www.worldcat.org/oclc/640142","WorldCat Record")</f>
        <v/>
      </c>
      <c r="AU516" t="inlineStr">
        <is>
          <t>1785162:eng</t>
        </is>
      </c>
      <c r="AV516" t="inlineStr">
        <is>
          <t>640142</t>
        </is>
      </c>
      <c r="AW516" t="inlineStr">
        <is>
          <t>991003089659702656</t>
        </is>
      </c>
      <c r="AX516" t="inlineStr">
        <is>
          <t>991003089659702656</t>
        </is>
      </c>
      <c r="AY516" t="inlineStr">
        <is>
          <t>2263469280002656</t>
        </is>
      </c>
      <c r="AZ516" t="inlineStr">
        <is>
          <t>BOOK</t>
        </is>
      </c>
      <c r="BC516" t="inlineStr">
        <is>
          <t>32285003090627</t>
        </is>
      </c>
      <c r="BD516" t="inlineStr">
        <is>
          <t>893704891</t>
        </is>
      </c>
    </row>
    <row r="517">
      <c r="A517" t="inlineStr">
        <is>
          <t>No</t>
        </is>
      </c>
      <c r="B517" t="inlineStr">
        <is>
          <t>RC455 .G23</t>
        </is>
      </c>
      <c r="C517" t="inlineStr">
        <is>
          <t>0                      RC 0455000G  23</t>
        </is>
      </c>
      <c r="D517" t="inlineStr">
        <is>
          <t>A sociology of mental illness / Bernard J. Gallagher.</t>
        </is>
      </c>
      <c r="F517" t="inlineStr">
        <is>
          <t>No</t>
        </is>
      </c>
      <c r="G517" t="inlineStr">
        <is>
          <t>1</t>
        </is>
      </c>
      <c r="H517" t="inlineStr">
        <is>
          <t>No</t>
        </is>
      </c>
      <c r="I517" t="inlineStr">
        <is>
          <t>No</t>
        </is>
      </c>
      <c r="J517" t="inlineStr">
        <is>
          <t>0</t>
        </is>
      </c>
      <c r="K517" t="inlineStr">
        <is>
          <t>Gallagher, Bernard J., 1936-</t>
        </is>
      </c>
      <c r="L517" t="inlineStr">
        <is>
          <t>Englewood Cliffs, N.J. : Prentice-hall, c1980.</t>
        </is>
      </c>
      <c r="M517" t="inlineStr">
        <is>
          <t>1980</t>
        </is>
      </c>
      <c r="O517" t="inlineStr">
        <is>
          <t>eng</t>
        </is>
      </c>
      <c r="P517" t="inlineStr">
        <is>
          <t>nju</t>
        </is>
      </c>
      <c r="R517" t="inlineStr">
        <is>
          <t xml:space="preserve">RC </t>
        </is>
      </c>
      <c r="S517" t="n">
        <v>25</v>
      </c>
      <c r="T517" t="n">
        <v>25</v>
      </c>
      <c r="U517" t="inlineStr">
        <is>
          <t>2006-10-02</t>
        </is>
      </c>
      <c r="V517" t="inlineStr">
        <is>
          <t>2006-10-02</t>
        </is>
      </c>
      <c r="W517" t="inlineStr">
        <is>
          <t>1993-03-19</t>
        </is>
      </c>
      <c r="X517" t="inlineStr">
        <is>
          <t>1993-03-19</t>
        </is>
      </c>
      <c r="Y517" t="n">
        <v>278</v>
      </c>
      <c r="Z517" t="n">
        <v>213</v>
      </c>
      <c r="AA517" t="n">
        <v>373</v>
      </c>
      <c r="AB517" t="n">
        <v>2</v>
      </c>
      <c r="AC517" t="n">
        <v>4</v>
      </c>
      <c r="AD517" t="n">
        <v>5</v>
      </c>
      <c r="AE517" t="n">
        <v>14</v>
      </c>
      <c r="AF517" t="n">
        <v>2</v>
      </c>
      <c r="AG517" t="n">
        <v>4</v>
      </c>
      <c r="AH517" t="n">
        <v>0</v>
      </c>
      <c r="AI517" t="n">
        <v>3</v>
      </c>
      <c r="AJ517" t="n">
        <v>4</v>
      </c>
      <c r="AK517" t="n">
        <v>8</v>
      </c>
      <c r="AL517" t="n">
        <v>1</v>
      </c>
      <c r="AM517" t="n">
        <v>3</v>
      </c>
      <c r="AN517" t="n">
        <v>0</v>
      </c>
      <c r="AO517" t="n">
        <v>0</v>
      </c>
      <c r="AP517" t="inlineStr">
        <is>
          <t>No</t>
        </is>
      </c>
      <c r="AQ517" t="inlineStr">
        <is>
          <t>Yes</t>
        </is>
      </c>
      <c r="AR517">
        <f>HYPERLINK("http://catalog.hathitrust.org/Record/000691232","HathiTrust Record")</f>
        <v/>
      </c>
      <c r="AS517">
        <f>HYPERLINK("https://creighton-primo.hosted.exlibrisgroup.com/primo-explore/search?tab=default_tab&amp;search_scope=EVERYTHING&amp;vid=01CRU&amp;lang=en_US&amp;offset=0&amp;query=any,contains,991004840969702656","Catalog Record")</f>
        <v/>
      </c>
      <c r="AT517">
        <f>HYPERLINK("http://www.worldcat.org/oclc/5498142","WorldCat Record")</f>
        <v/>
      </c>
      <c r="AU517" t="inlineStr">
        <is>
          <t>8750139:eng</t>
        </is>
      </c>
      <c r="AV517" t="inlineStr">
        <is>
          <t>5498142</t>
        </is>
      </c>
      <c r="AW517" t="inlineStr">
        <is>
          <t>991004840969702656</t>
        </is>
      </c>
      <c r="AX517" t="inlineStr">
        <is>
          <t>991004840969702656</t>
        </is>
      </c>
      <c r="AY517" t="inlineStr">
        <is>
          <t>2263308020002656</t>
        </is>
      </c>
      <c r="AZ517" t="inlineStr">
        <is>
          <t>BOOK</t>
        </is>
      </c>
      <c r="BB517" t="inlineStr">
        <is>
          <t>9780138209285</t>
        </is>
      </c>
      <c r="BC517" t="inlineStr">
        <is>
          <t>32285001605798</t>
        </is>
      </c>
      <c r="BD517" t="inlineStr">
        <is>
          <t>893883014</t>
        </is>
      </c>
    </row>
    <row r="518">
      <c r="A518" t="inlineStr">
        <is>
          <t>No</t>
        </is>
      </c>
      <c r="B518" t="inlineStr">
        <is>
          <t>RC455 .H295</t>
        </is>
      </c>
      <c r="C518" t="inlineStr">
        <is>
          <t>0                      RC 0455000H  295</t>
        </is>
      </c>
      <c r="D518" t="inlineStr">
        <is>
          <t>Psychopathy: theory and research [by] Robert D. Hare.</t>
        </is>
      </c>
      <c r="F518" t="inlineStr">
        <is>
          <t>No</t>
        </is>
      </c>
      <c r="G518" t="inlineStr">
        <is>
          <t>1</t>
        </is>
      </c>
      <c r="H518" t="inlineStr">
        <is>
          <t>No</t>
        </is>
      </c>
      <c r="I518" t="inlineStr">
        <is>
          <t>No</t>
        </is>
      </c>
      <c r="J518" t="inlineStr">
        <is>
          <t>0</t>
        </is>
      </c>
      <c r="K518" t="inlineStr">
        <is>
          <t>Hare, Robert D., 1934-</t>
        </is>
      </c>
      <c r="L518" t="inlineStr">
        <is>
          <t>New York, Wiley [1970]</t>
        </is>
      </c>
      <c r="M518" t="inlineStr">
        <is>
          <t>1970</t>
        </is>
      </c>
      <c r="O518" t="inlineStr">
        <is>
          <t>eng</t>
        </is>
      </c>
      <c r="P518" t="inlineStr">
        <is>
          <t>nyu</t>
        </is>
      </c>
      <c r="Q518" t="inlineStr">
        <is>
          <t>Approaches to behavior pathology series</t>
        </is>
      </c>
      <c r="R518" t="inlineStr">
        <is>
          <t xml:space="preserve">RC </t>
        </is>
      </c>
      <c r="S518" t="n">
        <v>2</v>
      </c>
      <c r="T518" t="n">
        <v>2</v>
      </c>
      <c r="U518" t="inlineStr">
        <is>
          <t>1999-04-05</t>
        </is>
      </c>
      <c r="V518" t="inlineStr">
        <is>
          <t>1999-04-05</t>
        </is>
      </c>
      <c r="W518" t="inlineStr">
        <is>
          <t>1997-08-11</t>
        </is>
      </c>
      <c r="X518" t="inlineStr">
        <is>
          <t>1997-08-11</t>
        </is>
      </c>
      <c r="Y518" t="n">
        <v>637</v>
      </c>
      <c r="Z518" t="n">
        <v>476</v>
      </c>
      <c r="AA518" t="n">
        <v>479</v>
      </c>
      <c r="AB518" t="n">
        <v>8</v>
      </c>
      <c r="AC518" t="n">
        <v>8</v>
      </c>
      <c r="AD518" t="n">
        <v>21</v>
      </c>
      <c r="AE518" t="n">
        <v>21</v>
      </c>
      <c r="AF518" t="n">
        <v>7</v>
      </c>
      <c r="AG518" t="n">
        <v>7</v>
      </c>
      <c r="AH518" t="n">
        <v>5</v>
      </c>
      <c r="AI518" t="n">
        <v>5</v>
      </c>
      <c r="AJ518" t="n">
        <v>9</v>
      </c>
      <c r="AK518" t="n">
        <v>9</v>
      </c>
      <c r="AL518" t="n">
        <v>6</v>
      </c>
      <c r="AM518" t="n">
        <v>6</v>
      </c>
      <c r="AN518" t="n">
        <v>0</v>
      </c>
      <c r="AO518" t="n">
        <v>0</v>
      </c>
      <c r="AP518" t="inlineStr">
        <is>
          <t>No</t>
        </is>
      </c>
      <c r="AQ518" t="inlineStr">
        <is>
          <t>Yes</t>
        </is>
      </c>
      <c r="AR518">
        <f>HYPERLINK("http://catalog.hathitrust.org/Record/000099977","HathiTrust Record")</f>
        <v/>
      </c>
      <c r="AS518">
        <f>HYPERLINK("https://creighton-primo.hosted.exlibrisgroup.com/primo-explore/search?tab=default_tab&amp;search_scope=EVERYTHING&amp;vid=01CRU&amp;lang=en_US&amp;offset=0&amp;query=any,contains,991000564589702656","Catalog Record")</f>
        <v/>
      </c>
      <c r="AT518">
        <f>HYPERLINK("http://www.worldcat.org/oclc/93872","WorldCat Record")</f>
        <v/>
      </c>
      <c r="AU518" t="inlineStr">
        <is>
          <t>3901575054:eng</t>
        </is>
      </c>
      <c r="AV518" t="inlineStr">
        <is>
          <t>93872</t>
        </is>
      </c>
      <c r="AW518" t="inlineStr">
        <is>
          <t>991000564589702656</t>
        </is>
      </c>
      <c r="AX518" t="inlineStr">
        <is>
          <t>991000564589702656</t>
        </is>
      </c>
      <c r="AY518" t="inlineStr">
        <is>
          <t>22131709800002656</t>
        </is>
      </c>
      <c r="AZ518" t="inlineStr">
        <is>
          <t>BOOK</t>
        </is>
      </c>
      <c r="BB518" t="inlineStr">
        <is>
          <t>9780471351467</t>
        </is>
      </c>
      <c r="BC518" t="inlineStr">
        <is>
          <t>32285003090650</t>
        </is>
      </c>
      <c r="BD518" t="inlineStr">
        <is>
          <t>893231211</t>
        </is>
      </c>
    </row>
    <row r="519">
      <c r="A519" t="inlineStr">
        <is>
          <t>No</t>
        </is>
      </c>
      <c r="B519" t="inlineStr">
        <is>
          <t>RC455 .K5 1974</t>
        </is>
      </c>
      <c r="C519" t="inlineStr">
        <is>
          <t>0                      RC 0455000K  5           1974</t>
        </is>
      </c>
      <c r="D519" t="inlineStr">
        <is>
          <t>Magic, faith, and healing; studies in primitive psychiatry today. With a foreword by Jerome D. Frank.</t>
        </is>
      </c>
      <c r="F519" t="inlineStr">
        <is>
          <t>No</t>
        </is>
      </c>
      <c r="G519" t="inlineStr">
        <is>
          <t>1</t>
        </is>
      </c>
      <c r="H519" t="inlineStr">
        <is>
          <t>No</t>
        </is>
      </c>
      <c r="I519" t="inlineStr">
        <is>
          <t>No</t>
        </is>
      </c>
      <c r="J519" t="inlineStr">
        <is>
          <t>0</t>
        </is>
      </c>
      <c r="K519" t="inlineStr">
        <is>
          <t>Kiev, Ari editor.</t>
        </is>
      </c>
      <c r="L519" t="inlineStr">
        <is>
          <t>New York, Free Press of Glencoe [1974, c1964]</t>
        </is>
      </c>
      <c r="M519" t="inlineStr">
        <is>
          <t>1974</t>
        </is>
      </c>
      <c r="N519" t="inlineStr">
        <is>
          <t>[1st Free Press paperback ed.]</t>
        </is>
      </c>
      <c r="O519" t="inlineStr">
        <is>
          <t>eng</t>
        </is>
      </c>
      <c r="P519" t="inlineStr">
        <is>
          <t>___</t>
        </is>
      </c>
      <c r="R519" t="inlineStr">
        <is>
          <t xml:space="preserve">RC </t>
        </is>
      </c>
      <c r="S519" t="n">
        <v>6</v>
      </c>
      <c r="T519" t="n">
        <v>6</v>
      </c>
      <c r="U519" t="inlineStr">
        <is>
          <t>2001-04-17</t>
        </is>
      </c>
      <c r="V519" t="inlineStr">
        <is>
          <t>2001-04-17</t>
        </is>
      </c>
      <c r="W519" t="inlineStr">
        <is>
          <t>1991-12-06</t>
        </is>
      </c>
      <c r="X519" t="inlineStr">
        <is>
          <t>1991-12-06</t>
        </is>
      </c>
      <c r="Y519" t="n">
        <v>115</v>
      </c>
      <c r="Z519" t="n">
        <v>77</v>
      </c>
      <c r="AA519" t="n">
        <v>757</v>
      </c>
      <c r="AB519" t="n">
        <v>1</v>
      </c>
      <c r="AC519" t="n">
        <v>6</v>
      </c>
      <c r="AD519" t="n">
        <v>4</v>
      </c>
      <c r="AE519" t="n">
        <v>29</v>
      </c>
      <c r="AF519" t="n">
        <v>3</v>
      </c>
      <c r="AG519" t="n">
        <v>9</v>
      </c>
      <c r="AH519" t="n">
        <v>1</v>
      </c>
      <c r="AI519" t="n">
        <v>6</v>
      </c>
      <c r="AJ519" t="n">
        <v>1</v>
      </c>
      <c r="AK519" t="n">
        <v>14</v>
      </c>
      <c r="AL519" t="n">
        <v>0</v>
      </c>
      <c r="AM519" t="n">
        <v>5</v>
      </c>
      <c r="AN519" t="n">
        <v>0</v>
      </c>
      <c r="AO519" t="n">
        <v>0</v>
      </c>
      <c r="AP519" t="inlineStr">
        <is>
          <t>No</t>
        </is>
      </c>
      <c r="AQ519" t="inlineStr">
        <is>
          <t>Yes</t>
        </is>
      </c>
      <c r="AR519">
        <f>HYPERLINK("http://catalog.hathitrust.org/Record/000019983","HathiTrust Record")</f>
        <v/>
      </c>
      <c r="AS519">
        <f>HYPERLINK("https://creighton-primo.hosted.exlibrisgroup.com/primo-explore/search?tab=default_tab&amp;search_scope=EVERYTHING&amp;vid=01CRU&amp;lang=en_US&amp;offset=0&amp;query=any,contains,991003730779702656","Catalog Record")</f>
        <v/>
      </c>
      <c r="AT519">
        <f>HYPERLINK("http://www.worldcat.org/oclc/1382114","WorldCat Record")</f>
        <v/>
      </c>
      <c r="AU519" t="inlineStr">
        <is>
          <t>836690437:eng</t>
        </is>
      </c>
      <c r="AV519" t="inlineStr">
        <is>
          <t>1382114</t>
        </is>
      </c>
      <c r="AW519" t="inlineStr">
        <is>
          <t>991003730779702656</t>
        </is>
      </c>
      <c r="AX519" t="inlineStr">
        <is>
          <t>991003730779702656</t>
        </is>
      </c>
      <c r="AY519" t="inlineStr">
        <is>
          <t>2261552840002656</t>
        </is>
      </c>
      <c r="AZ519" t="inlineStr">
        <is>
          <t>BOOK</t>
        </is>
      </c>
      <c r="BC519" t="inlineStr">
        <is>
          <t>32285000837913</t>
        </is>
      </c>
      <c r="BD519" t="inlineStr">
        <is>
          <t>893598914</t>
        </is>
      </c>
    </row>
    <row r="520">
      <c r="A520" t="inlineStr">
        <is>
          <t>No</t>
        </is>
      </c>
      <c r="B520" t="inlineStr">
        <is>
          <t>RC455 .M275</t>
        </is>
      </c>
      <c r="C520" t="inlineStr">
        <is>
          <t>0                      RC 0455000M  275</t>
        </is>
      </c>
      <c r="D520" t="inlineStr">
        <is>
          <t>The social dimensions of mental illness, alchoholism [sic] and drug dependence / [by] Don Martindale and Edith Martindale.</t>
        </is>
      </c>
      <c r="F520" t="inlineStr">
        <is>
          <t>No</t>
        </is>
      </c>
      <c r="G520" t="inlineStr">
        <is>
          <t>1</t>
        </is>
      </c>
      <c r="H520" t="inlineStr">
        <is>
          <t>No</t>
        </is>
      </c>
      <c r="I520" t="inlineStr">
        <is>
          <t>No</t>
        </is>
      </c>
      <c r="J520" t="inlineStr">
        <is>
          <t>0</t>
        </is>
      </c>
      <c r="K520" t="inlineStr">
        <is>
          <t>Martindale, Don.</t>
        </is>
      </c>
      <c r="L520" t="inlineStr">
        <is>
          <t>Westport, Conn. : Greenwood Pub. Co., [1971]</t>
        </is>
      </c>
      <c r="M520" t="inlineStr">
        <is>
          <t>1971</t>
        </is>
      </c>
      <c r="O520" t="inlineStr">
        <is>
          <t>eng</t>
        </is>
      </c>
      <c r="P520" t="inlineStr">
        <is>
          <t>ctu</t>
        </is>
      </c>
      <c r="Q520" t="inlineStr">
        <is>
          <t>Contributions in sociology ; no. 9</t>
        </is>
      </c>
      <c r="R520" t="inlineStr">
        <is>
          <t xml:space="preserve">RC </t>
        </is>
      </c>
      <c r="S520" t="n">
        <v>2</v>
      </c>
      <c r="T520" t="n">
        <v>2</v>
      </c>
      <c r="U520" t="inlineStr">
        <is>
          <t>2004-11-21</t>
        </is>
      </c>
      <c r="V520" t="inlineStr">
        <is>
          <t>2004-11-21</t>
        </is>
      </c>
      <c r="W520" t="inlineStr">
        <is>
          <t>2000-02-02</t>
        </is>
      </c>
      <c r="X520" t="inlineStr">
        <is>
          <t>2000-02-02</t>
        </is>
      </c>
      <c r="Y520" t="n">
        <v>609</v>
      </c>
      <c r="Z520" t="n">
        <v>500</v>
      </c>
      <c r="AA520" t="n">
        <v>514</v>
      </c>
      <c r="AB520" t="n">
        <v>3</v>
      </c>
      <c r="AC520" t="n">
        <v>4</v>
      </c>
      <c r="AD520" t="n">
        <v>19</v>
      </c>
      <c r="AE520" t="n">
        <v>21</v>
      </c>
      <c r="AF520" t="n">
        <v>6</v>
      </c>
      <c r="AG520" t="n">
        <v>7</v>
      </c>
      <c r="AH520" t="n">
        <v>5</v>
      </c>
      <c r="AI520" t="n">
        <v>5</v>
      </c>
      <c r="AJ520" t="n">
        <v>11</v>
      </c>
      <c r="AK520" t="n">
        <v>12</v>
      </c>
      <c r="AL520" t="n">
        <v>2</v>
      </c>
      <c r="AM520" t="n">
        <v>3</v>
      </c>
      <c r="AN520" t="n">
        <v>1</v>
      </c>
      <c r="AO520" t="n">
        <v>1</v>
      </c>
      <c r="AP520" t="inlineStr">
        <is>
          <t>No</t>
        </is>
      </c>
      <c r="AQ520" t="inlineStr">
        <is>
          <t>Yes</t>
        </is>
      </c>
      <c r="AR520">
        <f>HYPERLINK("http://catalog.hathitrust.org/Record/000003794","HathiTrust Record")</f>
        <v/>
      </c>
      <c r="AS520">
        <f>HYPERLINK("https://creighton-primo.hosted.exlibrisgroup.com/primo-explore/search?tab=default_tab&amp;search_scope=EVERYTHING&amp;vid=01CRU&amp;lang=en_US&amp;offset=0&amp;query=any,contains,991002056879702656","Catalog Record")</f>
        <v/>
      </c>
      <c r="AT520">
        <f>HYPERLINK("http://www.worldcat.org/oclc/262398","WorldCat Record")</f>
        <v/>
      </c>
      <c r="AU520" t="inlineStr">
        <is>
          <t>2286999844:eng</t>
        </is>
      </c>
      <c r="AV520" t="inlineStr">
        <is>
          <t>262398</t>
        </is>
      </c>
      <c r="AW520" t="inlineStr">
        <is>
          <t>991002056879702656</t>
        </is>
      </c>
      <c r="AX520" t="inlineStr">
        <is>
          <t>991002056879702656</t>
        </is>
      </c>
      <c r="AY520" t="inlineStr">
        <is>
          <t>2266875520002656</t>
        </is>
      </c>
      <c r="AZ520" t="inlineStr">
        <is>
          <t>BOOK</t>
        </is>
      </c>
      <c r="BB520" t="inlineStr">
        <is>
          <t>9780837151755</t>
        </is>
      </c>
      <c r="BC520" t="inlineStr">
        <is>
          <t>32285003658514</t>
        </is>
      </c>
      <c r="BD520" t="inlineStr">
        <is>
          <t>893804178</t>
        </is>
      </c>
    </row>
    <row r="521">
      <c r="A521" t="inlineStr">
        <is>
          <t>No</t>
        </is>
      </c>
      <c r="B521" t="inlineStr">
        <is>
          <t>RC455 .P735 1993</t>
        </is>
      </c>
      <c r="C521" t="inlineStr">
        <is>
          <t>0                      RC 0455000P  735         1993</t>
        </is>
      </c>
      <c r="D521" t="inlineStr">
        <is>
          <t>The social organization of mental illness / Lindsay Prior.</t>
        </is>
      </c>
      <c r="F521" t="inlineStr">
        <is>
          <t>No</t>
        </is>
      </c>
      <c r="G521" t="inlineStr">
        <is>
          <t>1</t>
        </is>
      </c>
      <c r="H521" t="inlineStr">
        <is>
          <t>No</t>
        </is>
      </c>
      <c r="I521" t="inlineStr">
        <is>
          <t>No</t>
        </is>
      </c>
      <c r="J521" t="inlineStr">
        <is>
          <t>0</t>
        </is>
      </c>
      <c r="K521" t="inlineStr">
        <is>
          <t>Prior, Lindsay, 1947-</t>
        </is>
      </c>
      <c r="L521" t="inlineStr">
        <is>
          <t>London ; Newbury Park : Sage Publications, 1993.</t>
        </is>
      </c>
      <c r="M521" t="inlineStr">
        <is>
          <t>1993</t>
        </is>
      </c>
      <c r="O521" t="inlineStr">
        <is>
          <t>eng</t>
        </is>
      </c>
      <c r="P521" t="inlineStr">
        <is>
          <t>enk</t>
        </is>
      </c>
      <c r="R521" t="inlineStr">
        <is>
          <t xml:space="preserve">RC </t>
        </is>
      </c>
      <c r="S521" t="n">
        <v>3</v>
      </c>
      <c r="T521" t="n">
        <v>3</v>
      </c>
      <c r="U521" t="inlineStr">
        <is>
          <t>2004-02-09</t>
        </is>
      </c>
      <c r="V521" t="inlineStr">
        <is>
          <t>2004-02-09</t>
        </is>
      </c>
      <c r="W521" t="inlineStr">
        <is>
          <t>1995-08-14</t>
        </is>
      </c>
      <c r="X521" t="inlineStr">
        <is>
          <t>1995-08-14</t>
        </is>
      </c>
      <c r="Y521" t="n">
        <v>538</v>
      </c>
      <c r="Z521" t="n">
        <v>364</v>
      </c>
      <c r="AA521" t="n">
        <v>369</v>
      </c>
      <c r="AB521" t="n">
        <v>2</v>
      </c>
      <c r="AC521" t="n">
        <v>2</v>
      </c>
      <c r="AD521" t="n">
        <v>19</v>
      </c>
      <c r="AE521" t="n">
        <v>19</v>
      </c>
      <c r="AF521" t="n">
        <v>6</v>
      </c>
      <c r="AG521" t="n">
        <v>6</v>
      </c>
      <c r="AH521" t="n">
        <v>6</v>
      </c>
      <c r="AI521" t="n">
        <v>6</v>
      </c>
      <c r="AJ521" t="n">
        <v>12</v>
      </c>
      <c r="AK521" t="n">
        <v>12</v>
      </c>
      <c r="AL521" t="n">
        <v>1</v>
      </c>
      <c r="AM521" t="n">
        <v>1</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HYPERLINK("https://creighton-primo.hosted.exlibrisgroup.com/primo-explore/search?tab=default_tab&amp;search_scope=EVERYTHING&amp;vid=01CRU&amp;lang=en_US&amp;offset=0&amp;query=any,contains,991002245809702656","Catalog Record")</f>
        <v/>
      </c>
      <c r="AT521">
        <f>HYPERLINK("http://www.worldcat.org/oclc/28964935","WorldCat Record")</f>
        <v/>
      </c>
      <c r="AU521" t="inlineStr">
        <is>
          <t>31098166:eng</t>
        </is>
      </c>
      <c r="AV521" t="inlineStr">
        <is>
          <t>28964935</t>
        </is>
      </c>
      <c r="AW521" t="inlineStr">
        <is>
          <t>991002245809702656</t>
        </is>
      </c>
      <c r="AX521" t="inlineStr">
        <is>
          <t>991002245809702656</t>
        </is>
      </c>
      <c r="AY521" t="inlineStr">
        <is>
          <t>2255289460002656</t>
        </is>
      </c>
      <c r="AZ521" t="inlineStr">
        <is>
          <t>BOOK</t>
        </is>
      </c>
      <c r="BB521" t="inlineStr">
        <is>
          <t>9780803984998</t>
        </is>
      </c>
      <c r="BC521" t="inlineStr">
        <is>
          <t>32285002077369</t>
        </is>
      </c>
      <c r="BD521" t="inlineStr">
        <is>
          <t>893262175</t>
        </is>
      </c>
    </row>
    <row r="522">
      <c r="A522" t="inlineStr">
        <is>
          <t>No</t>
        </is>
      </c>
      <c r="B522" t="inlineStr">
        <is>
          <t>RC455 .R47</t>
        </is>
      </c>
      <c r="C522" t="inlineStr">
        <is>
          <t>0                      RC 0455000R  47</t>
        </is>
      </c>
      <c r="D522" t="inlineStr">
        <is>
          <t>Research and practice in social skills training / edited by Alan S. Bellack and Michel Hersen.</t>
        </is>
      </c>
      <c r="F522" t="inlineStr">
        <is>
          <t>No</t>
        </is>
      </c>
      <c r="G522" t="inlineStr">
        <is>
          <t>1</t>
        </is>
      </c>
      <c r="H522" t="inlineStr">
        <is>
          <t>No</t>
        </is>
      </c>
      <c r="I522" t="inlineStr">
        <is>
          <t>No</t>
        </is>
      </c>
      <c r="J522" t="inlineStr">
        <is>
          <t>0</t>
        </is>
      </c>
      <c r="L522" t="inlineStr">
        <is>
          <t>New York : Plenum Press, c1979.</t>
        </is>
      </c>
      <c r="M522" t="inlineStr">
        <is>
          <t>1979</t>
        </is>
      </c>
      <c r="O522" t="inlineStr">
        <is>
          <t>eng</t>
        </is>
      </c>
      <c r="P522" t="inlineStr">
        <is>
          <t>nyu</t>
        </is>
      </c>
      <c r="R522" t="inlineStr">
        <is>
          <t xml:space="preserve">RC </t>
        </is>
      </c>
      <c r="S522" t="n">
        <v>1</v>
      </c>
      <c r="T522" t="n">
        <v>1</v>
      </c>
      <c r="U522" t="inlineStr">
        <is>
          <t>2006-09-05</t>
        </is>
      </c>
      <c r="V522" t="inlineStr">
        <is>
          <t>2006-09-05</t>
        </is>
      </c>
      <c r="W522" t="inlineStr">
        <is>
          <t>1993-03-19</t>
        </is>
      </c>
      <c r="X522" t="inlineStr">
        <is>
          <t>1993-03-19</t>
        </is>
      </c>
      <c r="Y522" t="n">
        <v>366</v>
      </c>
      <c r="Z522" t="n">
        <v>254</v>
      </c>
      <c r="AA522" t="n">
        <v>278</v>
      </c>
      <c r="AB522" t="n">
        <v>3</v>
      </c>
      <c r="AC522" t="n">
        <v>3</v>
      </c>
      <c r="AD522" t="n">
        <v>8</v>
      </c>
      <c r="AE522" t="n">
        <v>9</v>
      </c>
      <c r="AF522" t="n">
        <v>3</v>
      </c>
      <c r="AG522" t="n">
        <v>4</v>
      </c>
      <c r="AH522" t="n">
        <v>1</v>
      </c>
      <c r="AI522" t="n">
        <v>1</v>
      </c>
      <c r="AJ522" t="n">
        <v>6</v>
      </c>
      <c r="AK522" t="n">
        <v>7</v>
      </c>
      <c r="AL522" t="n">
        <v>1</v>
      </c>
      <c r="AM522" t="n">
        <v>1</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HYPERLINK("https://creighton-primo.hosted.exlibrisgroup.com/primo-explore/search?tab=default_tab&amp;search_scope=EVERYTHING&amp;vid=01CRU&amp;lang=en_US&amp;offset=0&amp;query=any,contains,991004735809702656","Catalog Record")</f>
        <v/>
      </c>
      <c r="AT522">
        <f>HYPERLINK("http://www.worldcat.org/oclc/4857525","WorldCat Record")</f>
        <v/>
      </c>
      <c r="AU522" t="inlineStr">
        <is>
          <t>375341830:eng</t>
        </is>
      </c>
      <c r="AV522" t="inlineStr">
        <is>
          <t>4857525</t>
        </is>
      </c>
      <c r="AW522" t="inlineStr">
        <is>
          <t>991004735809702656</t>
        </is>
      </c>
      <c r="AX522" t="inlineStr">
        <is>
          <t>991004735809702656</t>
        </is>
      </c>
      <c r="AY522" t="inlineStr">
        <is>
          <t>2266691460002656</t>
        </is>
      </c>
      <c r="AZ522" t="inlineStr">
        <is>
          <t>BOOK</t>
        </is>
      </c>
      <c r="BB522" t="inlineStr">
        <is>
          <t>9780306402333</t>
        </is>
      </c>
      <c r="BC522" t="inlineStr">
        <is>
          <t>32285001605830</t>
        </is>
      </c>
      <c r="BD522" t="inlineStr">
        <is>
          <t>893436681</t>
        </is>
      </c>
    </row>
    <row r="523">
      <c r="A523" t="inlineStr">
        <is>
          <t>No</t>
        </is>
      </c>
      <c r="B523" t="inlineStr">
        <is>
          <t>RC455 .S27</t>
        </is>
      </c>
      <c r="C523" t="inlineStr">
        <is>
          <t>0                      RC 0455000S  27</t>
        </is>
      </c>
      <c r="D523" t="inlineStr">
        <is>
          <t>Saints, scholars, and schizophrenics : mental illness in rural Ireland / by Nancy Scheper-Hughes.</t>
        </is>
      </c>
      <c r="F523" t="inlineStr">
        <is>
          <t>No</t>
        </is>
      </c>
      <c r="G523" t="inlineStr">
        <is>
          <t>1</t>
        </is>
      </c>
      <c r="H523" t="inlineStr">
        <is>
          <t>No</t>
        </is>
      </c>
      <c r="I523" t="inlineStr">
        <is>
          <t>No</t>
        </is>
      </c>
      <c r="J523" t="inlineStr">
        <is>
          <t>0</t>
        </is>
      </c>
      <c r="K523" t="inlineStr">
        <is>
          <t>Scheper-Hughes, Nancy.</t>
        </is>
      </c>
      <c r="L523" t="inlineStr">
        <is>
          <t>Berkeley : University of California Press, c1979.</t>
        </is>
      </c>
      <c r="M523" t="inlineStr">
        <is>
          <t>1979</t>
        </is>
      </c>
      <c r="O523" t="inlineStr">
        <is>
          <t>eng</t>
        </is>
      </c>
      <c r="P523" t="inlineStr">
        <is>
          <t>cau</t>
        </is>
      </c>
      <c r="R523" t="inlineStr">
        <is>
          <t xml:space="preserve">RC </t>
        </is>
      </c>
      <c r="S523" t="n">
        <v>3</v>
      </c>
      <c r="T523" t="n">
        <v>3</v>
      </c>
      <c r="U523" t="inlineStr">
        <is>
          <t>2010-10-12</t>
        </is>
      </c>
      <c r="V523" t="inlineStr">
        <is>
          <t>2010-10-12</t>
        </is>
      </c>
      <c r="W523" t="inlineStr">
        <is>
          <t>1992-07-20</t>
        </is>
      </c>
      <c r="X523" t="inlineStr">
        <is>
          <t>1992-07-20</t>
        </is>
      </c>
      <c r="Y523" t="n">
        <v>590</v>
      </c>
      <c r="Z523" t="n">
        <v>478</v>
      </c>
      <c r="AA523" t="n">
        <v>607</v>
      </c>
      <c r="AB523" t="n">
        <v>2</v>
      </c>
      <c r="AC523" t="n">
        <v>3</v>
      </c>
      <c r="AD523" t="n">
        <v>20</v>
      </c>
      <c r="AE523" t="n">
        <v>26</v>
      </c>
      <c r="AF523" t="n">
        <v>7</v>
      </c>
      <c r="AG523" t="n">
        <v>8</v>
      </c>
      <c r="AH523" t="n">
        <v>7</v>
      </c>
      <c r="AI523" t="n">
        <v>8</v>
      </c>
      <c r="AJ523" t="n">
        <v>11</v>
      </c>
      <c r="AK523" t="n">
        <v>14</v>
      </c>
      <c r="AL523" t="n">
        <v>1</v>
      </c>
      <c r="AM523" t="n">
        <v>2</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HYPERLINK("https://creighton-primo.hosted.exlibrisgroup.com/primo-explore/search?tab=default_tab&amp;search_scope=EVERYTHING&amp;vid=01CRU&amp;lang=en_US&amp;offset=0&amp;query=any,contains,991004719109702656","Catalog Record")</f>
        <v/>
      </c>
      <c r="AT523">
        <f>HYPERLINK("http://www.worldcat.org/oclc/4791057","WorldCat Record")</f>
        <v/>
      </c>
      <c r="AU523" t="inlineStr">
        <is>
          <t>796527590:eng</t>
        </is>
      </c>
      <c r="AV523" t="inlineStr">
        <is>
          <t>4791057</t>
        </is>
      </c>
      <c r="AW523" t="inlineStr">
        <is>
          <t>991004719109702656</t>
        </is>
      </c>
      <c r="AX523" t="inlineStr">
        <is>
          <t>991004719109702656</t>
        </is>
      </c>
      <c r="AY523" t="inlineStr">
        <is>
          <t>2272713460002656</t>
        </is>
      </c>
      <c r="AZ523" t="inlineStr">
        <is>
          <t>BOOK</t>
        </is>
      </c>
      <c r="BB523" t="inlineStr">
        <is>
          <t>9780520034440</t>
        </is>
      </c>
      <c r="BC523" t="inlineStr">
        <is>
          <t>32285001211696</t>
        </is>
      </c>
      <c r="BD523" t="inlineStr">
        <is>
          <t>893782574</t>
        </is>
      </c>
    </row>
    <row r="524">
      <c r="A524" t="inlineStr">
        <is>
          <t>No</t>
        </is>
      </c>
      <c r="B524" t="inlineStr">
        <is>
          <t>RC455 .S64 v.5</t>
        </is>
      </c>
      <c r="C524" t="inlineStr">
        <is>
          <t>0                      RC 0455000S  64                                                      v.5</t>
        </is>
      </c>
      <c r="D524" t="inlineStr">
        <is>
          <t>Old age / edited by Lennart Levi.</t>
        </is>
      </c>
      <c r="E524" t="inlineStr">
        <is>
          <t>V. 5</t>
        </is>
      </c>
      <c r="F524" t="inlineStr">
        <is>
          <t>No</t>
        </is>
      </c>
      <c r="G524" t="inlineStr">
        <is>
          <t>1</t>
        </is>
      </c>
      <c r="H524" t="inlineStr">
        <is>
          <t>Yes</t>
        </is>
      </c>
      <c r="I524" t="inlineStr">
        <is>
          <t>No</t>
        </is>
      </c>
      <c r="J524" t="inlineStr">
        <is>
          <t>0</t>
        </is>
      </c>
      <c r="L524" t="inlineStr">
        <is>
          <t>Oxford [Oxfordshire] ; New York : Oxford University Press, 1987.</t>
        </is>
      </c>
      <c r="M524" t="inlineStr">
        <is>
          <t>1986</t>
        </is>
      </c>
      <c r="O524" t="inlineStr">
        <is>
          <t>eng</t>
        </is>
      </c>
      <c r="P524" t="inlineStr">
        <is>
          <t>enk</t>
        </is>
      </c>
      <c r="Q524" t="inlineStr">
        <is>
          <t>Society, stress, and disease ; v. 5</t>
        </is>
      </c>
      <c r="R524" t="inlineStr">
        <is>
          <t xml:space="preserve">RC </t>
        </is>
      </c>
      <c r="S524" t="n">
        <v>5</v>
      </c>
      <c r="T524" t="n">
        <v>8</v>
      </c>
      <c r="U524" t="inlineStr">
        <is>
          <t>1999-11-23</t>
        </is>
      </c>
      <c r="V524" t="inlineStr">
        <is>
          <t>1999-11-23</t>
        </is>
      </c>
      <c r="W524" t="inlineStr">
        <is>
          <t>1993-03-19</t>
        </is>
      </c>
      <c r="X524" t="inlineStr">
        <is>
          <t>1993-03-19</t>
        </is>
      </c>
      <c r="Y524" t="n">
        <v>130</v>
      </c>
      <c r="Z524" t="n">
        <v>93</v>
      </c>
      <c r="AA524" t="n">
        <v>97</v>
      </c>
      <c r="AB524" t="n">
        <v>3</v>
      </c>
      <c r="AC524" t="n">
        <v>3</v>
      </c>
      <c r="AD524" t="n">
        <v>3</v>
      </c>
      <c r="AE524" t="n">
        <v>3</v>
      </c>
      <c r="AF524" t="n">
        <v>0</v>
      </c>
      <c r="AG524" t="n">
        <v>0</v>
      </c>
      <c r="AH524" t="n">
        <v>2</v>
      </c>
      <c r="AI524" t="n">
        <v>2</v>
      </c>
      <c r="AJ524" t="n">
        <v>1</v>
      </c>
      <c r="AK524" t="n">
        <v>1</v>
      </c>
      <c r="AL524" t="n">
        <v>1</v>
      </c>
      <c r="AM524" t="n">
        <v>1</v>
      </c>
      <c r="AN524" t="n">
        <v>0</v>
      </c>
      <c r="AO524" t="n">
        <v>0</v>
      </c>
      <c r="AP524" t="inlineStr">
        <is>
          <t>No</t>
        </is>
      </c>
      <c r="AQ524" t="inlineStr">
        <is>
          <t>Yes</t>
        </is>
      </c>
      <c r="AR524">
        <f>HYPERLINK("http://catalog.hathitrust.org/Record/001946342","HathiTrust Record")</f>
        <v/>
      </c>
      <c r="AS524">
        <f>HYPERLINK("https://creighton-primo.hosted.exlibrisgroup.com/primo-explore/search?tab=default_tab&amp;search_scope=EVERYTHING&amp;vid=01CRU&amp;lang=en_US&amp;offset=0&amp;query=any,contains,991001799339702656","Catalog Record")</f>
        <v/>
      </c>
      <c r="AT524">
        <f>HYPERLINK("http://www.worldcat.org/oclc/13063021","WorldCat Record")</f>
        <v/>
      </c>
      <c r="AU524" t="inlineStr">
        <is>
          <t>54776452:eng</t>
        </is>
      </c>
      <c r="AV524" t="inlineStr">
        <is>
          <t>13063021</t>
        </is>
      </c>
      <c r="AW524" t="inlineStr">
        <is>
          <t>991001799339702656</t>
        </is>
      </c>
      <c r="AX524" t="inlineStr">
        <is>
          <t>991001799339702656</t>
        </is>
      </c>
      <c r="AY524" t="inlineStr">
        <is>
          <t>2257162480002656</t>
        </is>
      </c>
      <c r="AZ524" t="inlineStr">
        <is>
          <t>BOOK</t>
        </is>
      </c>
      <c r="BB524" t="inlineStr">
        <is>
          <t>9780192644220</t>
        </is>
      </c>
      <c r="BC524" t="inlineStr">
        <is>
          <t>32285001605855</t>
        </is>
      </c>
      <c r="BD524" t="inlineStr">
        <is>
          <t>893709555</t>
        </is>
      </c>
    </row>
    <row r="525">
      <c r="A525" t="inlineStr">
        <is>
          <t>No</t>
        </is>
      </c>
      <c r="B525" t="inlineStr">
        <is>
          <t>RC455 .S8</t>
        </is>
      </c>
      <c r="C525" t="inlineStr">
        <is>
          <t>0                      RC 0455000S  8</t>
        </is>
      </c>
      <c r="D525" t="inlineStr">
        <is>
          <t>The third revolution; a study of psychiatry and religion.</t>
        </is>
      </c>
      <c r="F525" t="inlineStr">
        <is>
          <t>No</t>
        </is>
      </c>
      <c r="G525" t="inlineStr">
        <is>
          <t>1</t>
        </is>
      </c>
      <c r="H525" t="inlineStr">
        <is>
          <t>No</t>
        </is>
      </c>
      <c r="I525" t="inlineStr">
        <is>
          <t>No</t>
        </is>
      </c>
      <c r="J525" t="inlineStr">
        <is>
          <t>0</t>
        </is>
      </c>
      <c r="K525" t="inlineStr">
        <is>
          <t>Stern, Karl.</t>
        </is>
      </c>
      <c r="L525" t="inlineStr">
        <is>
          <t>New York, Harcourt, Brace [1954]</t>
        </is>
      </c>
      <c r="M525" t="inlineStr">
        <is>
          <t>1954</t>
        </is>
      </c>
      <c r="N525" t="inlineStr">
        <is>
          <t>[1st ed.]</t>
        </is>
      </c>
      <c r="O525" t="inlineStr">
        <is>
          <t>eng</t>
        </is>
      </c>
      <c r="P525" t="inlineStr">
        <is>
          <t>nyu</t>
        </is>
      </c>
      <c r="R525" t="inlineStr">
        <is>
          <t xml:space="preserve">RC </t>
        </is>
      </c>
      <c r="S525" t="n">
        <v>1</v>
      </c>
      <c r="T525" t="n">
        <v>1</v>
      </c>
      <c r="U525" t="inlineStr">
        <is>
          <t>2009-07-08</t>
        </is>
      </c>
      <c r="V525" t="inlineStr">
        <is>
          <t>2009-07-08</t>
        </is>
      </c>
      <c r="W525" t="inlineStr">
        <is>
          <t>1997-08-11</t>
        </is>
      </c>
      <c r="X525" t="inlineStr">
        <is>
          <t>1997-08-11</t>
        </is>
      </c>
      <c r="Y525" t="n">
        <v>455</v>
      </c>
      <c r="Z525" t="n">
        <v>408</v>
      </c>
      <c r="AA525" t="n">
        <v>492</v>
      </c>
      <c r="AB525" t="n">
        <v>4</v>
      </c>
      <c r="AC525" t="n">
        <v>4</v>
      </c>
      <c r="AD525" t="n">
        <v>22</v>
      </c>
      <c r="AE525" t="n">
        <v>29</v>
      </c>
      <c r="AF525" t="n">
        <v>4</v>
      </c>
      <c r="AG525" t="n">
        <v>6</v>
      </c>
      <c r="AH525" t="n">
        <v>7</v>
      </c>
      <c r="AI525" t="n">
        <v>7</v>
      </c>
      <c r="AJ525" t="n">
        <v>14</v>
      </c>
      <c r="AK525" t="n">
        <v>20</v>
      </c>
      <c r="AL525" t="n">
        <v>2</v>
      </c>
      <c r="AM525" t="n">
        <v>2</v>
      </c>
      <c r="AN525" t="n">
        <v>0</v>
      </c>
      <c r="AO525" t="n">
        <v>0</v>
      </c>
      <c r="AP525" t="inlineStr">
        <is>
          <t>No</t>
        </is>
      </c>
      <c r="AQ525" t="inlineStr">
        <is>
          <t>No</t>
        </is>
      </c>
      <c r="AR525">
        <f>HYPERLINK("http://catalog.hathitrust.org/Record/001564124","HathiTrust Record")</f>
        <v/>
      </c>
      <c r="AS525">
        <f>HYPERLINK("https://creighton-primo.hosted.exlibrisgroup.com/primo-explore/search?tab=default_tab&amp;search_scope=EVERYTHING&amp;vid=01CRU&amp;lang=en_US&amp;offset=0&amp;query=any,contains,991002166319702656","Catalog Record")</f>
        <v/>
      </c>
      <c r="AT525">
        <f>HYPERLINK("http://www.worldcat.org/oclc/275477","WorldCat Record")</f>
        <v/>
      </c>
      <c r="AU525" t="inlineStr">
        <is>
          <t>1410558:eng</t>
        </is>
      </c>
      <c r="AV525" t="inlineStr">
        <is>
          <t>275477</t>
        </is>
      </c>
      <c r="AW525" t="inlineStr">
        <is>
          <t>991002166319702656</t>
        </is>
      </c>
      <c r="AX525" t="inlineStr">
        <is>
          <t>991002166319702656</t>
        </is>
      </c>
      <c r="AY525" t="inlineStr">
        <is>
          <t>2263310030002656</t>
        </is>
      </c>
      <c r="AZ525" t="inlineStr">
        <is>
          <t>BOOK</t>
        </is>
      </c>
      <c r="BC525" t="inlineStr">
        <is>
          <t>32285003090726</t>
        </is>
      </c>
      <c r="BD525" t="inlineStr">
        <is>
          <t>893510381</t>
        </is>
      </c>
    </row>
    <row r="526">
      <c r="A526" t="inlineStr">
        <is>
          <t>No</t>
        </is>
      </c>
      <c r="B526" t="inlineStr">
        <is>
          <t>RC455.2.C4 C37 1995</t>
        </is>
      </c>
      <c r="C526" t="inlineStr">
        <is>
          <t>0                      RC 0455200C  4                  C  37          1995</t>
        </is>
      </c>
      <c r="D526" t="inlineStr">
        <is>
          <t>They say you're crazy : how the world's most powerful psychiatrists decide who's normal / Paula J. Caplan.</t>
        </is>
      </c>
      <c r="F526" t="inlineStr">
        <is>
          <t>No</t>
        </is>
      </c>
      <c r="G526" t="inlineStr">
        <is>
          <t>1</t>
        </is>
      </c>
      <c r="H526" t="inlineStr">
        <is>
          <t>No</t>
        </is>
      </c>
      <c r="I526" t="inlineStr">
        <is>
          <t>No</t>
        </is>
      </c>
      <c r="J526" t="inlineStr">
        <is>
          <t>0</t>
        </is>
      </c>
      <c r="K526" t="inlineStr">
        <is>
          <t>Caplan, Paula J.</t>
        </is>
      </c>
      <c r="L526" t="inlineStr">
        <is>
          <t>Reading, Mass. : Addison-Wesley, c1995.</t>
        </is>
      </c>
      <c r="M526" t="inlineStr">
        <is>
          <t>1995</t>
        </is>
      </c>
      <c r="O526" t="inlineStr">
        <is>
          <t>eng</t>
        </is>
      </c>
      <c r="P526" t="inlineStr">
        <is>
          <t>mau</t>
        </is>
      </c>
      <c r="R526" t="inlineStr">
        <is>
          <t xml:space="preserve">RC </t>
        </is>
      </c>
      <c r="S526" t="n">
        <v>6</v>
      </c>
      <c r="T526" t="n">
        <v>6</v>
      </c>
      <c r="U526" t="inlineStr">
        <is>
          <t>1997-09-08</t>
        </is>
      </c>
      <c r="V526" t="inlineStr">
        <is>
          <t>1997-09-08</t>
        </is>
      </c>
      <c r="W526" t="inlineStr">
        <is>
          <t>1996-08-09</t>
        </is>
      </c>
      <c r="X526" t="inlineStr">
        <is>
          <t>1996-08-09</t>
        </is>
      </c>
      <c r="Y526" t="n">
        <v>570</v>
      </c>
      <c r="Z526" t="n">
        <v>491</v>
      </c>
      <c r="AA526" t="n">
        <v>559</v>
      </c>
      <c r="AB526" t="n">
        <v>3</v>
      </c>
      <c r="AC526" t="n">
        <v>4</v>
      </c>
      <c r="AD526" t="n">
        <v>18</v>
      </c>
      <c r="AE526" t="n">
        <v>19</v>
      </c>
      <c r="AF526" t="n">
        <v>5</v>
      </c>
      <c r="AG526" t="n">
        <v>5</v>
      </c>
      <c r="AH526" t="n">
        <v>6</v>
      </c>
      <c r="AI526" t="n">
        <v>6</v>
      </c>
      <c r="AJ526" t="n">
        <v>11</v>
      </c>
      <c r="AK526" t="n">
        <v>11</v>
      </c>
      <c r="AL526" t="n">
        <v>1</v>
      </c>
      <c r="AM526" t="n">
        <v>2</v>
      </c>
      <c r="AN526" t="n">
        <v>0</v>
      </c>
      <c r="AO526" t="n">
        <v>0</v>
      </c>
      <c r="AP526" t="inlineStr">
        <is>
          <t>No</t>
        </is>
      </c>
      <c r="AQ526" t="inlineStr">
        <is>
          <t>No</t>
        </is>
      </c>
      <c r="AS526">
        <f>HYPERLINK("https://creighton-primo.hosted.exlibrisgroup.com/primo-explore/search?tab=default_tab&amp;search_scope=EVERYTHING&amp;vid=01CRU&amp;lang=en_US&amp;offset=0&amp;query=any,contains,991002410279702656","Catalog Record")</f>
        <v/>
      </c>
      <c r="AT526">
        <f>HYPERLINK("http://www.worldcat.org/oclc/31375134","WorldCat Record")</f>
        <v/>
      </c>
      <c r="AU526" t="inlineStr">
        <is>
          <t>2551705:eng</t>
        </is>
      </c>
      <c r="AV526" t="inlineStr">
        <is>
          <t>31375134</t>
        </is>
      </c>
      <c r="AW526" t="inlineStr">
        <is>
          <t>991002410279702656</t>
        </is>
      </c>
      <c r="AX526" t="inlineStr">
        <is>
          <t>991002410279702656</t>
        </is>
      </c>
      <c r="AY526" t="inlineStr">
        <is>
          <t>2256553790002656</t>
        </is>
      </c>
      <c r="AZ526" t="inlineStr">
        <is>
          <t>BOOK</t>
        </is>
      </c>
      <c r="BB526" t="inlineStr">
        <is>
          <t>9780201407587</t>
        </is>
      </c>
      <c r="BC526" t="inlineStr">
        <is>
          <t>32285002273299</t>
        </is>
      </c>
      <c r="BD526" t="inlineStr">
        <is>
          <t>893622252</t>
        </is>
      </c>
    </row>
    <row r="527">
      <c r="A527" t="inlineStr">
        <is>
          <t>No</t>
        </is>
      </c>
      <c r="B527" t="inlineStr">
        <is>
          <t>RC455.2.C4 K57 1992</t>
        </is>
      </c>
      <c r="C527" t="inlineStr">
        <is>
          <t>0                      RC 0455200C  4                  K  57          1992</t>
        </is>
      </c>
      <c r="D527" t="inlineStr">
        <is>
          <t>The selling of DSM : the rhetoric of science in psychiatry / Stuart A. Kirk, Herb Kutchins.</t>
        </is>
      </c>
      <c r="F527" t="inlineStr">
        <is>
          <t>No</t>
        </is>
      </c>
      <c r="G527" t="inlineStr">
        <is>
          <t>1</t>
        </is>
      </c>
      <c r="H527" t="inlineStr">
        <is>
          <t>No</t>
        </is>
      </c>
      <c r="I527" t="inlineStr">
        <is>
          <t>No</t>
        </is>
      </c>
      <c r="J527" t="inlineStr">
        <is>
          <t>0</t>
        </is>
      </c>
      <c r="K527" t="inlineStr">
        <is>
          <t>Kirk, Stuart A., 1945-</t>
        </is>
      </c>
      <c r="L527" t="inlineStr">
        <is>
          <t>New York : A. de Gruyter, c1992.</t>
        </is>
      </c>
      <c r="M527" t="inlineStr">
        <is>
          <t>1992</t>
        </is>
      </c>
      <c r="O527" t="inlineStr">
        <is>
          <t>eng</t>
        </is>
      </c>
      <c r="P527" t="inlineStr">
        <is>
          <t>nyu</t>
        </is>
      </c>
      <c r="Q527" t="inlineStr">
        <is>
          <t>Social problems and social issues</t>
        </is>
      </c>
      <c r="R527" t="inlineStr">
        <is>
          <t xml:space="preserve">RC </t>
        </is>
      </c>
      <c r="S527" t="n">
        <v>13</v>
      </c>
      <c r="T527" t="n">
        <v>13</v>
      </c>
      <c r="U527" t="inlineStr">
        <is>
          <t>2010-06-04</t>
        </is>
      </c>
      <c r="V527" t="inlineStr">
        <is>
          <t>2010-06-04</t>
        </is>
      </c>
      <c r="W527" t="inlineStr">
        <is>
          <t>1993-11-29</t>
        </is>
      </c>
      <c r="X527" t="inlineStr">
        <is>
          <t>1993-11-29</t>
        </is>
      </c>
      <c r="Y527" t="n">
        <v>702</v>
      </c>
      <c r="Z527" t="n">
        <v>590</v>
      </c>
      <c r="AA527" t="n">
        <v>610</v>
      </c>
      <c r="AB527" t="n">
        <v>3</v>
      </c>
      <c r="AC527" t="n">
        <v>4</v>
      </c>
      <c r="AD527" t="n">
        <v>28</v>
      </c>
      <c r="AE527" t="n">
        <v>29</v>
      </c>
      <c r="AF527" t="n">
        <v>11</v>
      </c>
      <c r="AG527" t="n">
        <v>11</v>
      </c>
      <c r="AH527" t="n">
        <v>7</v>
      </c>
      <c r="AI527" t="n">
        <v>7</v>
      </c>
      <c r="AJ527" t="n">
        <v>14</v>
      </c>
      <c r="AK527" t="n">
        <v>14</v>
      </c>
      <c r="AL527" t="n">
        <v>2</v>
      </c>
      <c r="AM527" t="n">
        <v>3</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HYPERLINK("https://creighton-primo.hosted.exlibrisgroup.com/primo-explore/search?tab=default_tab&amp;search_scope=EVERYTHING&amp;vid=01CRU&amp;lang=en_US&amp;offset=0&amp;query=any,contains,991002033749702656","Catalog Record")</f>
        <v/>
      </c>
      <c r="AT527">
        <f>HYPERLINK("http://www.worldcat.org/oclc/25914018","WorldCat Record")</f>
        <v/>
      </c>
      <c r="AU527" t="inlineStr">
        <is>
          <t>196730583:eng</t>
        </is>
      </c>
      <c r="AV527" t="inlineStr">
        <is>
          <t>25914018</t>
        </is>
      </c>
      <c r="AW527" t="inlineStr">
        <is>
          <t>991002033749702656</t>
        </is>
      </c>
      <c r="AX527" t="inlineStr">
        <is>
          <t>991002033749702656</t>
        </is>
      </c>
      <c r="AY527" t="inlineStr">
        <is>
          <t>2272084600002656</t>
        </is>
      </c>
      <c r="AZ527" t="inlineStr">
        <is>
          <t>BOOK</t>
        </is>
      </c>
      <c r="BB527" t="inlineStr">
        <is>
          <t>9780202304311</t>
        </is>
      </c>
      <c r="BC527" t="inlineStr">
        <is>
          <t>32285001813467</t>
        </is>
      </c>
      <c r="BD527" t="inlineStr">
        <is>
          <t>893621839</t>
        </is>
      </c>
    </row>
    <row r="528">
      <c r="A528" t="inlineStr">
        <is>
          <t>No</t>
        </is>
      </c>
      <c r="B528" t="inlineStr">
        <is>
          <t>RC455.2.C4 R465 2002</t>
        </is>
      </c>
      <c r="C528" t="inlineStr">
        <is>
          <t>0                      RC 0455200C  4                  R  465         2002</t>
        </is>
      </c>
      <c r="D528" t="inlineStr">
        <is>
          <t>Rethinking the DSM : a psychological perspective / edited by Larry E. Beutler and Mary L. Malik.</t>
        </is>
      </c>
      <c r="F528" t="inlineStr">
        <is>
          <t>No</t>
        </is>
      </c>
      <c r="G528" t="inlineStr">
        <is>
          <t>1</t>
        </is>
      </c>
      <c r="H528" t="inlineStr">
        <is>
          <t>No</t>
        </is>
      </c>
      <c r="I528" t="inlineStr">
        <is>
          <t>No</t>
        </is>
      </c>
      <c r="J528" t="inlineStr">
        <is>
          <t>0</t>
        </is>
      </c>
      <c r="L528" t="inlineStr">
        <is>
          <t>Washington, DC : American Psychological Association, c2002.</t>
        </is>
      </c>
      <c r="M528" t="inlineStr">
        <is>
          <t>2002</t>
        </is>
      </c>
      <c r="N528" t="inlineStr">
        <is>
          <t>1st ed.</t>
        </is>
      </c>
      <c r="O528" t="inlineStr">
        <is>
          <t>eng</t>
        </is>
      </c>
      <c r="P528" t="inlineStr">
        <is>
          <t>dcu</t>
        </is>
      </c>
      <c r="R528" t="inlineStr">
        <is>
          <t xml:space="preserve">RC </t>
        </is>
      </c>
      <c r="S528" t="n">
        <v>11</v>
      </c>
      <c r="T528" t="n">
        <v>11</v>
      </c>
      <c r="U528" t="inlineStr">
        <is>
          <t>2010-06-04</t>
        </is>
      </c>
      <c r="V528" t="inlineStr">
        <is>
          <t>2010-06-04</t>
        </is>
      </c>
      <c r="W528" t="inlineStr">
        <is>
          <t>2004-06-09</t>
        </is>
      </c>
      <c r="X528" t="inlineStr">
        <is>
          <t>2004-06-09</t>
        </is>
      </c>
      <c r="Y528" t="n">
        <v>661</v>
      </c>
      <c r="Z528" t="n">
        <v>548</v>
      </c>
      <c r="AA528" t="n">
        <v>605</v>
      </c>
      <c r="AB528" t="n">
        <v>3</v>
      </c>
      <c r="AC528" t="n">
        <v>4</v>
      </c>
      <c r="AD528" t="n">
        <v>24</v>
      </c>
      <c r="AE528" t="n">
        <v>30</v>
      </c>
      <c r="AF528" t="n">
        <v>10</v>
      </c>
      <c r="AG528" t="n">
        <v>12</v>
      </c>
      <c r="AH528" t="n">
        <v>5</v>
      </c>
      <c r="AI528" t="n">
        <v>5</v>
      </c>
      <c r="AJ528" t="n">
        <v>12</v>
      </c>
      <c r="AK528" t="n">
        <v>15</v>
      </c>
      <c r="AL528" t="n">
        <v>2</v>
      </c>
      <c r="AM528" t="n">
        <v>3</v>
      </c>
      <c r="AN528" t="n">
        <v>1</v>
      </c>
      <c r="AO528" t="n">
        <v>1</v>
      </c>
      <c r="AP528" t="inlineStr">
        <is>
          <t>No</t>
        </is>
      </c>
      <c r="AQ528" t="inlineStr">
        <is>
          <t>No</t>
        </is>
      </c>
      <c r="AS528">
        <f>HYPERLINK("https://creighton-primo.hosted.exlibrisgroup.com/primo-explore/search?tab=default_tab&amp;search_scope=EVERYTHING&amp;vid=01CRU&amp;lang=en_US&amp;offset=0&amp;query=any,contains,991004265489702656","Catalog Record")</f>
        <v/>
      </c>
      <c r="AT528">
        <f>HYPERLINK("http://www.worldcat.org/oclc/48871200","WorldCat Record")</f>
        <v/>
      </c>
      <c r="AU528" t="inlineStr">
        <is>
          <t>796334833:eng</t>
        </is>
      </c>
      <c r="AV528" t="inlineStr">
        <is>
          <t>48871200</t>
        </is>
      </c>
      <c r="AW528" t="inlineStr">
        <is>
          <t>991004265489702656</t>
        </is>
      </c>
      <c r="AX528" t="inlineStr">
        <is>
          <t>991004265489702656</t>
        </is>
      </c>
      <c r="AY528" t="inlineStr">
        <is>
          <t>2255777300002656</t>
        </is>
      </c>
      <c r="AZ528" t="inlineStr">
        <is>
          <t>BOOK</t>
        </is>
      </c>
      <c r="BB528" t="inlineStr">
        <is>
          <t>9781557988416</t>
        </is>
      </c>
      <c r="BC528" t="inlineStr">
        <is>
          <t>32285004908298</t>
        </is>
      </c>
      <c r="BD528" t="inlineStr">
        <is>
          <t>893882269</t>
        </is>
      </c>
    </row>
    <row r="529">
      <c r="A529" t="inlineStr">
        <is>
          <t>No</t>
        </is>
      </c>
      <c r="B529" t="inlineStr">
        <is>
          <t>RC455.2.E8 C66</t>
        </is>
      </c>
      <c r="C529" t="inlineStr">
        <is>
          <t>0                      RC 0455200E  8                  C  66</t>
        </is>
      </c>
      <c r="D529" t="inlineStr">
        <is>
          <t>Professional and ethical issues in counseling and psychotherapy / Gerald Corey, Marianne Schneider Corey, Patrick Callanan.</t>
        </is>
      </c>
      <c r="F529" t="inlineStr">
        <is>
          <t>No</t>
        </is>
      </c>
      <c r="G529" t="inlineStr">
        <is>
          <t>1</t>
        </is>
      </c>
      <c r="H529" t="inlineStr">
        <is>
          <t>No</t>
        </is>
      </c>
      <c r="I529" t="inlineStr">
        <is>
          <t>No</t>
        </is>
      </c>
      <c r="J529" t="inlineStr">
        <is>
          <t>0</t>
        </is>
      </c>
      <c r="K529" t="inlineStr">
        <is>
          <t>Corey, Gerald.</t>
        </is>
      </c>
      <c r="L529" t="inlineStr">
        <is>
          <t>Monterey, Calif. : Brooks/Cole Pub. Co., c1979.</t>
        </is>
      </c>
      <c r="M529" t="inlineStr">
        <is>
          <t>1979</t>
        </is>
      </c>
      <c r="O529" t="inlineStr">
        <is>
          <t>eng</t>
        </is>
      </c>
      <c r="P529" t="inlineStr">
        <is>
          <t>cau</t>
        </is>
      </c>
      <c r="R529" t="inlineStr">
        <is>
          <t xml:space="preserve">RC </t>
        </is>
      </c>
      <c r="S529" t="n">
        <v>8</v>
      </c>
      <c r="T529" t="n">
        <v>8</v>
      </c>
      <c r="U529" t="inlineStr">
        <is>
          <t>2007-11-21</t>
        </is>
      </c>
      <c r="V529" t="inlineStr">
        <is>
          <t>2007-11-21</t>
        </is>
      </c>
      <c r="W529" t="inlineStr">
        <is>
          <t>1990-02-21</t>
        </is>
      </c>
      <c r="X529" t="inlineStr">
        <is>
          <t>1990-02-21</t>
        </is>
      </c>
      <c r="Y529" t="n">
        <v>217</v>
      </c>
      <c r="Z529" t="n">
        <v>172</v>
      </c>
      <c r="AA529" t="n">
        <v>172</v>
      </c>
      <c r="AB529" t="n">
        <v>2</v>
      </c>
      <c r="AC529" t="n">
        <v>2</v>
      </c>
      <c r="AD529" t="n">
        <v>6</v>
      </c>
      <c r="AE529" t="n">
        <v>6</v>
      </c>
      <c r="AF529" t="n">
        <v>2</v>
      </c>
      <c r="AG529" t="n">
        <v>2</v>
      </c>
      <c r="AH529" t="n">
        <v>2</v>
      </c>
      <c r="AI529" t="n">
        <v>2</v>
      </c>
      <c r="AJ529" t="n">
        <v>2</v>
      </c>
      <c r="AK529" t="n">
        <v>2</v>
      </c>
      <c r="AL529" t="n">
        <v>1</v>
      </c>
      <c r="AM529" t="n">
        <v>1</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HYPERLINK("https://creighton-primo.hosted.exlibrisgroup.com/primo-explore/search?tab=default_tab&amp;search_scope=EVERYTHING&amp;vid=01CRU&amp;lang=en_US&amp;offset=0&amp;query=any,contains,991004715649702656","Catalog Record")</f>
        <v/>
      </c>
      <c r="AT529">
        <f>HYPERLINK("http://www.worldcat.org/oclc/4775885","WorldCat Record")</f>
        <v/>
      </c>
      <c r="AU529" t="inlineStr">
        <is>
          <t>482716:eng</t>
        </is>
      </c>
      <c r="AV529" t="inlineStr">
        <is>
          <t>4775885</t>
        </is>
      </c>
      <c r="AW529" t="inlineStr">
        <is>
          <t>991004715649702656</t>
        </is>
      </c>
      <c r="AX529" t="inlineStr">
        <is>
          <t>991004715649702656</t>
        </is>
      </c>
      <c r="AY529" t="inlineStr">
        <is>
          <t>2255410660002656</t>
        </is>
      </c>
      <c r="AZ529" t="inlineStr">
        <is>
          <t>BOOK</t>
        </is>
      </c>
      <c r="BB529" t="inlineStr">
        <is>
          <t>9780818503269</t>
        </is>
      </c>
      <c r="BC529" t="inlineStr">
        <is>
          <t>32285000056597</t>
        </is>
      </c>
      <c r="BD529" t="inlineStr">
        <is>
          <t>893594009</t>
        </is>
      </c>
    </row>
    <row r="530">
      <c r="A530" t="inlineStr">
        <is>
          <t>No</t>
        </is>
      </c>
      <c r="B530" t="inlineStr">
        <is>
          <t>RC455.2.E8 D94 1988</t>
        </is>
      </c>
      <c r="C530" t="inlineStr">
        <is>
          <t>0                      RC 0455200E  8                  D  94          1988</t>
        </is>
      </c>
      <c r="D530" t="inlineStr">
        <is>
          <t>Ethics and psychiatry : toward professional definition / Allen R. Dyer.</t>
        </is>
      </c>
      <c r="F530" t="inlineStr">
        <is>
          <t>No</t>
        </is>
      </c>
      <c r="G530" t="inlineStr">
        <is>
          <t>1</t>
        </is>
      </c>
      <c r="H530" t="inlineStr">
        <is>
          <t>Yes</t>
        </is>
      </c>
      <c r="I530" t="inlineStr">
        <is>
          <t>No</t>
        </is>
      </c>
      <c r="J530" t="inlineStr">
        <is>
          <t>0</t>
        </is>
      </c>
      <c r="K530" t="inlineStr">
        <is>
          <t>Dyer, Allen R.</t>
        </is>
      </c>
      <c r="L530" t="inlineStr">
        <is>
          <t>Washington, DC : American Psychiatric Press, c1988.</t>
        </is>
      </c>
      <c r="M530" t="inlineStr">
        <is>
          <t>1988</t>
        </is>
      </c>
      <c r="N530" t="inlineStr">
        <is>
          <t>1st ed.</t>
        </is>
      </c>
      <c r="O530" t="inlineStr">
        <is>
          <t>eng</t>
        </is>
      </c>
      <c r="P530" t="inlineStr">
        <is>
          <t>dcu</t>
        </is>
      </c>
      <c r="R530" t="inlineStr">
        <is>
          <t xml:space="preserve">RC </t>
        </is>
      </c>
      <c r="S530" t="n">
        <v>9</v>
      </c>
      <c r="T530" t="n">
        <v>9</v>
      </c>
      <c r="U530" t="inlineStr">
        <is>
          <t>1996-12-02</t>
        </is>
      </c>
      <c r="V530" t="inlineStr">
        <is>
          <t>1996-12-02</t>
        </is>
      </c>
      <c r="W530" t="inlineStr">
        <is>
          <t>1990-06-13</t>
        </is>
      </c>
      <c r="X530" t="inlineStr">
        <is>
          <t>1990-06-13</t>
        </is>
      </c>
      <c r="Y530" t="n">
        <v>272</v>
      </c>
      <c r="Z530" t="n">
        <v>210</v>
      </c>
      <c r="AA530" t="n">
        <v>212</v>
      </c>
      <c r="AB530" t="n">
        <v>2</v>
      </c>
      <c r="AC530" t="n">
        <v>2</v>
      </c>
      <c r="AD530" t="n">
        <v>8</v>
      </c>
      <c r="AE530" t="n">
        <v>8</v>
      </c>
      <c r="AF530" t="n">
        <v>1</v>
      </c>
      <c r="AG530" t="n">
        <v>1</v>
      </c>
      <c r="AH530" t="n">
        <v>1</v>
      </c>
      <c r="AI530" t="n">
        <v>1</v>
      </c>
      <c r="AJ530" t="n">
        <v>6</v>
      </c>
      <c r="AK530" t="n">
        <v>6</v>
      </c>
      <c r="AL530" t="n">
        <v>0</v>
      </c>
      <c r="AM530" t="n">
        <v>0</v>
      </c>
      <c r="AN530" t="n">
        <v>2</v>
      </c>
      <c r="AO530" t="n">
        <v>2</v>
      </c>
      <c r="AP530" t="inlineStr">
        <is>
          <t>No</t>
        </is>
      </c>
      <c r="AQ530" t="inlineStr">
        <is>
          <t>Yes</t>
        </is>
      </c>
      <c r="AR530">
        <f>HYPERLINK("http://catalog.hathitrust.org/Record/001073387","HathiTrust Record")</f>
        <v/>
      </c>
      <c r="AS530">
        <f>HYPERLINK("https://creighton-primo.hosted.exlibrisgroup.com/primo-explore/search?tab=default_tab&amp;search_scope=EVERYTHING&amp;vid=01CRU&amp;lang=en_US&amp;offset=0&amp;query=any,contains,991001031329702656","Catalog Record")</f>
        <v/>
      </c>
      <c r="AT530">
        <f>HYPERLINK("http://www.worldcat.org/oclc/15518144","WorldCat Record")</f>
        <v/>
      </c>
      <c r="AU530" t="inlineStr">
        <is>
          <t>370707697:eng</t>
        </is>
      </c>
      <c r="AV530" t="inlineStr">
        <is>
          <t>15518144</t>
        </is>
      </c>
      <c r="AW530" t="inlineStr">
        <is>
          <t>991001031329702656</t>
        </is>
      </c>
      <c r="AX530" t="inlineStr">
        <is>
          <t>991001031329702656</t>
        </is>
      </c>
      <c r="AY530" t="inlineStr">
        <is>
          <t>2264853970002656</t>
        </is>
      </c>
      <c r="AZ530" t="inlineStr">
        <is>
          <t>BOOK</t>
        </is>
      </c>
      <c r="BB530" t="inlineStr">
        <is>
          <t>9780880482257</t>
        </is>
      </c>
      <c r="BC530" t="inlineStr">
        <is>
          <t>32285000191493</t>
        </is>
      </c>
      <c r="BD530" t="inlineStr">
        <is>
          <t>893891248</t>
        </is>
      </c>
    </row>
    <row r="531">
      <c r="A531" t="inlineStr">
        <is>
          <t>No</t>
        </is>
      </c>
      <c r="B531" t="inlineStr">
        <is>
          <t>RC455.2.E8 E82 1985</t>
        </is>
      </c>
      <c r="C531" t="inlineStr">
        <is>
          <t>0                      RC 0455200E  8                  E  82          1985</t>
        </is>
      </c>
      <c r="D531" t="inlineStr">
        <is>
          <t>Ethical issues in clinical psychology / edited by Richard E. Jensen.</t>
        </is>
      </c>
      <c r="F531" t="inlineStr">
        <is>
          <t>No</t>
        </is>
      </c>
      <c r="G531" t="inlineStr">
        <is>
          <t>1</t>
        </is>
      </c>
      <c r="H531" t="inlineStr">
        <is>
          <t>Yes</t>
        </is>
      </c>
      <c r="I531" t="inlineStr">
        <is>
          <t>No</t>
        </is>
      </c>
      <c r="J531" t="inlineStr">
        <is>
          <t>0</t>
        </is>
      </c>
      <c r="L531" t="inlineStr">
        <is>
          <t>Lanham, MD : University Press of America, c1985.</t>
        </is>
      </c>
      <c r="M531" t="inlineStr">
        <is>
          <t>1985</t>
        </is>
      </c>
      <c r="O531" t="inlineStr">
        <is>
          <t>eng</t>
        </is>
      </c>
      <c r="P531" t="inlineStr">
        <is>
          <t>mdu</t>
        </is>
      </c>
      <c r="R531" t="inlineStr">
        <is>
          <t xml:space="preserve">RC </t>
        </is>
      </c>
      <c r="S531" t="n">
        <v>5</v>
      </c>
      <c r="T531" t="n">
        <v>5</v>
      </c>
      <c r="U531" t="inlineStr">
        <is>
          <t>1996-12-02</t>
        </is>
      </c>
      <c r="V531" t="inlineStr">
        <is>
          <t>1996-12-02</t>
        </is>
      </c>
      <c r="W531" t="inlineStr">
        <is>
          <t>1990-01-02</t>
        </is>
      </c>
      <c r="X531" t="inlineStr">
        <is>
          <t>1990-01-02</t>
        </is>
      </c>
      <c r="Y531" t="n">
        <v>175</v>
      </c>
      <c r="Z531" t="n">
        <v>140</v>
      </c>
      <c r="AA531" t="n">
        <v>141</v>
      </c>
      <c r="AB531" t="n">
        <v>3</v>
      </c>
      <c r="AC531" t="n">
        <v>3</v>
      </c>
      <c r="AD531" t="n">
        <v>6</v>
      </c>
      <c r="AE531" t="n">
        <v>6</v>
      </c>
      <c r="AF531" t="n">
        <v>1</v>
      </c>
      <c r="AG531" t="n">
        <v>1</v>
      </c>
      <c r="AH531" t="n">
        <v>1</v>
      </c>
      <c r="AI531" t="n">
        <v>1</v>
      </c>
      <c r="AJ531" t="n">
        <v>4</v>
      </c>
      <c r="AK531" t="n">
        <v>4</v>
      </c>
      <c r="AL531" t="n">
        <v>1</v>
      </c>
      <c r="AM531" t="n">
        <v>1</v>
      </c>
      <c r="AN531" t="n">
        <v>0</v>
      </c>
      <c r="AO531" t="n">
        <v>0</v>
      </c>
      <c r="AP531" t="inlineStr">
        <is>
          <t>No</t>
        </is>
      </c>
      <c r="AQ531" t="inlineStr">
        <is>
          <t>Yes</t>
        </is>
      </c>
      <c r="AR531">
        <f>HYPERLINK("http://catalog.hathitrust.org/Record/101876530","HathiTrust Record")</f>
        <v/>
      </c>
      <c r="AS531">
        <f>HYPERLINK("https://creighton-primo.hosted.exlibrisgroup.com/primo-explore/search?tab=default_tab&amp;search_scope=EVERYTHING&amp;vid=01CRU&amp;lang=en_US&amp;offset=0&amp;query=any,contains,991000678149702656","Catalog Record")</f>
        <v/>
      </c>
      <c r="AT531">
        <f>HYPERLINK("http://www.worldcat.org/oclc/12370834","WorldCat Record")</f>
        <v/>
      </c>
      <c r="AU531" t="inlineStr">
        <is>
          <t>5028566:eng</t>
        </is>
      </c>
      <c r="AV531" t="inlineStr">
        <is>
          <t>12370834</t>
        </is>
      </c>
      <c r="AW531" t="inlineStr">
        <is>
          <t>991000678149702656</t>
        </is>
      </c>
      <c r="AX531" t="inlineStr">
        <is>
          <t>991000678149702656</t>
        </is>
      </c>
      <c r="AY531" t="inlineStr">
        <is>
          <t>2261445350002656</t>
        </is>
      </c>
      <c r="AZ531" t="inlineStr">
        <is>
          <t>BOOK</t>
        </is>
      </c>
      <c r="BB531" t="inlineStr">
        <is>
          <t>9780819149107</t>
        </is>
      </c>
      <c r="BC531" t="inlineStr">
        <is>
          <t>32285000019892</t>
        </is>
      </c>
      <c r="BD531" t="inlineStr">
        <is>
          <t>893802988</t>
        </is>
      </c>
    </row>
    <row r="532">
      <c r="A532" t="inlineStr">
        <is>
          <t>No</t>
        </is>
      </c>
      <c r="B532" t="inlineStr">
        <is>
          <t>RC455.2.E8 E83</t>
        </is>
      </c>
      <c r="C532" t="inlineStr">
        <is>
          <t>0                      RC 0455200E  8                  E  83</t>
        </is>
      </c>
      <c r="D532" t="inlineStr">
        <is>
          <t>Ethical issues in sex therapy and research / Reproductive Biology Research Foundation conference ; edited by William H. Masters, Virginia E. Johnson, Robert C. Kolodny.</t>
        </is>
      </c>
      <c r="E532" t="inlineStr">
        <is>
          <t>V. 1</t>
        </is>
      </c>
      <c r="F532" t="inlineStr">
        <is>
          <t>Yes</t>
        </is>
      </c>
      <c r="G532" t="inlineStr">
        <is>
          <t>1</t>
        </is>
      </c>
      <c r="H532" t="inlineStr">
        <is>
          <t>No</t>
        </is>
      </c>
      <c r="I532" t="inlineStr">
        <is>
          <t>No</t>
        </is>
      </c>
      <c r="J532" t="inlineStr">
        <is>
          <t>0</t>
        </is>
      </c>
      <c r="L532" t="inlineStr">
        <is>
          <t>Boston : Little, Brown, c1977-c1980.</t>
        </is>
      </c>
      <c r="M532" t="inlineStr">
        <is>
          <t>1977</t>
        </is>
      </c>
      <c r="N532" t="inlineStr">
        <is>
          <t>1st ed.</t>
        </is>
      </c>
      <c r="O532" t="inlineStr">
        <is>
          <t>eng</t>
        </is>
      </c>
      <c r="P532" t="inlineStr">
        <is>
          <t>mau</t>
        </is>
      </c>
      <c r="R532" t="inlineStr">
        <is>
          <t xml:space="preserve">RC </t>
        </is>
      </c>
      <c r="S532" t="n">
        <v>7</v>
      </c>
      <c r="T532" t="n">
        <v>11</v>
      </c>
      <c r="U532" t="inlineStr">
        <is>
          <t>1994-09-29</t>
        </is>
      </c>
      <c r="V532" t="inlineStr">
        <is>
          <t>1996-11-20</t>
        </is>
      </c>
      <c r="W532" t="inlineStr">
        <is>
          <t>1993-03-02</t>
        </is>
      </c>
      <c r="X532" t="inlineStr">
        <is>
          <t>1993-03-02</t>
        </is>
      </c>
      <c r="Y532" t="n">
        <v>639</v>
      </c>
      <c r="Z532" t="n">
        <v>579</v>
      </c>
      <c r="AA532" t="n">
        <v>651</v>
      </c>
      <c r="AB532" t="n">
        <v>9</v>
      </c>
      <c r="AC532" t="n">
        <v>9</v>
      </c>
      <c r="AD532" t="n">
        <v>31</v>
      </c>
      <c r="AE532" t="n">
        <v>33</v>
      </c>
      <c r="AF532" t="n">
        <v>9</v>
      </c>
      <c r="AG532" t="n">
        <v>10</v>
      </c>
      <c r="AH532" t="n">
        <v>4</v>
      </c>
      <c r="AI532" t="n">
        <v>5</v>
      </c>
      <c r="AJ532" t="n">
        <v>16</v>
      </c>
      <c r="AK532" t="n">
        <v>17</v>
      </c>
      <c r="AL532" t="n">
        <v>7</v>
      </c>
      <c r="AM532" t="n">
        <v>7</v>
      </c>
      <c r="AN532" t="n">
        <v>2</v>
      </c>
      <c r="AO532" t="n">
        <v>2</v>
      </c>
      <c r="AP532" t="inlineStr">
        <is>
          <t>No</t>
        </is>
      </c>
      <c r="AQ532" t="inlineStr">
        <is>
          <t>Yes</t>
        </is>
      </c>
      <c r="AR532">
        <f>HYPERLINK("http://catalog.hathitrust.org/Record/000748624","HathiTrust Record")</f>
        <v/>
      </c>
      <c r="AS532">
        <f>HYPERLINK("https://creighton-primo.hosted.exlibrisgroup.com/primo-explore/search?tab=default_tab&amp;search_scope=EVERYTHING&amp;vid=01CRU&amp;lang=en_US&amp;offset=0&amp;query=any,contains,991001766029702656","Catalog Record")</f>
        <v/>
      </c>
      <c r="AT532">
        <f>HYPERLINK("http://www.worldcat.org/oclc/3313473","WorldCat Record")</f>
        <v/>
      </c>
      <c r="AU532" t="inlineStr">
        <is>
          <t>346904793:eng</t>
        </is>
      </c>
      <c r="AV532" t="inlineStr">
        <is>
          <t>3313473</t>
        </is>
      </c>
      <c r="AW532" t="inlineStr">
        <is>
          <t>991001766029702656</t>
        </is>
      </c>
      <c r="AX532" t="inlineStr">
        <is>
          <t>991001766029702656</t>
        </is>
      </c>
      <c r="AY532" t="inlineStr">
        <is>
          <t>2272513520002656</t>
        </is>
      </c>
      <c r="AZ532" t="inlineStr">
        <is>
          <t>BOOK</t>
        </is>
      </c>
      <c r="BB532" t="inlineStr">
        <is>
          <t>9780316549837</t>
        </is>
      </c>
      <c r="BC532" t="inlineStr">
        <is>
          <t>32285001541787</t>
        </is>
      </c>
      <c r="BD532" t="inlineStr">
        <is>
          <t>893420587</t>
        </is>
      </c>
    </row>
    <row r="533">
      <c r="A533" t="inlineStr">
        <is>
          <t>No</t>
        </is>
      </c>
      <c r="B533" t="inlineStr">
        <is>
          <t>RC455.2.E8 E834 1983</t>
        </is>
      </c>
      <c r="C533" t="inlineStr">
        <is>
          <t>0                      RC 0455200E  8                  E  834         1983</t>
        </is>
      </c>
      <c r="D533" t="inlineStr">
        <is>
          <t>Ethical questions in brain and behavior : problems and opportunities / edited by Donald W. Pfaff.</t>
        </is>
      </c>
      <c r="F533" t="inlineStr">
        <is>
          <t>No</t>
        </is>
      </c>
      <c r="G533" t="inlineStr">
        <is>
          <t>1</t>
        </is>
      </c>
      <c r="H533" t="inlineStr">
        <is>
          <t>Yes</t>
        </is>
      </c>
      <c r="I533" t="inlineStr">
        <is>
          <t>No</t>
        </is>
      </c>
      <c r="J533" t="inlineStr">
        <is>
          <t>0</t>
        </is>
      </c>
      <c r="L533" t="inlineStr">
        <is>
          <t>New York : Springer-Verlag, c1983.</t>
        </is>
      </c>
      <c r="M533" t="inlineStr">
        <is>
          <t>1983</t>
        </is>
      </c>
      <c r="O533" t="inlineStr">
        <is>
          <t>eng</t>
        </is>
      </c>
      <c r="P533" t="inlineStr">
        <is>
          <t>nyu</t>
        </is>
      </c>
      <c r="R533" t="inlineStr">
        <is>
          <t xml:space="preserve">RC </t>
        </is>
      </c>
      <c r="S533" t="n">
        <v>1</v>
      </c>
      <c r="T533" t="n">
        <v>1</v>
      </c>
      <c r="U533" t="inlineStr">
        <is>
          <t>2004-05-04</t>
        </is>
      </c>
      <c r="V533" t="inlineStr">
        <is>
          <t>2004-05-04</t>
        </is>
      </c>
      <c r="W533" t="inlineStr">
        <is>
          <t>1992-12-09</t>
        </is>
      </c>
      <c r="X533" t="inlineStr">
        <is>
          <t>1992-12-09</t>
        </is>
      </c>
      <c r="Y533" t="n">
        <v>394</v>
      </c>
      <c r="Z533" t="n">
        <v>310</v>
      </c>
      <c r="AA533" t="n">
        <v>330</v>
      </c>
      <c r="AB533" t="n">
        <v>5</v>
      </c>
      <c r="AC533" t="n">
        <v>5</v>
      </c>
      <c r="AD533" t="n">
        <v>20</v>
      </c>
      <c r="AE533" t="n">
        <v>21</v>
      </c>
      <c r="AF533" t="n">
        <v>8</v>
      </c>
      <c r="AG533" t="n">
        <v>9</v>
      </c>
      <c r="AH533" t="n">
        <v>4</v>
      </c>
      <c r="AI533" t="n">
        <v>5</v>
      </c>
      <c r="AJ533" t="n">
        <v>11</v>
      </c>
      <c r="AK533" t="n">
        <v>11</v>
      </c>
      <c r="AL533" t="n">
        <v>3</v>
      </c>
      <c r="AM533" t="n">
        <v>3</v>
      </c>
      <c r="AN533" t="n">
        <v>0</v>
      </c>
      <c r="AO533" t="n">
        <v>0</v>
      </c>
      <c r="AP533" t="inlineStr">
        <is>
          <t>No</t>
        </is>
      </c>
      <c r="AQ533" t="inlineStr">
        <is>
          <t>Yes</t>
        </is>
      </c>
      <c r="AR533">
        <f>HYPERLINK("http://catalog.hathitrust.org/Record/000203871","HathiTrust Record")</f>
        <v/>
      </c>
      <c r="AS533">
        <f>HYPERLINK("https://creighton-primo.hosted.exlibrisgroup.com/primo-explore/search?tab=default_tab&amp;search_scope=EVERYTHING&amp;vid=01CRU&amp;lang=en_US&amp;offset=0&amp;query=any,contains,991000254549702656","Catalog Record")</f>
        <v/>
      </c>
      <c r="AT533">
        <f>HYPERLINK("http://www.worldcat.org/oclc/9762433","WorldCat Record")</f>
        <v/>
      </c>
      <c r="AU533" t="inlineStr">
        <is>
          <t>896290763:eng</t>
        </is>
      </c>
      <c r="AV533" t="inlineStr">
        <is>
          <t>9762433</t>
        </is>
      </c>
      <c r="AW533" t="inlineStr">
        <is>
          <t>991000254549702656</t>
        </is>
      </c>
      <c r="AX533" t="inlineStr">
        <is>
          <t>991000254549702656</t>
        </is>
      </c>
      <c r="AY533" t="inlineStr">
        <is>
          <t>2260667810002656</t>
        </is>
      </c>
      <c r="AZ533" t="inlineStr">
        <is>
          <t>BOOK</t>
        </is>
      </c>
      <c r="BB533" t="inlineStr">
        <is>
          <t>9780387908700</t>
        </is>
      </c>
      <c r="BC533" t="inlineStr">
        <is>
          <t>32285001414837</t>
        </is>
      </c>
      <c r="BD533" t="inlineStr">
        <is>
          <t>893327170</t>
        </is>
      </c>
    </row>
    <row r="534">
      <c r="A534" t="inlineStr">
        <is>
          <t>No</t>
        </is>
      </c>
      <c r="B534" t="inlineStr">
        <is>
          <t>RC455.2.E8 E838 1986</t>
        </is>
      </c>
      <c r="C534" t="inlineStr">
        <is>
          <t>0                      RC 0455200E  8                  E  838         1986</t>
        </is>
      </c>
      <c r="D534" t="inlineStr">
        <is>
          <t>Ethics in mental health practice / edited by David K. Kentsmith, Susan A. Salladay, Pamela A. Miya.</t>
        </is>
      </c>
      <c r="F534" t="inlineStr">
        <is>
          <t>No</t>
        </is>
      </c>
      <c r="G534" t="inlineStr">
        <is>
          <t>1</t>
        </is>
      </c>
      <c r="H534" t="inlineStr">
        <is>
          <t>Yes</t>
        </is>
      </c>
      <c r="I534" t="inlineStr">
        <is>
          <t>No</t>
        </is>
      </c>
      <c r="J534" t="inlineStr">
        <is>
          <t>0</t>
        </is>
      </c>
      <c r="L534" t="inlineStr">
        <is>
          <t>Orlando : Grune &amp; Stratton, c1986.</t>
        </is>
      </c>
      <c r="M534" t="inlineStr">
        <is>
          <t>1986</t>
        </is>
      </c>
      <c r="O534" t="inlineStr">
        <is>
          <t>eng</t>
        </is>
      </c>
      <c r="P534" t="inlineStr">
        <is>
          <t>flu</t>
        </is>
      </c>
      <c r="R534" t="inlineStr">
        <is>
          <t xml:space="preserve">RC </t>
        </is>
      </c>
      <c r="S534" t="n">
        <v>14</v>
      </c>
      <c r="T534" t="n">
        <v>14</v>
      </c>
      <c r="U534" t="inlineStr">
        <is>
          <t>2006-11-01</t>
        </is>
      </c>
      <c r="V534" t="inlineStr">
        <is>
          <t>2006-11-01</t>
        </is>
      </c>
      <c r="W534" t="inlineStr">
        <is>
          <t>1990-06-19</t>
        </is>
      </c>
      <c r="X534" t="inlineStr">
        <is>
          <t>1990-06-19</t>
        </is>
      </c>
      <c r="Y534" t="n">
        <v>418</v>
      </c>
      <c r="Z534" t="n">
        <v>357</v>
      </c>
      <c r="AA534" t="n">
        <v>359</v>
      </c>
      <c r="AB534" t="n">
        <v>6</v>
      </c>
      <c r="AC534" t="n">
        <v>6</v>
      </c>
      <c r="AD534" t="n">
        <v>25</v>
      </c>
      <c r="AE534" t="n">
        <v>25</v>
      </c>
      <c r="AF534" t="n">
        <v>9</v>
      </c>
      <c r="AG534" t="n">
        <v>9</v>
      </c>
      <c r="AH534" t="n">
        <v>4</v>
      </c>
      <c r="AI534" t="n">
        <v>4</v>
      </c>
      <c r="AJ534" t="n">
        <v>13</v>
      </c>
      <c r="AK534" t="n">
        <v>13</v>
      </c>
      <c r="AL534" t="n">
        <v>3</v>
      </c>
      <c r="AM534" t="n">
        <v>3</v>
      </c>
      <c r="AN534" t="n">
        <v>1</v>
      </c>
      <c r="AO534" t="n">
        <v>1</v>
      </c>
      <c r="AP534" t="inlineStr">
        <is>
          <t>No</t>
        </is>
      </c>
      <c r="AQ534" t="inlineStr">
        <is>
          <t>Yes</t>
        </is>
      </c>
      <c r="AR534">
        <f>HYPERLINK("http://catalog.hathitrust.org/Record/000471128","HathiTrust Record")</f>
        <v/>
      </c>
      <c r="AS534">
        <f>HYPERLINK("https://creighton-primo.hosted.exlibrisgroup.com/primo-explore/search?tab=default_tab&amp;search_scope=EVERYTHING&amp;vid=01CRU&amp;lang=en_US&amp;offset=0&amp;query=any,contains,991000707939702656","Catalog Record")</f>
        <v/>
      </c>
      <c r="AT534">
        <f>HYPERLINK("http://www.worldcat.org/oclc/12558600","WorldCat Record")</f>
        <v/>
      </c>
      <c r="AU534" t="inlineStr">
        <is>
          <t>356000668:eng</t>
        </is>
      </c>
      <c r="AV534" t="inlineStr">
        <is>
          <t>12558600</t>
        </is>
      </c>
      <c r="AW534" t="inlineStr">
        <is>
          <t>991000707939702656</t>
        </is>
      </c>
      <c r="AX534" t="inlineStr">
        <is>
          <t>991000707939702656</t>
        </is>
      </c>
      <c r="AY534" t="inlineStr">
        <is>
          <t>2257027730002656</t>
        </is>
      </c>
      <c r="AZ534" t="inlineStr">
        <is>
          <t>BOOK</t>
        </is>
      </c>
      <c r="BB534" t="inlineStr">
        <is>
          <t>9780808917380</t>
        </is>
      </c>
      <c r="BC534" t="inlineStr">
        <is>
          <t>32285000199702</t>
        </is>
      </c>
      <c r="BD534" t="inlineStr">
        <is>
          <t>893225228</t>
        </is>
      </c>
    </row>
    <row r="535">
      <c r="A535" t="inlineStr">
        <is>
          <t>No</t>
        </is>
      </c>
      <c r="B535" t="inlineStr">
        <is>
          <t>RC455.2.E8 F56</t>
        </is>
      </c>
      <c r="C535" t="inlineStr">
        <is>
          <t>0                      RC 0455200E  8                  F  56</t>
        </is>
      </c>
      <c r="D535" t="inlineStr">
        <is>
          <t>Therapy and ethics : the courtship of law and psychology / Norman J. Finkel.</t>
        </is>
      </c>
      <c r="F535" t="inlineStr">
        <is>
          <t>No</t>
        </is>
      </c>
      <c r="G535" t="inlineStr">
        <is>
          <t>1</t>
        </is>
      </c>
      <c r="H535" t="inlineStr">
        <is>
          <t>No</t>
        </is>
      </c>
      <c r="I535" t="inlineStr">
        <is>
          <t>No</t>
        </is>
      </c>
      <c r="J535" t="inlineStr">
        <is>
          <t>0</t>
        </is>
      </c>
      <c r="K535" t="inlineStr">
        <is>
          <t>Finkel, Norman J.</t>
        </is>
      </c>
      <c r="L535" t="inlineStr">
        <is>
          <t>New York : Grune &amp; Stratton, c1979.</t>
        </is>
      </c>
      <c r="M535" t="inlineStr">
        <is>
          <t>1979</t>
        </is>
      </c>
      <c r="O535" t="inlineStr">
        <is>
          <t>eng</t>
        </is>
      </c>
      <c r="P535" t="inlineStr">
        <is>
          <t>nyu</t>
        </is>
      </c>
      <c r="Q535" t="inlineStr">
        <is>
          <t>Current issues in behavioral psychology</t>
        </is>
      </c>
      <c r="R535" t="inlineStr">
        <is>
          <t xml:space="preserve">RC </t>
        </is>
      </c>
      <c r="S535" t="n">
        <v>10</v>
      </c>
      <c r="T535" t="n">
        <v>10</v>
      </c>
      <c r="U535" t="inlineStr">
        <is>
          <t>2008-12-07</t>
        </is>
      </c>
      <c r="V535" t="inlineStr">
        <is>
          <t>2008-12-07</t>
        </is>
      </c>
      <c r="W535" t="inlineStr">
        <is>
          <t>1993-03-22</t>
        </is>
      </c>
      <c r="X535" t="inlineStr">
        <is>
          <t>1993-03-22</t>
        </is>
      </c>
      <c r="Y535" t="n">
        <v>404</v>
      </c>
      <c r="Z535" t="n">
        <v>323</v>
      </c>
      <c r="AA535" t="n">
        <v>329</v>
      </c>
      <c r="AB535" t="n">
        <v>1</v>
      </c>
      <c r="AC535" t="n">
        <v>1</v>
      </c>
      <c r="AD535" t="n">
        <v>19</v>
      </c>
      <c r="AE535" t="n">
        <v>20</v>
      </c>
      <c r="AF535" t="n">
        <v>1</v>
      </c>
      <c r="AG535" t="n">
        <v>1</v>
      </c>
      <c r="AH535" t="n">
        <v>4</v>
      </c>
      <c r="AI535" t="n">
        <v>5</v>
      </c>
      <c r="AJ535" t="n">
        <v>5</v>
      </c>
      <c r="AK535" t="n">
        <v>6</v>
      </c>
      <c r="AL535" t="n">
        <v>0</v>
      </c>
      <c r="AM535" t="n">
        <v>0</v>
      </c>
      <c r="AN535" t="n">
        <v>11</v>
      </c>
      <c r="AO535" t="n">
        <v>11</v>
      </c>
      <c r="AP535" t="inlineStr">
        <is>
          <t>No</t>
        </is>
      </c>
      <c r="AQ535" t="inlineStr">
        <is>
          <t>No</t>
        </is>
      </c>
      <c r="AS535">
        <f>HYPERLINK("https://creighton-primo.hosted.exlibrisgroup.com/primo-explore/search?tab=default_tab&amp;search_scope=EVERYTHING&amp;vid=01CRU&amp;lang=en_US&amp;offset=0&amp;query=any,contains,991004869149702656","Catalog Record")</f>
        <v/>
      </c>
      <c r="AT535">
        <f>HYPERLINK("http://www.worldcat.org/oclc/5750222","WorldCat Record")</f>
        <v/>
      </c>
      <c r="AU535" t="inlineStr">
        <is>
          <t>375547696:eng</t>
        </is>
      </c>
      <c r="AV535" t="inlineStr">
        <is>
          <t>5750222</t>
        </is>
      </c>
      <c r="AW535" t="inlineStr">
        <is>
          <t>991004869149702656</t>
        </is>
      </c>
      <c r="AX535" t="inlineStr">
        <is>
          <t>991004869149702656</t>
        </is>
      </c>
      <c r="AY535" t="inlineStr">
        <is>
          <t>2270724490002656</t>
        </is>
      </c>
      <c r="AZ535" t="inlineStr">
        <is>
          <t>BOOK</t>
        </is>
      </c>
      <c r="BB535" t="inlineStr">
        <is>
          <t>9780808912224</t>
        </is>
      </c>
      <c r="BC535" t="inlineStr">
        <is>
          <t>32285001605905</t>
        </is>
      </c>
      <c r="BD535" t="inlineStr">
        <is>
          <t>893446432</t>
        </is>
      </c>
    </row>
    <row r="536">
      <c r="A536" t="inlineStr">
        <is>
          <t>No</t>
        </is>
      </c>
      <c r="B536" t="inlineStr">
        <is>
          <t>RC455.2.E8 L4 1984</t>
        </is>
      </c>
      <c r="C536" t="inlineStr">
        <is>
          <t>0                      RC 0455200E  8                  L  4           1984</t>
        </is>
      </c>
      <c r="D536" t="inlineStr">
        <is>
          <t>Mental health and human conscience : the true and the false self / by E.K. Ledermann.</t>
        </is>
      </c>
      <c r="F536" t="inlineStr">
        <is>
          <t>No</t>
        </is>
      </c>
      <c r="G536" t="inlineStr">
        <is>
          <t>1</t>
        </is>
      </c>
      <c r="H536" t="inlineStr">
        <is>
          <t>No</t>
        </is>
      </c>
      <c r="I536" t="inlineStr">
        <is>
          <t>No</t>
        </is>
      </c>
      <c r="J536" t="inlineStr">
        <is>
          <t>0</t>
        </is>
      </c>
      <c r="K536" t="inlineStr">
        <is>
          <t>Ledermann, E. K. (Erich Kurt), 1908-</t>
        </is>
      </c>
      <c r="L536" t="inlineStr">
        <is>
          <t>Amersham, England : Avebury, 1984.</t>
        </is>
      </c>
      <c r="M536" t="inlineStr">
        <is>
          <t>1984</t>
        </is>
      </c>
      <c r="O536" t="inlineStr">
        <is>
          <t>eng</t>
        </is>
      </c>
      <c r="P536" t="inlineStr">
        <is>
          <t>enk</t>
        </is>
      </c>
      <c r="R536" t="inlineStr">
        <is>
          <t xml:space="preserve">RC </t>
        </is>
      </c>
      <c r="S536" t="n">
        <v>1</v>
      </c>
      <c r="T536" t="n">
        <v>1</v>
      </c>
      <c r="U536" t="inlineStr">
        <is>
          <t>2004-05-04</t>
        </is>
      </c>
      <c r="V536" t="inlineStr">
        <is>
          <t>2004-05-04</t>
        </is>
      </c>
      <c r="W536" t="inlineStr">
        <is>
          <t>1993-03-22</t>
        </is>
      </c>
      <c r="X536" t="inlineStr">
        <is>
          <t>1993-03-22</t>
        </is>
      </c>
      <c r="Y536" t="n">
        <v>147</v>
      </c>
      <c r="Z536" t="n">
        <v>91</v>
      </c>
      <c r="AA536" t="n">
        <v>94</v>
      </c>
      <c r="AB536" t="n">
        <v>2</v>
      </c>
      <c r="AC536" t="n">
        <v>2</v>
      </c>
      <c r="AD536" t="n">
        <v>5</v>
      </c>
      <c r="AE536" t="n">
        <v>5</v>
      </c>
      <c r="AF536" t="n">
        <v>2</v>
      </c>
      <c r="AG536" t="n">
        <v>2</v>
      </c>
      <c r="AH536" t="n">
        <v>1</v>
      </c>
      <c r="AI536" t="n">
        <v>1</v>
      </c>
      <c r="AJ536" t="n">
        <v>3</v>
      </c>
      <c r="AK536" t="n">
        <v>3</v>
      </c>
      <c r="AL536" t="n">
        <v>1</v>
      </c>
      <c r="AM536" t="n">
        <v>1</v>
      </c>
      <c r="AN536" t="n">
        <v>0</v>
      </c>
      <c r="AO536" t="n">
        <v>0</v>
      </c>
      <c r="AP536" t="inlineStr">
        <is>
          <t>No</t>
        </is>
      </c>
      <c r="AQ536" t="inlineStr">
        <is>
          <t>Yes</t>
        </is>
      </c>
      <c r="AR536">
        <f>HYPERLINK("http://catalog.hathitrust.org/Record/000416568","HathiTrust Record")</f>
        <v/>
      </c>
      <c r="AS536">
        <f>HYPERLINK("https://creighton-primo.hosted.exlibrisgroup.com/primo-explore/search?tab=default_tab&amp;search_scope=EVERYTHING&amp;vid=01CRU&amp;lang=en_US&amp;offset=0&amp;query=any,contains,991000615449702656","Catalog Record")</f>
        <v/>
      </c>
      <c r="AT536">
        <f>HYPERLINK("http://www.worldcat.org/oclc/11932033","WorldCat Record")</f>
        <v/>
      </c>
      <c r="AU536" t="inlineStr">
        <is>
          <t>4618153:eng</t>
        </is>
      </c>
      <c r="AV536" t="inlineStr">
        <is>
          <t>11932033</t>
        </is>
      </c>
      <c r="AW536" t="inlineStr">
        <is>
          <t>991000615449702656</t>
        </is>
      </c>
      <c r="AX536" t="inlineStr">
        <is>
          <t>991000615449702656</t>
        </is>
      </c>
      <c r="AY536" t="inlineStr">
        <is>
          <t>2268112560002656</t>
        </is>
      </c>
      <c r="AZ536" t="inlineStr">
        <is>
          <t>BOOK</t>
        </is>
      </c>
      <c r="BB536" t="inlineStr">
        <is>
          <t>9780861270071</t>
        </is>
      </c>
      <c r="BC536" t="inlineStr">
        <is>
          <t>32285001605913</t>
        </is>
      </c>
      <c r="BD536" t="inlineStr">
        <is>
          <t>893339722</t>
        </is>
      </c>
    </row>
    <row r="537">
      <c r="A537" t="inlineStr">
        <is>
          <t>No</t>
        </is>
      </c>
      <c r="B537" t="inlineStr">
        <is>
          <t>RC455.2.E8 P8 1982</t>
        </is>
      </c>
      <c r="C537" t="inlineStr">
        <is>
          <t>0                      RC 0455200E  8                  P  8           1982</t>
        </is>
      </c>
      <c r="D537" t="inlineStr">
        <is>
          <t>Psychiatry and ethics : insanity, rational autonomy, and mental health care / edited by Rem B. Edwards.</t>
        </is>
      </c>
      <c r="F537" t="inlineStr">
        <is>
          <t>No</t>
        </is>
      </c>
      <c r="G537" t="inlineStr">
        <is>
          <t>1</t>
        </is>
      </c>
      <c r="H537" t="inlineStr">
        <is>
          <t>Yes</t>
        </is>
      </c>
      <c r="I537" t="inlineStr">
        <is>
          <t>No</t>
        </is>
      </c>
      <c r="J537" t="inlineStr">
        <is>
          <t>0</t>
        </is>
      </c>
      <c r="L537" t="inlineStr">
        <is>
          <t>Buffalo, N.Y. : Prometheus Books, 1982.</t>
        </is>
      </c>
      <c r="M537" t="inlineStr">
        <is>
          <t>1982</t>
        </is>
      </c>
      <c r="O537" t="inlineStr">
        <is>
          <t>eng</t>
        </is>
      </c>
      <c r="P537" t="inlineStr">
        <is>
          <t>nyu</t>
        </is>
      </c>
      <c r="Q537" t="inlineStr">
        <is>
          <t>Health care and medical ethics series</t>
        </is>
      </c>
      <c r="R537" t="inlineStr">
        <is>
          <t xml:space="preserve">RC </t>
        </is>
      </c>
      <c r="S537" t="n">
        <v>9</v>
      </c>
      <c r="T537" t="n">
        <v>16</v>
      </c>
      <c r="U537" t="inlineStr">
        <is>
          <t>2004-02-17</t>
        </is>
      </c>
      <c r="V537" t="inlineStr">
        <is>
          <t>2004-02-17</t>
        </is>
      </c>
      <c r="W537" t="inlineStr">
        <is>
          <t>1992-04-22</t>
        </is>
      </c>
      <c r="X537" t="inlineStr">
        <is>
          <t>1992-04-22</t>
        </is>
      </c>
      <c r="Y537" t="n">
        <v>395</v>
      </c>
      <c r="Z537" t="n">
        <v>334</v>
      </c>
      <c r="AA537" t="n">
        <v>334</v>
      </c>
      <c r="AB537" t="n">
        <v>4</v>
      </c>
      <c r="AC537" t="n">
        <v>4</v>
      </c>
      <c r="AD537" t="n">
        <v>19</v>
      </c>
      <c r="AE537" t="n">
        <v>19</v>
      </c>
      <c r="AF537" t="n">
        <v>5</v>
      </c>
      <c r="AG537" t="n">
        <v>5</v>
      </c>
      <c r="AH537" t="n">
        <v>4</v>
      </c>
      <c r="AI537" t="n">
        <v>4</v>
      </c>
      <c r="AJ537" t="n">
        <v>10</v>
      </c>
      <c r="AK537" t="n">
        <v>10</v>
      </c>
      <c r="AL537" t="n">
        <v>1</v>
      </c>
      <c r="AM537" t="n">
        <v>1</v>
      </c>
      <c r="AN537" t="n">
        <v>3</v>
      </c>
      <c r="AO537" t="n">
        <v>3</v>
      </c>
      <c r="AP537" t="inlineStr">
        <is>
          <t>No</t>
        </is>
      </c>
      <c r="AQ537" t="inlineStr">
        <is>
          <t>No</t>
        </is>
      </c>
      <c r="AS537">
        <f>HYPERLINK("https://creighton-primo.hosted.exlibrisgroup.com/primo-explore/search?tab=default_tab&amp;search_scope=EVERYTHING&amp;vid=01CRU&amp;lang=en_US&amp;offset=0&amp;query=any,contains,991001791459702656","Catalog Record")</f>
        <v/>
      </c>
      <c r="AT537">
        <f>HYPERLINK("http://www.worldcat.org/oclc/9139233","WorldCat Record")</f>
        <v/>
      </c>
      <c r="AU537" t="inlineStr">
        <is>
          <t>43690065:eng</t>
        </is>
      </c>
      <c r="AV537" t="inlineStr">
        <is>
          <t>9139233</t>
        </is>
      </c>
      <c r="AW537" t="inlineStr">
        <is>
          <t>991001791459702656</t>
        </is>
      </c>
      <c r="AX537" t="inlineStr">
        <is>
          <t>991001791459702656</t>
        </is>
      </c>
      <c r="AY537" t="inlineStr">
        <is>
          <t>2264954370002656</t>
        </is>
      </c>
      <c r="AZ537" t="inlineStr">
        <is>
          <t>BOOK</t>
        </is>
      </c>
      <c r="BB537" t="inlineStr">
        <is>
          <t>9780879751784</t>
        </is>
      </c>
      <c r="BC537" t="inlineStr">
        <is>
          <t>32285001063717</t>
        </is>
      </c>
      <c r="BD537" t="inlineStr">
        <is>
          <t>893420629</t>
        </is>
      </c>
    </row>
    <row r="538">
      <c r="A538" t="inlineStr">
        <is>
          <t>No</t>
        </is>
      </c>
      <c r="B538" t="inlineStr">
        <is>
          <t>RC455.2.F35 C35 1998</t>
        </is>
      </c>
      <c r="C538" t="inlineStr">
        <is>
          <t>0                      RC 0455200F  35                 C  35          1998</t>
        </is>
      </c>
      <c r="D538" t="inlineStr">
        <is>
          <t>Smoke and mirrors : the devastating effect of false sexual abuse claims / Terence W. Campbell.</t>
        </is>
      </c>
      <c r="F538" t="inlineStr">
        <is>
          <t>No</t>
        </is>
      </c>
      <c r="G538" t="inlineStr">
        <is>
          <t>1</t>
        </is>
      </c>
      <c r="H538" t="inlineStr">
        <is>
          <t>No</t>
        </is>
      </c>
      <c r="I538" t="inlineStr">
        <is>
          <t>No</t>
        </is>
      </c>
      <c r="J538" t="inlineStr">
        <is>
          <t>0</t>
        </is>
      </c>
      <c r="K538" t="inlineStr">
        <is>
          <t>Campbell, Terence W.</t>
        </is>
      </c>
      <c r="L538" t="inlineStr">
        <is>
          <t>New York : Insight Books, c1998.</t>
        </is>
      </c>
      <c r="M538" t="inlineStr">
        <is>
          <t>1998</t>
        </is>
      </c>
      <c r="O538" t="inlineStr">
        <is>
          <t>eng</t>
        </is>
      </c>
      <c r="P538" t="inlineStr">
        <is>
          <t>nyu</t>
        </is>
      </c>
      <c r="R538" t="inlineStr">
        <is>
          <t xml:space="preserve">RC </t>
        </is>
      </c>
      <c r="S538" t="n">
        <v>7</v>
      </c>
      <c r="T538" t="n">
        <v>7</v>
      </c>
      <c r="U538" t="inlineStr">
        <is>
          <t>2009-05-27</t>
        </is>
      </c>
      <c r="V538" t="inlineStr">
        <is>
          <t>2009-05-27</t>
        </is>
      </c>
      <c r="W538" t="inlineStr">
        <is>
          <t>1998-12-07</t>
        </is>
      </c>
      <c r="X538" t="inlineStr">
        <is>
          <t>1998-12-07</t>
        </is>
      </c>
      <c r="Y538" t="n">
        <v>670</v>
      </c>
      <c r="Z538" t="n">
        <v>598</v>
      </c>
      <c r="AA538" t="n">
        <v>604</v>
      </c>
      <c r="AB538" t="n">
        <v>5</v>
      </c>
      <c r="AC538" t="n">
        <v>5</v>
      </c>
      <c r="AD538" t="n">
        <v>31</v>
      </c>
      <c r="AE538" t="n">
        <v>31</v>
      </c>
      <c r="AF538" t="n">
        <v>13</v>
      </c>
      <c r="AG538" t="n">
        <v>13</v>
      </c>
      <c r="AH538" t="n">
        <v>4</v>
      </c>
      <c r="AI538" t="n">
        <v>4</v>
      </c>
      <c r="AJ538" t="n">
        <v>12</v>
      </c>
      <c r="AK538" t="n">
        <v>12</v>
      </c>
      <c r="AL538" t="n">
        <v>4</v>
      </c>
      <c r="AM538" t="n">
        <v>4</v>
      </c>
      <c r="AN538" t="n">
        <v>5</v>
      </c>
      <c r="AO538" t="n">
        <v>5</v>
      </c>
      <c r="AP538" t="inlineStr">
        <is>
          <t>No</t>
        </is>
      </c>
      <c r="AQ538" t="inlineStr">
        <is>
          <t>Yes</t>
        </is>
      </c>
      <c r="AR538">
        <f>HYPERLINK("http://catalog.hathitrust.org/Record/003993556","HathiTrust Record")</f>
        <v/>
      </c>
      <c r="AS538">
        <f>HYPERLINK("https://creighton-primo.hosted.exlibrisgroup.com/primo-explore/search?tab=default_tab&amp;search_scope=EVERYTHING&amp;vid=01CRU&amp;lang=en_US&amp;offset=0&amp;query=any,contains,991002950389702656","Catalog Record")</f>
        <v/>
      </c>
      <c r="AT538">
        <f>HYPERLINK("http://www.worldcat.org/oclc/39313449","WorldCat Record")</f>
        <v/>
      </c>
      <c r="AU538" t="inlineStr">
        <is>
          <t>372426626:eng</t>
        </is>
      </c>
      <c r="AV538" t="inlineStr">
        <is>
          <t>39313449</t>
        </is>
      </c>
      <c r="AW538" t="inlineStr">
        <is>
          <t>991002950389702656</t>
        </is>
      </c>
      <c r="AX538" t="inlineStr">
        <is>
          <t>991002950389702656</t>
        </is>
      </c>
      <c r="AY538" t="inlineStr">
        <is>
          <t>2269314440002656</t>
        </is>
      </c>
      <c r="AZ538" t="inlineStr">
        <is>
          <t>BOOK</t>
        </is>
      </c>
      <c r="BB538" t="inlineStr">
        <is>
          <t>9780306459849</t>
        </is>
      </c>
      <c r="BC538" t="inlineStr">
        <is>
          <t>32285003494241</t>
        </is>
      </c>
      <c r="BD538" t="inlineStr">
        <is>
          <t>893899443</t>
        </is>
      </c>
    </row>
    <row r="539">
      <c r="A539" t="inlineStr">
        <is>
          <t>No</t>
        </is>
      </c>
      <c r="B539" t="inlineStr">
        <is>
          <t>RC455.2.F35 S33 2009</t>
        </is>
      </c>
      <c r="C539" t="inlineStr">
        <is>
          <t>0                      RC 0455200F  35                 S  33          2009</t>
        </is>
      </c>
      <c r="D539" t="inlineStr">
        <is>
          <t>Remembering our childhood : how memory betrays us / by Karl Sabbagh.</t>
        </is>
      </c>
      <c r="F539" t="inlineStr">
        <is>
          <t>No</t>
        </is>
      </c>
      <c r="G539" t="inlineStr">
        <is>
          <t>1</t>
        </is>
      </c>
      <c r="H539" t="inlineStr">
        <is>
          <t>No</t>
        </is>
      </c>
      <c r="I539" t="inlineStr">
        <is>
          <t>No</t>
        </is>
      </c>
      <c r="J539" t="inlineStr">
        <is>
          <t>0</t>
        </is>
      </c>
      <c r="K539" t="inlineStr">
        <is>
          <t>Sabbagh, Karl.</t>
        </is>
      </c>
      <c r="L539" t="inlineStr">
        <is>
          <t>Oxford ; New York : Oxford University Press, 2009.</t>
        </is>
      </c>
      <c r="M539" t="inlineStr">
        <is>
          <t>2009</t>
        </is>
      </c>
      <c r="O539" t="inlineStr">
        <is>
          <t>eng</t>
        </is>
      </c>
      <c r="P539" t="inlineStr">
        <is>
          <t>enk</t>
        </is>
      </c>
      <c r="R539" t="inlineStr">
        <is>
          <t xml:space="preserve">RC </t>
        </is>
      </c>
      <c r="S539" t="n">
        <v>2</v>
      </c>
      <c r="T539" t="n">
        <v>2</v>
      </c>
      <c r="U539" t="inlineStr">
        <is>
          <t>2010-04-14</t>
        </is>
      </c>
      <c r="V539" t="inlineStr">
        <is>
          <t>2010-04-14</t>
        </is>
      </c>
      <c r="W539" t="inlineStr">
        <is>
          <t>2010-03-24</t>
        </is>
      </c>
      <c r="X539" t="inlineStr">
        <is>
          <t>2010-03-24</t>
        </is>
      </c>
      <c r="Y539" t="n">
        <v>572</v>
      </c>
      <c r="Z539" t="n">
        <v>476</v>
      </c>
      <c r="AA539" t="n">
        <v>747</v>
      </c>
      <c r="AB539" t="n">
        <v>3</v>
      </c>
      <c r="AC539" t="n">
        <v>6</v>
      </c>
      <c r="AD539" t="n">
        <v>26</v>
      </c>
      <c r="AE539" t="n">
        <v>29</v>
      </c>
      <c r="AF539" t="n">
        <v>9</v>
      </c>
      <c r="AG539" t="n">
        <v>9</v>
      </c>
      <c r="AH539" t="n">
        <v>4</v>
      </c>
      <c r="AI539" t="n">
        <v>4</v>
      </c>
      <c r="AJ539" t="n">
        <v>14</v>
      </c>
      <c r="AK539" t="n">
        <v>14</v>
      </c>
      <c r="AL539" t="n">
        <v>2</v>
      </c>
      <c r="AM539" t="n">
        <v>5</v>
      </c>
      <c r="AN539" t="n">
        <v>2</v>
      </c>
      <c r="AO539" t="n">
        <v>2</v>
      </c>
      <c r="AP539" t="inlineStr">
        <is>
          <t>No</t>
        </is>
      </c>
      <c r="AQ539" t="inlineStr">
        <is>
          <t>No</t>
        </is>
      </c>
      <c r="AS539">
        <f>HYPERLINK("https://creighton-primo.hosted.exlibrisgroup.com/primo-explore/search?tab=default_tab&amp;search_scope=EVERYTHING&amp;vid=01CRU&amp;lang=en_US&amp;offset=0&amp;query=any,contains,991005375859702656","Catalog Record")</f>
        <v/>
      </c>
      <c r="AT539">
        <f>HYPERLINK("http://www.worldcat.org/oclc/260204552","WorldCat Record")</f>
        <v/>
      </c>
      <c r="AU539" t="inlineStr">
        <is>
          <t>800829834:eng</t>
        </is>
      </c>
      <c r="AV539" t="inlineStr">
        <is>
          <t>260204552</t>
        </is>
      </c>
      <c r="AW539" t="inlineStr">
        <is>
          <t>991005375859702656</t>
        </is>
      </c>
      <c r="AX539" t="inlineStr">
        <is>
          <t>991005375859702656</t>
        </is>
      </c>
      <c r="AY539" t="inlineStr">
        <is>
          <t>2267867730002656</t>
        </is>
      </c>
      <c r="AZ539" t="inlineStr">
        <is>
          <t>BOOK</t>
        </is>
      </c>
      <c r="BB539" t="inlineStr">
        <is>
          <t>9780199218400</t>
        </is>
      </c>
      <c r="BC539" t="inlineStr">
        <is>
          <t>32285005579650</t>
        </is>
      </c>
      <c r="BD539" t="inlineStr">
        <is>
          <t>893613600</t>
        </is>
      </c>
    </row>
    <row r="540">
      <c r="A540" t="inlineStr">
        <is>
          <t>No</t>
        </is>
      </c>
      <c r="B540" t="inlineStr">
        <is>
          <t>RC455.2.F35 S67 1996</t>
        </is>
      </c>
      <c r="C540" t="inlineStr">
        <is>
          <t>0                      RC 0455200F  35                 S  67          1996</t>
        </is>
      </c>
      <c r="D540" t="inlineStr">
        <is>
          <t>Multiple identities &amp; false memories : a sociocognitive perspective / Nicholas P. Spanos.</t>
        </is>
      </c>
      <c r="F540" t="inlineStr">
        <is>
          <t>No</t>
        </is>
      </c>
      <c r="G540" t="inlineStr">
        <is>
          <t>1</t>
        </is>
      </c>
      <c r="H540" t="inlineStr">
        <is>
          <t>No</t>
        </is>
      </c>
      <c r="I540" t="inlineStr">
        <is>
          <t>No</t>
        </is>
      </c>
      <c r="J540" t="inlineStr">
        <is>
          <t>0</t>
        </is>
      </c>
      <c r="K540" t="inlineStr">
        <is>
          <t>Spanos, Nicholas P.</t>
        </is>
      </c>
      <c r="L540" t="inlineStr">
        <is>
          <t>Washington, DC : American Psychological Association, c1996.</t>
        </is>
      </c>
      <c r="M540" t="inlineStr">
        <is>
          <t>1996</t>
        </is>
      </c>
      <c r="O540" t="inlineStr">
        <is>
          <t>eng</t>
        </is>
      </c>
      <c r="P540" t="inlineStr">
        <is>
          <t>dcu</t>
        </is>
      </c>
      <c r="R540" t="inlineStr">
        <is>
          <t xml:space="preserve">RC </t>
        </is>
      </c>
      <c r="S540" t="n">
        <v>18</v>
      </c>
      <c r="T540" t="n">
        <v>18</v>
      </c>
      <c r="U540" t="inlineStr">
        <is>
          <t>2006-10-09</t>
        </is>
      </c>
      <c r="V540" t="inlineStr">
        <is>
          <t>2006-10-09</t>
        </is>
      </c>
      <c r="W540" t="inlineStr">
        <is>
          <t>1997-01-03</t>
        </is>
      </c>
      <c r="X540" t="inlineStr">
        <is>
          <t>1997-01-03</t>
        </is>
      </c>
      <c r="Y540" t="n">
        <v>854</v>
      </c>
      <c r="Z540" t="n">
        <v>759</v>
      </c>
      <c r="AA540" t="n">
        <v>815</v>
      </c>
      <c r="AB540" t="n">
        <v>9</v>
      </c>
      <c r="AC540" t="n">
        <v>10</v>
      </c>
      <c r="AD540" t="n">
        <v>41</v>
      </c>
      <c r="AE540" t="n">
        <v>44</v>
      </c>
      <c r="AF540" t="n">
        <v>18</v>
      </c>
      <c r="AG540" t="n">
        <v>20</v>
      </c>
      <c r="AH540" t="n">
        <v>6</v>
      </c>
      <c r="AI540" t="n">
        <v>6</v>
      </c>
      <c r="AJ540" t="n">
        <v>17</v>
      </c>
      <c r="AK540" t="n">
        <v>17</v>
      </c>
      <c r="AL540" t="n">
        <v>7</v>
      </c>
      <c r="AM540" t="n">
        <v>8</v>
      </c>
      <c r="AN540" t="n">
        <v>0</v>
      </c>
      <c r="AO540" t="n">
        <v>0</v>
      </c>
      <c r="AP540" t="inlineStr">
        <is>
          <t>No</t>
        </is>
      </c>
      <c r="AQ540" t="inlineStr">
        <is>
          <t>No</t>
        </is>
      </c>
      <c r="AS540">
        <f>HYPERLINK("https://creighton-primo.hosted.exlibrisgroup.com/primo-explore/search?tab=default_tab&amp;search_scope=EVERYTHING&amp;vid=01CRU&amp;lang=en_US&amp;offset=0&amp;query=any,contains,991002685039702656","Catalog Record")</f>
        <v/>
      </c>
      <c r="AT540">
        <f>HYPERLINK("http://www.worldcat.org/oclc/35084823","WorldCat Record")</f>
        <v/>
      </c>
      <c r="AU540" t="inlineStr">
        <is>
          <t>40586904:eng</t>
        </is>
      </c>
      <c r="AV540" t="inlineStr">
        <is>
          <t>35084823</t>
        </is>
      </c>
      <c r="AW540" t="inlineStr">
        <is>
          <t>991002685039702656</t>
        </is>
      </c>
      <c r="AX540" t="inlineStr">
        <is>
          <t>991002685039702656</t>
        </is>
      </c>
      <c r="AY540" t="inlineStr">
        <is>
          <t>2255259760002656</t>
        </is>
      </c>
      <c r="AZ540" t="inlineStr">
        <is>
          <t>BOOK</t>
        </is>
      </c>
      <c r="BB540" t="inlineStr">
        <is>
          <t>9781557983404</t>
        </is>
      </c>
      <c r="BC540" t="inlineStr">
        <is>
          <t>32285002405107</t>
        </is>
      </c>
      <c r="BD540" t="inlineStr">
        <is>
          <t>893440384</t>
        </is>
      </c>
    </row>
    <row r="541">
      <c r="A541" t="inlineStr">
        <is>
          <t>No</t>
        </is>
      </c>
      <c r="B541" t="inlineStr">
        <is>
          <t>RC455.2.F35 T78 1998</t>
        </is>
      </c>
      <c r="C541" t="inlineStr">
        <is>
          <t>0                      RC 0455200F  35                 T  78          1998</t>
        </is>
      </c>
      <c r="D541" t="inlineStr">
        <is>
          <t>Truth in memory / edited by Steven Jay Lynn, Kevin M. McConkey.</t>
        </is>
      </c>
      <c r="F541" t="inlineStr">
        <is>
          <t>No</t>
        </is>
      </c>
      <c r="G541" t="inlineStr">
        <is>
          <t>1</t>
        </is>
      </c>
      <c r="H541" t="inlineStr">
        <is>
          <t>No</t>
        </is>
      </c>
      <c r="I541" t="inlineStr">
        <is>
          <t>No</t>
        </is>
      </c>
      <c r="J541" t="inlineStr">
        <is>
          <t>0</t>
        </is>
      </c>
      <c r="L541" t="inlineStr">
        <is>
          <t>New York : Guilford Press, c1998.</t>
        </is>
      </c>
      <c r="M541" t="inlineStr">
        <is>
          <t>1998</t>
        </is>
      </c>
      <c r="O541" t="inlineStr">
        <is>
          <t>eng</t>
        </is>
      </c>
      <c r="P541" t="inlineStr">
        <is>
          <t>nyu</t>
        </is>
      </c>
      <c r="R541" t="inlineStr">
        <is>
          <t xml:space="preserve">RC </t>
        </is>
      </c>
      <c r="S541" t="n">
        <v>4</v>
      </c>
      <c r="T541" t="n">
        <v>4</v>
      </c>
      <c r="U541" t="inlineStr">
        <is>
          <t>2007-11-30</t>
        </is>
      </c>
      <c r="V541" t="inlineStr">
        <is>
          <t>2007-11-30</t>
        </is>
      </c>
      <c r="W541" t="inlineStr">
        <is>
          <t>1999-02-01</t>
        </is>
      </c>
      <c r="X541" t="inlineStr">
        <is>
          <t>1999-02-01</t>
        </is>
      </c>
      <c r="Y541" t="n">
        <v>606</v>
      </c>
      <c r="Z541" t="n">
        <v>504</v>
      </c>
      <c r="AA541" t="n">
        <v>504</v>
      </c>
      <c r="AB541" t="n">
        <v>4</v>
      </c>
      <c r="AC541" t="n">
        <v>4</v>
      </c>
      <c r="AD541" t="n">
        <v>24</v>
      </c>
      <c r="AE541" t="n">
        <v>24</v>
      </c>
      <c r="AF541" t="n">
        <v>7</v>
      </c>
      <c r="AG541" t="n">
        <v>7</v>
      </c>
      <c r="AH541" t="n">
        <v>6</v>
      </c>
      <c r="AI541" t="n">
        <v>6</v>
      </c>
      <c r="AJ541" t="n">
        <v>15</v>
      </c>
      <c r="AK541" t="n">
        <v>15</v>
      </c>
      <c r="AL541" t="n">
        <v>3</v>
      </c>
      <c r="AM541" t="n">
        <v>3</v>
      </c>
      <c r="AN541" t="n">
        <v>1</v>
      </c>
      <c r="AO541" t="n">
        <v>1</v>
      </c>
      <c r="AP541" t="inlineStr">
        <is>
          <t>No</t>
        </is>
      </c>
      <c r="AQ541" t="inlineStr">
        <is>
          <t>No</t>
        </is>
      </c>
      <c r="AS541">
        <f>HYPERLINK("https://creighton-primo.hosted.exlibrisgroup.com/primo-explore/search?tab=default_tab&amp;search_scope=EVERYTHING&amp;vid=01CRU&amp;lang=en_US&amp;offset=0&amp;query=any,contains,991002925419702656","Catalog Record")</f>
        <v/>
      </c>
      <c r="AT541">
        <f>HYPERLINK("http://www.worldcat.org/oclc/38884056","WorldCat Record")</f>
        <v/>
      </c>
      <c r="AU541" t="inlineStr">
        <is>
          <t>350463887:eng</t>
        </is>
      </c>
      <c r="AV541" t="inlineStr">
        <is>
          <t>38884056</t>
        </is>
      </c>
      <c r="AW541" t="inlineStr">
        <is>
          <t>991002925419702656</t>
        </is>
      </c>
      <c r="AX541" t="inlineStr">
        <is>
          <t>991002925419702656</t>
        </is>
      </c>
      <c r="AY541" t="inlineStr">
        <is>
          <t>2259988520002656</t>
        </is>
      </c>
      <c r="AZ541" t="inlineStr">
        <is>
          <t>BOOK</t>
        </is>
      </c>
      <c r="BB541" t="inlineStr">
        <is>
          <t>9781572303454</t>
        </is>
      </c>
      <c r="BC541" t="inlineStr">
        <is>
          <t>32285003517231</t>
        </is>
      </c>
      <c r="BD541" t="inlineStr">
        <is>
          <t>893348105</t>
        </is>
      </c>
    </row>
    <row r="542">
      <c r="A542" t="inlineStr">
        <is>
          <t>No</t>
        </is>
      </c>
      <c r="B542" t="inlineStr">
        <is>
          <t>RC455.2.F35 V36 1997</t>
        </is>
      </c>
      <c r="C542" t="inlineStr">
        <is>
          <t>0                      RC 0455200F  35                 V  36          1997</t>
        </is>
      </c>
      <c r="D542" t="inlineStr">
        <is>
          <t>Lost daughters : recovered memory therapy and the people it hurts / Reinder Van Til ; [foreword by Martin E. Marty].</t>
        </is>
      </c>
      <c r="F542" t="inlineStr">
        <is>
          <t>No</t>
        </is>
      </c>
      <c r="G542" t="inlineStr">
        <is>
          <t>1</t>
        </is>
      </c>
      <c r="H542" t="inlineStr">
        <is>
          <t>No</t>
        </is>
      </c>
      <c r="I542" t="inlineStr">
        <is>
          <t>No</t>
        </is>
      </c>
      <c r="J542" t="inlineStr">
        <is>
          <t>0</t>
        </is>
      </c>
      <c r="K542" t="inlineStr">
        <is>
          <t>Van Til, Reinder.</t>
        </is>
      </c>
      <c r="L542" t="inlineStr">
        <is>
          <t>Grand Rapids, Mich. : William B. Eerdmans, c1997.</t>
        </is>
      </c>
      <c r="M542" t="inlineStr">
        <is>
          <t>1997</t>
        </is>
      </c>
      <c r="O542" t="inlineStr">
        <is>
          <t>eng</t>
        </is>
      </c>
      <c r="P542" t="inlineStr">
        <is>
          <t>miu</t>
        </is>
      </c>
      <c r="R542" t="inlineStr">
        <is>
          <t xml:space="preserve">RC </t>
        </is>
      </c>
      <c r="S542" t="n">
        <v>7</v>
      </c>
      <c r="T542" t="n">
        <v>7</v>
      </c>
      <c r="U542" t="inlineStr">
        <is>
          <t>2004-04-20</t>
        </is>
      </c>
      <c r="V542" t="inlineStr">
        <is>
          <t>2004-04-20</t>
        </is>
      </c>
      <c r="W542" t="inlineStr">
        <is>
          <t>1998-08-05</t>
        </is>
      </c>
      <c r="X542" t="inlineStr">
        <is>
          <t>1998-08-05</t>
        </is>
      </c>
      <c r="Y542" t="n">
        <v>485</v>
      </c>
      <c r="Z542" t="n">
        <v>443</v>
      </c>
      <c r="AA542" t="n">
        <v>450</v>
      </c>
      <c r="AB542" t="n">
        <v>2</v>
      </c>
      <c r="AC542" t="n">
        <v>2</v>
      </c>
      <c r="AD542" t="n">
        <v>18</v>
      </c>
      <c r="AE542" t="n">
        <v>18</v>
      </c>
      <c r="AF542" t="n">
        <v>9</v>
      </c>
      <c r="AG542" t="n">
        <v>9</v>
      </c>
      <c r="AH542" t="n">
        <v>1</v>
      </c>
      <c r="AI542" t="n">
        <v>1</v>
      </c>
      <c r="AJ542" t="n">
        <v>13</v>
      </c>
      <c r="AK542" t="n">
        <v>13</v>
      </c>
      <c r="AL542" t="n">
        <v>1</v>
      </c>
      <c r="AM542" t="n">
        <v>1</v>
      </c>
      <c r="AN542" t="n">
        <v>0</v>
      </c>
      <c r="AO542" t="n">
        <v>0</v>
      </c>
      <c r="AP542" t="inlineStr">
        <is>
          <t>No</t>
        </is>
      </c>
      <c r="AQ542" t="inlineStr">
        <is>
          <t>Yes</t>
        </is>
      </c>
      <c r="AR542">
        <f>HYPERLINK("http://catalog.hathitrust.org/Record/003945925","HathiTrust Record")</f>
        <v/>
      </c>
      <c r="AS542">
        <f>HYPERLINK("https://creighton-primo.hosted.exlibrisgroup.com/primo-explore/search?tab=default_tab&amp;search_scope=EVERYTHING&amp;vid=01CRU&amp;lang=en_US&amp;offset=0&amp;query=any,contains,991002810119702656","Catalog Record")</f>
        <v/>
      </c>
      <c r="AT542">
        <f>HYPERLINK("http://www.worldcat.org/oclc/36915675","WorldCat Record")</f>
        <v/>
      </c>
      <c r="AU542" t="inlineStr">
        <is>
          <t>611631:eng</t>
        </is>
      </c>
      <c r="AV542" t="inlineStr">
        <is>
          <t>36915675</t>
        </is>
      </c>
      <c r="AW542" t="inlineStr">
        <is>
          <t>991002810119702656</t>
        </is>
      </c>
      <c r="AX542" t="inlineStr">
        <is>
          <t>991002810119702656</t>
        </is>
      </c>
      <c r="AY542" t="inlineStr">
        <is>
          <t>2259415570002656</t>
        </is>
      </c>
      <c r="AZ542" t="inlineStr">
        <is>
          <t>BOOK</t>
        </is>
      </c>
      <c r="BB542" t="inlineStr">
        <is>
          <t>9780802842725</t>
        </is>
      </c>
      <c r="BC542" t="inlineStr">
        <is>
          <t>32285003449369</t>
        </is>
      </c>
      <c r="BD542" t="inlineStr">
        <is>
          <t>893504833</t>
        </is>
      </c>
    </row>
    <row r="543">
      <c r="A543" t="inlineStr">
        <is>
          <t>No</t>
        </is>
      </c>
      <c r="B543" t="inlineStr">
        <is>
          <t>RC455.2.F67 C53 1990</t>
        </is>
      </c>
      <c r="C543" t="inlineStr">
        <is>
          <t>0                      RC 0455200F  67                 C  53          1990</t>
        </is>
      </c>
      <c r="D543" t="inlineStr">
        <is>
          <t>On being mad or merely angry : John W. Hinckley, Jr., and other dangerous people / James W. Clarke.</t>
        </is>
      </c>
      <c r="F543" t="inlineStr">
        <is>
          <t>No</t>
        </is>
      </c>
      <c r="G543" t="inlineStr">
        <is>
          <t>1</t>
        </is>
      </c>
      <c r="H543" t="inlineStr">
        <is>
          <t>No</t>
        </is>
      </c>
      <c r="I543" t="inlineStr">
        <is>
          <t>No</t>
        </is>
      </c>
      <c r="J543" t="inlineStr">
        <is>
          <t>0</t>
        </is>
      </c>
      <c r="K543" t="inlineStr">
        <is>
          <t>Clarke, James W., 1937-</t>
        </is>
      </c>
      <c r="L543" t="inlineStr">
        <is>
          <t>Princeton, N.J. : Princeton University Press, c1990.</t>
        </is>
      </c>
      <c r="M543" t="inlineStr">
        <is>
          <t>1990</t>
        </is>
      </c>
      <c r="O543" t="inlineStr">
        <is>
          <t>eng</t>
        </is>
      </c>
      <c r="P543" t="inlineStr">
        <is>
          <t>nju</t>
        </is>
      </c>
      <c r="R543" t="inlineStr">
        <is>
          <t xml:space="preserve">RC </t>
        </is>
      </c>
      <c r="S543" t="n">
        <v>4</v>
      </c>
      <c r="T543" t="n">
        <v>4</v>
      </c>
      <c r="U543" t="inlineStr">
        <is>
          <t>1995-05-02</t>
        </is>
      </c>
      <c r="V543" t="inlineStr">
        <is>
          <t>1995-05-02</t>
        </is>
      </c>
      <c r="W543" t="inlineStr">
        <is>
          <t>1991-06-06</t>
        </is>
      </c>
      <c r="X543" t="inlineStr">
        <is>
          <t>1991-06-06</t>
        </is>
      </c>
      <c r="Y543" t="n">
        <v>535</v>
      </c>
      <c r="Z543" t="n">
        <v>486</v>
      </c>
      <c r="AA543" t="n">
        <v>491</v>
      </c>
      <c r="AB543" t="n">
        <v>1</v>
      </c>
      <c r="AC543" t="n">
        <v>1</v>
      </c>
      <c r="AD543" t="n">
        <v>21</v>
      </c>
      <c r="AE543" t="n">
        <v>21</v>
      </c>
      <c r="AF543" t="n">
        <v>9</v>
      </c>
      <c r="AG543" t="n">
        <v>9</v>
      </c>
      <c r="AH543" t="n">
        <v>6</v>
      </c>
      <c r="AI543" t="n">
        <v>6</v>
      </c>
      <c r="AJ543" t="n">
        <v>11</v>
      </c>
      <c r="AK543" t="n">
        <v>11</v>
      </c>
      <c r="AL543" t="n">
        <v>0</v>
      </c>
      <c r="AM543" t="n">
        <v>0</v>
      </c>
      <c r="AN543" t="n">
        <v>3</v>
      </c>
      <c r="AO543" t="n">
        <v>3</v>
      </c>
      <c r="AP543" t="inlineStr">
        <is>
          <t>No</t>
        </is>
      </c>
      <c r="AQ543" t="inlineStr">
        <is>
          <t>No</t>
        </is>
      </c>
      <c r="AS543">
        <f>HYPERLINK("https://creighton-primo.hosted.exlibrisgroup.com/primo-explore/search?tab=default_tab&amp;search_scope=EVERYTHING&amp;vid=01CRU&amp;lang=en_US&amp;offset=0&amp;query=any,contains,991001562739702656","Catalog Record")</f>
        <v/>
      </c>
      <c r="AT543">
        <f>HYPERLINK("http://www.worldcat.org/oclc/20318550","WorldCat Record")</f>
        <v/>
      </c>
      <c r="AU543" t="inlineStr">
        <is>
          <t>312732794:eng</t>
        </is>
      </c>
      <c r="AV543" t="inlineStr">
        <is>
          <t>20318550</t>
        </is>
      </c>
      <c r="AW543" t="inlineStr">
        <is>
          <t>991001562739702656</t>
        </is>
      </c>
      <c r="AX543" t="inlineStr">
        <is>
          <t>991001562739702656</t>
        </is>
      </c>
      <c r="AY543" t="inlineStr">
        <is>
          <t>2257853040002656</t>
        </is>
      </c>
      <c r="AZ543" t="inlineStr">
        <is>
          <t>BOOK</t>
        </is>
      </c>
      <c r="BB543" t="inlineStr">
        <is>
          <t>9780691078526</t>
        </is>
      </c>
      <c r="BC543" t="inlineStr">
        <is>
          <t>32285000593581</t>
        </is>
      </c>
      <c r="BD543" t="inlineStr">
        <is>
          <t>893232068</t>
        </is>
      </c>
    </row>
    <row r="544">
      <c r="A544" t="inlineStr">
        <is>
          <t>No</t>
        </is>
      </c>
      <c r="B544" t="inlineStr">
        <is>
          <t>RC455.2.M38 W543 2005</t>
        </is>
      </c>
      <c r="C544" t="inlineStr">
        <is>
          <t>0                      RC 0455200M  38                 W  543         2005</t>
        </is>
      </c>
      <c r="D544" t="inlineStr">
        <is>
          <t>The psychotherapy documentation primer / Donald E. Wiger.</t>
        </is>
      </c>
      <c r="F544" t="inlineStr">
        <is>
          <t>No</t>
        </is>
      </c>
      <c r="G544" t="inlineStr">
        <is>
          <t>1</t>
        </is>
      </c>
      <c r="H544" t="inlineStr">
        <is>
          <t>No</t>
        </is>
      </c>
      <c r="I544" t="inlineStr">
        <is>
          <t>No</t>
        </is>
      </c>
      <c r="J544" t="inlineStr">
        <is>
          <t>0</t>
        </is>
      </c>
      <c r="K544" t="inlineStr">
        <is>
          <t>Wiger, Donald E., 1953-</t>
        </is>
      </c>
      <c r="L544" t="inlineStr">
        <is>
          <t>Hoboken, N.J. : John Wiley &amp; Sons, c2005.</t>
        </is>
      </c>
      <c r="M544" t="inlineStr">
        <is>
          <t>2005</t>
        </is>
      </c>
      <c r="N544" t="inlineStr">
        <is>
          <t>2nd ed.</t>
        </is>
      </c>
      <c r="O544" t="inlineStr">
        <is>
          <t>eng</t>
        </is>
      </c>
      <c r="P544" t="inlineStr">
        <is>
          <t>nju</t>
        </is>
      </c>
      <c r="Q544" t="inlineStr">
        <is>
          <t>Practice planners</t>
        </is>
      </c>
      <c r="R544" t="inlineStr">
        <is>
          <t xml:space="preserve">RC </t>
        </is>
      </c>
      <c r="S544" t="n">
        <v>1</v>
      </c>
      <c r="T544" t="n">
        <v>1</v>
      </c>
      <c r="U544" t="inlineStr">
        <is>
          <t>2006-12-11</t>
        </is>
      </c>
      <c r="V544" t="inlineStr">
        <is>
          <t>2006-12-11</t>
        </is>
      </c>
      <c r="W544" t="inlineStr">
        <is>
          <t>2006-02-24</t>
        </is>
      </c>
      <c r="X544" t="inlineStr">
        <is>
          <t>2006-02-24</t>
        </is>
      </c>
      <c r="Y544" t="n">
        <v>89</v>
      </c>
      <c r="Z544" t="n">
        <v>68</v>
      </c>
      <c r="AA544" t="n">
        <v>545</v>
      </c>
      <c r="AB544" t="n">
        <v>1</v>
      </c>
      <c r="AC544" t="n">
        <v>5</v>
      </c>
      <c r="AD544" t="n">
        <v>1</v>
      </c>
      <c r="AE544" t="n">
        <v>24</v>
      </c>
      <c r="AF544" t="n">
        <v>1</v>
      </c>
      <c r="AG544" t="n">
        <v>9</v>
      </c>
      <c r="AH544" t="n">
        <v>0</v>
      </c>
      <c r="AI544" t="n">
        <v>6</v>
      </c>
      <c r="AJ544" t="n">
        <v>1</v>
      </c>
      <c r="AK544" t="n">
        <v>9</v>
      </c>
      <c r="AL544" t="n">
        <v>0</v>
      </c>
      <c r="AM544" t="n">
        <v>4</v>
      </c>
      <c r="AN544" t="n">
        <v>0</v>
      </c>
      <c r="AO544" t="n">
        <v>1</v>
      </c>
      <c r="AP544" t="inlineStr">
        <is>
          <t>No</t>
        </is>
      </c>
      <c r="AQ544" t="inlineStr">
        <is>
          <t>Yes</t>
        </is>
      </c>
      <c r="AR544">
        <f>HYPERLINK("http://catalog.hathitrust.org/Record/005060480","HathiTrust Record")</f>
        <v/>
      </c>
      <c r="AS544">
        <f>HYPERLINK("https://creighton-primo.hosted.exlibrisgroup.com/primo-explore/search?tab=default_tab&amp;search_scope=EVERYTHING&amp;vid=01CRU&amp;lang=en_US&amp;offset=0&amp;query=any,contains,991004750919702656","Catalog Record")</f>
        <v/>
      </c>
      <c r="AT544">
        <f>HYPERLINK("http://www.worldcat.org/oclc/57754403","WorldCat Record")</f>
        <v/>
      </c>
      <c r="AU544" t="inlineStr">
        <is>
          <t>1020456:eng</t>
        </is>
      </c>
      <c r="AV544" t="inlineStr">
        <is>
          <t>57754403</t>
        </is>
      </c>
      <c r="AW544" t="inlineStr">
        <is>
          <t>991004750919702656</t>
        </is>
      </c>
      <c r="AX544" t="inlineStr">
        <is>
          <t>991004750919702656</t>
        </is>
      </c>
      <c r="AY544" t="inlineStr">
        <is>
          <t>2267109190002656</t>
        </is>
      </c>
      <c r="AZ544" t="inlineStr">
        <is>
          <t>BOOK</t>
        </is>
      </c>
      <c r="BB544" t="inlineStr">
        <is>
          <t>9780471730163</t>
        </is>
      </c>
      <c r="BC544" t="inlineStr">
        <is>
          <t>32285005163380</t>
        </is>
      </c>
      <c r="BD544" t="inlineStr">
        <is>
          <t>893810674</t>
        </is>
      </c>
    </row>
    <row r="545">
      <c r="A545" t="inlineStr">
        <is>
          <t>No</t>
        </is>
      </c>
      <c r="B545" t="inlineStr">
        <is>
          <t>RC455.2.P85 J56 1987</t>
        </is>
      </c>
      <c r="C545" t="inlineStr">
        <is>
          <t>0                      RC 0455200P  85                 J  56          1987</t>
        </is>
      </c>
      <c r="D545" t="inlineStr">
        <is>
          <t>Changing faces of madness : early American attitudes and treatment of the insane / Mary Ann Jimenez.</t>
        </is>
      </c>
      <c r="F545" t="inlineStr">
        <is>
          <t>No</t>
        </is>
      </c>
      <c r="G545" t="inlineStr">
        <is>
          <t>1</t>
        </is>
      </c>
      <c r="H545" t="inlineStr">
        <is>
          <t>No</t>
        </is>
      </c>
      <c r="I545" t="inlineStr">
        <is>
          <t>No</t>
        </is>
      </c>
      <c r="J545" t="inlineStr">
        <is>
          <t>0</t>
        </is>
      </c>
      <c r="K545" t="inlineStr">
        <is>
          <t>Jimenez, Mary Ann.</t>
        </is>
      </c>
      <c r="L545" t="inlineStr">
        <is>
          <t>Hanover, NH : Published for Brandeis University Press by University Press of New England, 1987.</t>
        </is>
      </c>
      <c r="M545" t="inlineStr">
        <is>
          <t>1987</t>
        </is>
      </c>
      <c r="O545" t="inlineStr">
        <is>
          <t>eng</t>
        </is>
      </c>
      <c r="P545" t="inlineStr">
        <is>
          <t>nhu</t>
        </is>
      </c>
      <c r="R545" t="inlineStr">
        <is>
          <t xml:space="preserve">RC </t>
        </is>
      </c>
      <c r="S545" t="n">
        <v>11</v>
      </c>
      <c r="T545" t="n">
        <v>11</v>
      </c>
      <c r="U545" t="inlineStr">
        <is>
          <t>2004-10-14</t>
        </is>
      </c>
      <c r="V545" t="inlineStr">
        <is>
          <t>2004-10-14</t>
        </is>
      </c>
      <c r="W545" t="inlineStr">
        <is>
          <t>1990-04-10</t>
        </is>
      </c>
      <c r="X545" t="inlineStr">
        <is>
          <t>1990-04-10</t>
        </is>
      </c>
      <c r="Y545" t="n">
        <v>562</v>
      </c>
      <c r="Z545" t="n">
        <v>498</v>
      </c>
      <c r="AA545" t="n">
        <v>500</v>
      </c>
      <c r="AB545" t="n">
        <v>3</v>
      </c>
      <c r="AC545" t="n">
        <v>3</v>
      </c>
      <c r="AD545" t="n">
        <v>22</v>
      </c>
      <c r="AE545" t="n">
        <v>22</v>
      </c>
      <c r="AF545" t="n">
        <v>9</v>
      </c>
      <c r="AG545" t="n">
        <v>9</v>
      </c>
      <c r="AH545" t="n">
        <v>5</v>
      </c>
      <c r="AI545" t="n">
        <v>5</v>
      </c>
      <c r="AJ545" t="n">
        <v>11</v>
      </c>
      <c r="AK545" t="n">
        <v>11</v>
      </c>
      <c r="AL545" t="n">
        <v>2</v>
      </c>
      <c r="AM545" t="n">
        <v>2</v>
      </c>
      <c r="AN545" t="n">
        <v>1</v>
      </c>
      <c r="AO545" t="n">
        <v>1</v>
      </c>
      <c r="AP545" t="inlineStr">
        <is>
          <t>No</t>
        </is>
      </c>
      <c r="AQ545" t="inlineStr">
        <is>
          <t>Yes</t>
        </is>
      </c>
      <c r="AR545">
        <f>HYPERLINK("http://catalog.hathitrust.org/Record/000820785","HathiTrust Record")</f>
        <v/>
      </c>
      <c r="AS545">
        <f>HYPERLINK("https://creighton-primo.hosted.exlibrisgroup.com/primo-explore/search?tab=default_tab&amp;search_scope=EVERYTHING&amp;vid=01CRU&amp;lang=en_US&amp;offset=0&amp;query=any,contains,991000906299702656","Catalog Record")</f>
        <v/>
      </c>
      <c r="AT545">
        <f>HYPERLINK("http://www.worldcat.org/oclc/14098578","WorldCat Record")</f>
        <v/>
      </c>
      <c r="AU545" t="inlineStr">
        <is>
          <t>2852169:eng</t>
        </is>
      </c>
      <c r="AV545" t="inlineStr">
        <is>
          <t>14098578</t>
        </is>
      </c>
      <c r="AW545" t="inlineStr">
        <is>
          <t>991000906299702656</t>
        </is>
      </c>
      <c r="AX545" t="inlineStr">
        <is>
          <t>991000906299702656</t>
        </is>
      </c>
      <c r="AY545" t="inlineStr">
        <is>
          <t>2264908020002656</t>
        </is>
      </c>
      <c r="AZ545" t="inlineStr">
        <is>
          <t>BOOK</t>
        </is>
      </c>
      <c r="BB545" t="inlineStr">
        <is>
          <t>9780874513752</t>
        </is>
      </c>
      <c r="BC545" t="inlineStr">
        <is>
          <t>32285000113521</t>
        </is>
      </c>
      <c r="BD545" t="inlineStr">
        <is>
          <t>893602155</t>
        </is>
      </c>
    </row>
    <row r="546">
      <c r="A546" t="inlineStr">
        <is>
          <t>No</t>
        </is>
      </c>
      <c r="B546" t="inlineStr">
        <is>
          <t>RC455.2.P85 O5 2005</t>
        </is>
      </c>
      <c r="C546" t="inlineStr">
        <is>
          <t>0                      RC 0455200P  85                 O  5           2005</t>
        </is>
      </c>
      <c r="D546" t="inlineStr">
        <is>
          <t>On the stigma of mental illness : practical strategies for research and social change / edited by Patrick W. Corrigan.</t>
        </is>
      </c>
      <c r="F546" t="inlineStr">
        <is>
          <t>No</t>
        </is>
      </c>
      <c r="G546" t="inlineStr">
        <is>
          <t>1</t>
        </is>
      </c>
      <c r="H546" t="inlineStr">
        <is>
          <t>No</t>
        </is>
      </c>
      <c r="I546" t="inlineStr">
        <is>
          <t>No</t>
        </is>
      </c>
      <c r="J546" t="inlineStr">
        <is>
          <t>0</t>
        </is>
      </c>
      <c r="L546" t="inlineStr">
        <is>
          <t>Washington, DC : American Psychological Association, c2005.</t>
        </is>
      </c>
      <c r="M546" t="inlineStr">
        <is>
          <t>2005</t>
        </is>
      </c>
      <c r="N546" t="inlineStr">
        <is>
          <t>1st ed.</t>
        </is>
      </c>
      <c r="O546" t="inlineStr">
        <is>
          <t>eng</t>
        </is>
      </c>
      <c r="P546" t="inlineStr">
        <is>
          <t>dcu</t>
        </is>
      </c>
      <c r="R546" t="inlineStr">
        <is>
          <t xml:space="preserve">RC </t>
        </is>
      </c>
      <c r="S546" t="n">
        <v>6</v>
      </c>
      <c r="T546" t="n">
        <v>6</v>
      </c>
      <c r="U546" t="inlineStr">
        <is>
          <t>2009-10-12</t>
        </is>
      </c>
      <c r="V546" t="inlineStr">
        <is>
          <t>2009-10-12</t>
        </is>
      </c>
      <c r="W546" t="inlineStr">
        <is>
          <t>2005-04-19</t>
        </is>
      </c>
      <c r="X546" t="inlineStr">
        <is>
          <t>2005-04-19</t>
        </is>
      </c>
      <c r="Y546" t="n">
        <v>894</v>
      </c>
      <c r="Z546" t="n">
        <v>754</v>
      </c>
      <c r="AA546" t="n">
        <v>810</v>
      </c>
      <c r="AB546" t="n">
        <v>3</v>
      </c>
      <c r="AC546" t="n">
        <v>4</v>
      </c>
      <c r="AD546" t="n">
        <v>35</v>
      </c>
      <c r="AE546" t="n">
        <v>38</v>
      </c>
      <c r="AF546" t="n">
        <v>14</v>
      </c>
      <c r="AG546" t="n">
        <v>16</v>
      </c>
      <c r="AH546" t="n">
        <v>5</v>
      </c>
      <c r="AI546" t="n">
        <v>5</v>
      </c>
      <c r="AJ546" t="n">
        <v>20</v>
      </c>
      <c r="AK546" t="n">
        <v>20</v>
      </c>
      <c r="AL546" t="n">
        <v>2</v>
      </c>
      <c r="AM546" t="n">
        <v>3</v>
      </c>
      <c r="AN546" t="n">
        <v>1</v>
      </c>
      <c r="AO546" t="n">
        <v>1</v>
      </c>
      <c r="AP546" t="inlineStr">
        <is>
          <t>No</t>
        </is>
      </c>
      <c r="AQ546" t="inlineStr">
        <is>
          <t>No</t>
        </is>
      </c>
      <c r="AS546">
        <f>HYPERLINK("https://creighton-primo.hosted.exlibrisgroup.com/primo-explore/search?tab=default_tab&amp;search_scope=EVERYTHING&amp;vid=01CRU&amp;lang=en_US&amp;offset=0&amp;query=any,contains,991004510799702656","Catalog Record")</f>
        <v/>
      </c>
      <c r="AT546">
        <f>HYPERLINK("http://www.worldcat.org/oclc/55729724","WorldCat Record")</f>
        <v/>
      </c>
      <c r="AU546" t="inlineStr">
        <is>
          <t>796384807:eng</t>
        </is>
      </c>
      <c r="AV546" t="inlineStr">
        <is>
          <t>55729724</t>
        </is>
      </c>
      <c r="AW546" t="inlineStr">
        <is>
          <t>991004510799702656</t>
        </is>
      </c>
      <c r="AX546" t="inlineStr">
        <is>
          <t>991004510799702656</t>
        </is>
      </c>
      <c r="AY546" t="inlineStr">
        <is>
          <t>2271936740002656</t>
        </is>
      </c>
      <c r="AZ546" t="inlineStr">
        <is>
          <t>BOOK</t>
        </is>
      </c>
      <c r="BB546" t="inlineStr">
        <is>
          <t>9781591471899</t>
        </is>
      </c>
      <c r="BC546" t="inlineStr">
        <is>
          <t>32285005032023</t>
        </is>
      </c>
      <c r="BD546" t="inlineStr">
        <is>
          <t>893801033</t>
        </is>
      </c>
    </row>
    <row r="547">
      <c r="A547" t="inlineStr">
        <is>
          <t>No</t>
        </is>
      </c>
      <c r="B547" t="inlineStr">
        <is>
          <t>RC455.4.A77 M33 1989</t>
        </is>
      </c>
      <c r="C547" t="inlineStr">
        <is>
          <t>0                      RC 0455400A  77                 M  33          1989</t>
        </is>
      </c>
      <c r="D547" t="inlineStr">
        <is>
          <t>The discovery of the art of the insane / John M. MacGregor.</t>
        </is>
      </c>
      <c r="F547" t="inlineStr">
        <is>
          <t>No</t>
        </is>
      </c>
      <c r="G547" t="inlineStr">
        <is>
          <t>1</t>
        </is>
      </c>
      <c r="H547" t="inlineStr">
        <is>
          <t>No</t>
        </is>
      </c>
      <c r="I547" t="inlineStr">
        <is>
          <t>No</t>
        </is>
      </c>
      <c r="J547" t="inlineStr">
        <is>
          <t>0</t>
        </is>
      </c>
      <c r="K547" t="inlineStr">
        <is>
          <t>MacGregor, John M. (John Monroe)</t>
        </is>
      </c>
      <c r="L547" t="inlineStr">
        <is>
          <t>Princeton, N.J. : Princeton University Press, c1989.</t>
        </is>
      </c>
      <c r="M547" t="inlineStr">
        <is>
          <t>1989</t>
        </is>
      </c>
      <c r="O547" t="inlineStr">
        <is>
          <t>eng</t>
        </is>
      </c>
      <c r="P547" t="inlineStr">
        <is>
          <t>nju</t>
        </is>
      </c>
      <c r="R547" t="inlineStr">
        <is>
          <t xml:space="preserve">RC </t>
        </is>
      </c>
      <c r="S547" t="n">
        <v>3</v>
      </c>
      <c r="T547" t="n">
        <v>3</v>
      </c>
      <c r="U547" t="inlineStr">
        <is>
          <t>2007-11-02</t>
        </is>
      </c>
      <c r="V547" t="inlineStr">
        <is>
          <t>2007-11-02</t>
        </is>
      </c>
      <c r="W547" t="inlineStr">
        <is>
          <t>2006-11-20</t>
        </is>
      </c>
      <c r="X547" t="inlineStr">
        <is>
          <t>2006-11-20</t>
        </is>
      </c>
      <c r="Y547" t="n">
        <v>749</v>
      </c>
      <c r="Z547" t="n">
        <v>589</v>
      </c>
      <c r="AA547" t="n">
        <v>602</v>
      </c>
      <c r="AB547" t="n">
        <v>3</v>
      </c>
      <c r="AC547" t="n">
        <v>3</v>
      </c>
      <c r="AD547" t="n">
        <v>21</v>
      </c>
      <c r="AE547" t="n">
        <v>21</v>
      </c>
      <c r="AF547" t="n">
        <v>8</v>
      </c>
      <c r="AG547" t="n">
        <v>8</v>
      </c>
      <c r="AH547" t="n">
        <v>4</v>
      </c>
      <c r="AI547" t="n">
        <v>4</v>
      </c>
      <c r="AJ547" t="n">
        <v>11</v>
      </c>
      <c r="AK547" t="n">
        <v>11</v>
      </c>
      <c r="AL547" t="n">
        <v>2</v>
      </c>
      <c r="AM547" t="n">
        <v>2</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HYPERLINK("https://creighton-primo.hosted.exlibrisgroup.com/primo-explore/search?tab=default_tab&amp;search_scope=EVERYTHING&amp;vid=01CRU&amp;lang=en_US&amp;offset=0&amp;query=any,contains,991004986749702656","Catalog Record")</f>
        <v/>
      </c>
      <c r="AT547">
        <f>HYPERLINK("http://www.worldcat.org/oclc/18779232","WorldCat Record")</f>
        <v/>
      </c>
      <c r="AU547" t="inlineStr">
        <is>
          <t>13304384:eng</t>
        </is>
      </c>
      <c r="AV547" t="inlineStr">
        <is>
          <t>18779232</t>
        </is>
      </c>
      <c r="AW547" t="inlineStr">
        <is>
          <t>991004986749702656</t>
        </is>
      </c>
      <c r="AX547" t="inlineStr">
        <is>
          <t>991004986749702656</t>
        </is>
      </c>
      <c r="AY547" t="inlineStr">
        <is>
          <t>2256559850002656</t>
        </is>
      </c>
      <c r="AZ547" t="inlineStr">
        <is>
          <t>BOOK</t>
        </is>
      </c>
      <c r="BB547" t="inlineStr">
        <is>
          <t>9780691000367</t>
        </is>
      </c>
      <c r="BC547" t="inlineStr">
        <is>
          <t>32285005260483</t>
        </is>
      </c>
      <c r="BD547" t="inlineStr">
        <is>
          <t>893870327</t>
        </is>
      </c>
    </row>
    <row r="548">
      <c r="A548" t="inlineStr">
        <is>
          <t>No</t>
        </is>
      </c>
      <c r="B548" t="inlineStr">
        <is>
          <t>RC455.4.B5 A53 1984</t>
        </is>
      </c>
      <c r="C548" t="inlineStr">
        <is>
          <t>0                      RC 0455400B  5                  A  53          1984</t>
        </is>
      </c>
      <c r="D548" t="inlineStr">
        <is>
          <t>The broken brain : the biological revolution in psychiatry / by Nancy C. Andreasen.</t>
        </is>
      </c>
      <c r="F548" t="inlineStr">
        <is>
          <t>No</t>
        </is>
      </c>
      <c r="G548" t="inlineStr">
        <is>
          <t>1</t>
        </is>
      </c>
      <c r="H548" t="inlineStr">
        <is>
          <t>No</t>
        </is>
      </c>
      <c r="I548" t="inlineStr">
        <is>
          <t>Yes</t>
        </is>
      </c>
      <c r="J548" t="inlineStr">
        <is>
          <t>0</t>
        </is>
      </c>
      <c r="K548" t="inlineStr">
        <is>
          <t>Andreasen, Nancy C.</t>
        </is>
      </c>
      <c r="L548" t="inlineStr">
        <is>
          <t>New York : Harper &amp; Row, c1984.</t>
        </is>
      </c>
      <c r="M548" t="inlineStr">
        <is>
          <t>1984</t>
        </is>
      </c>
      <c r="N548" t="inlineStr">
        <is>
          <t>1st ed.</t>
        </is>
      </c>
      <c r="O548" t="inlineStr">
        <is>
          <t>eng</t>
        </is>
      </c>
      <c r="P548" t="inlineStr">
        <is>
          <t>nyu</t>
        </is>
      </c>
      <c r="R548" t="inlineStr">
        <is>
          <t xml:space="preserve">RC </t>
        </is>
      </c>
      <c r="S548" t="n">
        <v>5</v>
      </c>
      <c r="T548" t="n">
        <v>5</v>
      </c>
      <c r="U548" t="inlineStr">
        <is>
          <t>2004-02-28</t>
        </is>
      </c>
      <c r="V548" t="inlineStr">
        <is>
          <t>2004-02-28</t>
        </is>
      </c>
      <c r="W548" t="inlineStr">
        <is>
          <t>1991-11-08</t>
        </is>
      </c>
      <c r="X548" t="inlineStr">
        <is>
          <t>1991-11-08</t>
        </is>
      </c>
      <c r="Y548" t="n">
        <v>1081</v>
      </c>
      <c r="Z548" t="n">
        <v>1005</v>
      </c>
      <c r="AA548" t="n">
        <v>1197</v>
      </c>
      <c r="AB548" t="n">
        <v>11</v>
      </c>
      <c r="AC548" t="n">
        <v>12</v>
      </c>
      <c r="AD548" t="n">
        <v>27</v>
      </c>
      <c r="AE548" t="n">
        <v>34</v>
      </c>
      <c r="AF548" t="n">
        <v>11</v>
      </c>
      <c r="AG548" t="n">
        <v>13</v>
      </c>
      <c r="AH548" t="n">
        <v>6</v>
      </c>
      <c r="AI548" t="n">
        <v>7</v>
      </c>
      <c r="AJ548" t="n">
        <v>13</v>
      </c>
      <c r="AK548" t="n">
        <v>17</v>
      </c>
      <c r="AL548" t="n">
        <v>5</v>
      </c>
      <c r="AM548" t="n">
        <v>6</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HYPERLINK("https://creighton-primo.hosted.exlibrisgroup.com/primo-explore/search?tab=default_tab&amp;search_scope=EVERYTHING&amp;vid=01CRU&amp;lang=en_US&amp;offset=0&amp;query=any,contains,991000451549702656","Catalog Record")</f>
        <v/>
      </c>
      <c r="AT548">
        <f>HYPERLINK("http://www.worldcat.org/oclc/10890535","WorldCat Record")</f>
        <v/>
      </c>
      <c r="AU548" t="inlineStr">
        <is>
          <t>796527498:eng</t>
        </is>
      </c>
      <c r="AV548" t="inlineStr">
        <is>
          <t>10890535</t>
        </is>
      </c>
      <c r="AW548" t="inlineStr">
        <is>
          <t>991000451549702656</t>
        </is>
      </c>
      <c r="AX548" t="inlineStr">
        <is>
          <t>991000451549702656</t>
        </is>
      </c>
      <c r="AY548" t="inlineStr">
        <is>
          <t>2259782410002656</t>
        </is>
      </c>
      <c r="AZ548" t="inlineStr">
        <is>
          <t>BOOK</t>
        </is>
      </c>
      <c r="BB548" t="inlineStr">
        <is>
          <t>9780060152819</t>
        </is>
      </c>
      <c r="BC548" t="inlineStr">
        <is>
          <t>32285000821156</t>
        </is>
      </c>
      <c r="BD548" t="inlineStr">
        <is>
          <t>893345665</t>
        </is>
      </c>
    </row>
    <row r="549">
      <c r="A549" t="inlineStr">
        <is>
          <t>No</t>
        </is>
      </c>
      <c r="B549" t="inlineStr">
        <is>
          <t>RC455.4.B5 T38 2000</t>
        </is>
      </c>
      <c r="C549" t="inlineStr">
        <is>
          <t>0                      RC 0455400B  5                  T  38          2000</t>
        </is>
      </c>
      <c r="D549" t="inlineStr">
        <is>
          <t>Distinguishing psychological from organic disorders : screening for psychological masquerade / Robert L. Taylor.</t>
        </is>
      </c>
      <c r="F549" t="inlineStr">
        <is>
          <t>No</t>
        </is>
      </c>
      <c r="G549" t="inlineStr">
        <is>
          <t>1</t>
        </is>
      </c>
      <c r="H549" t="inlineStr">
        <is>
          <t>No</t>
        </is>
      </c>
      <c r="I549" t="inlineStr">
        <is>
          <t>No</t>
        </is>
      </c>
      <c r="J549" t="inlineStr">
        <is>
          <t>0</t>
        </is>
      </c>
      <c r="K549" t="inlineStr">
        <is>
          <t>Taylor, Robert L., 1942-</t>
        </is>
      </c>
      <c r="L549" t="inlineStr">
        <is>
          <t>New York : Springer Pub. Co., c2000.</t>
        </is>
      </c>
      <c r="M549" t="inlineStr">
        <is>
          <t>2000</t>
        </is>
      </c>
      <c r="N549" t="inlineStr">
        <is>
          <t>2nd ed.</t>
        </is>
      </c>
      <c r="O549" t="inlineStr">
        <is>
          <t>eng</t>
        </is>
      </c>
      <c r="P549" t="inlineStr">
        <is>
          <t>nyu</t>
        </is>
      </c>
      <c r="R549" t="inlineStr">
        <is>
          <t xml:space="preserve">RC </t>
        </is>
      </c>
      <c r="S549" t="n">
        <v>1</v>
      </c>
      <c r="T549" t="n">
        <v>1</v>
      </c>
      <c r="U549" t="inlineStr">
        <is>
          <t>2000-11-16</t>
        </is>
      </c>
      <c r="V549" t="inlineStr">
        <is>
          <t>2000-11-16</t>
        </is>
      </c>
      <c r="W549" t="inlineStr">
        <is>
          <t>2000-11-16</t>
        </is>
      </c>
      <c r="X549" t="inlineStr">
        <is>
          <t>2000-11-16</t>
        </is>
      </c>
      <c r="Y549" t="n">
        <v>163</v>
      </c>
      <c r="Z549" t="n">
        <v>145</v>
      </c>
      <c r="AA549" t="n">
        <v>299</v>
      </c>
      <c r="AB549" t="n">
        <v>1</v>
      </c>
      <c r="AC549" t="n">
        <v>1</v>
      </c>
      <c r="AD549" t="n">
        <v>7</v>
      </c>
      <c r="AE549" t="n">
        <v>12</v>
      </c>
      <c r="AF549" t="n">
        <v>4</v>
      </c>
      <c r="AG549" t="n">
        <v>5</v>
      </c>
      <c r="AH549" t="n">
        <v>1</v>
      </c>
      <c r="AI549" t="n">
        <v>2</v>
      </c>
      <c r="AJ549" t="n">
        <v>5</v>
      </c>
      <c r="AK549" t="n">
        <v>8</v>
      </c>
      <c r="AL549" t="n">
        <v>0</v>
      </c>
      <c r="AM549" t="n">
        <v>0</v>
      </c>
      <c r="AN549" t="n">
        <v>0</v>
      </c>
      <c r="AO549" t="n">
        <v>0</v>
      </c>
      <c r="AP549" t="inlineStr">
        <is>
          <t>No</t>
        </is>
      </c>
      <c r="AQ549" t="inlineStr">
        <is>
          <t>Yes</t>
        </is>
      </c>
      <c r="AR549">
        <f>HYPERLINK("http://catalog.hathitrust.org/Record/004115992","HathiTrust Record")</f>
        <v/>
      </c>
      <c r="AS549">
        <f>HYPERLINK("https://creighton-primo.hosted.exlibrisgroup.com/primo-explore/search?tab=default_tab&amp;search_scope=EVERYTHING&amp;vid=01CRU&amp;lang=en_US&amp;offset=0&amp;query=any,contains,991003284339702656","Catalog Record")</f>
        <v/>
      </c>
      <c r="AT549">
        <f>HYPERLINK("http://www.worldcat.org/oclc/42969482","WorldCat Record")</f>
        <v/>
      </c>
      <c r="AU549" t="inlineStr">
        <is>
          <t>966364:eng</t>
        </is>
      </c>
      <c r="AV549" t="inlineStr">
        <is>
          <t>42969482</t>
        </is>
      </c>
      <c r="AW549" t="inlineStr">
        <is>
          <t>991003284339702656</t>
        </is>
      </c>
      <c r="AX549" t="inlineStr">
        <is>
          <t>991003284339702656</t>
        </is>
      </c>
      <c r="AY549" t="inlineStr">
        <is>
          <t>2266581510002656</t>
        </is>
      </c>
      <c r="AZ549" t="inlineStr">
        <is>
          <t>BOOK</t>
        </is>
      </c>
      <c r="BB549" t="inlineStr">
        <is>
          <t>9780826113290</t>
        </is>
      </c>
      <c r="BC549" t="inlineStr">
        <is>
          <t>32285004266598</t>
        </is>
      </c>
      <c r="BD549" t="inlineStr">
        <is>
          <t>893592371</t>
        </is>
      </c>
    </row>
    <row r="550">
      <c r="A550" t="inlineStr">
        <is>
          <t>No</t>
        </is>
      </c>
      <c r="B550" t="inlineStr">
        <is>
          <t>RC455.4.C6 K8</t>
        </is>
      </c>
      <c r="C550" t="inlineStr">
        <is>
          <t>0                      RC 0455400C  6                  K  8</t>
        </is>
      </c>
      <c r="D550" t="inlineStr">
        <is>
          <t>Psychology experiments on animals : [a critique of animal modes of human psychopathology] / by Brandon Kuker-Reines for New England Anti-Vivisection Society.</t>
        </is>
      </c>
      <c r="F550" t="inlineStr">
        <is>
          <t>No</t>
        </is>
      </c>
      <c r="G550" t="inlineStr">
        <is>
          <t>1</t>
        </is>
      </c>
      <c r="H550" t="inlineStr">
        <is>
          <t>No</t>
        </is>
      </c>
      <c r="I550" t="inlineStr">
        <is>
          <t>No</t>
        </is>
      </c>
      <c r="J550" t="inlineStr">
        <is>
          <t>0</t>
        </is>
      </c>
      <c r="K550" t="inlineStr">
        <is>
          <t>Kuker-Reines, Brandon.</t>
        </is>
      </c>
      <c r="L550" t="inlineStr">
        <is>
          <t>Boston, MA : The Society, c1982.</t>
        </is>
      </c>
      <c r="M550" t="inlineStr">
        <is>
          <t>1982</t>
        </is>
      </c>
      <c r="O550" t="inlineStr">
        <is>
          <t>eng</t>
        </is>
      </c>
      <c r="P550" t="inlineStr">
        <is>
          <t>mau</t>
        </is>
      </c>
      <c r="R550" t="inlineStr">
        <is>
          <t xml:space="preserve">RC </t>
        </is>
      </c>
      <c r="S550" t="n">
        <v>6</v>
      </c>
      <c r="T550" t="n">
        <v>6</v>
      </c>
      <c r="U550" t="inlineStr">
        <is>
          <t>1996-11-03</t>
        </is>
      </c>
      <c r="V550" t="inlineStr">
        <is>
          <t>1996-11-03</t>
        </is>
      </c>
      <c r="W550" t="inlineStr">
        <is>
          <t>1993-03-22</t>
        </is>
      </c>
      <c r="X550" t="inlineStr">
        <is>
          <t>1993-03-22</t>
        </is>
      </c>
      <c r="Y550" t="n">
        <v>474</v>
      </c>
      <c r="Z550" t="n">
        <v>469</v>
      </c>
      <c r="AA550" t="n">
        <v>509</v>
      </c>
      <c r="AB550" t="n">
        <v>2</v>
      </c>
      <c r="AC550" t="n">
        <v>3</v>
      </c>
      <c r="AD550" t="n">
        <v>18</v>
      </c>
      <c r="AE550" t="n">
        <v>18</v>
      </c>
      <c r="AF550" t="n">
        <v>7</v>
      </c>
      <c r="AG550" t="n">
        <v>7</v>
      </c>
      <c r="AH550" t="n">
        <v>5</v>
      </c>
      <c r="AI550" t="n">
        <v>5</v>
      </c>
      <c r="AJ550" t="n">
        <v>10</v>
      </c>
      <c r="AK550" t="n">
        <v>10</v>
      </c>
      <c r="AL550" t="n">
        <v>1</v>
      </c>
      <c r="AM550" t="n">
        <v>1</v>
      </c>
      <c r="AN550" t="n">
        <v>0</v>
      </c>
      <c r="AO550" t="n">
        <v>0</v>
      </c>
      <c r="AP550" t="inlineStr">
        <is>
          <t>No</t>
        </is>
      </c>
      <c r="AQ550" t="inlineStr">
        <is>
          <t>Yes</t>
        </is>
      </c>
      <c r="AR550">
        <f>HYPERLINK("http://catalog.hathitrust.org/Record/006253419","HathiTrust Record")</f>
        <v/>
      </c>
      <c r="AS550">
        <f>HYPERLINK("https://creighton-primo.hosted.exlibrisgroup.com/primo-explore/search?tab=default_tab&amp;search_scope=EVERYTHING&amp;vid=01CRU&amp;lang=en_US&amp;offset=0&amp;query=any,contains,991000128849702656","Catalog Record")</f>
        <v/>
      </c>
      <c r="AT550">
        <f>HYPERLINK("http://www.worldcat.org/oclc/11972314","WorldCat Record")</f>
        <v/>
      </c>
      <c r="AU550" t="inlineStr">
        <is>
          <t>4524165:eng</t>
        </is>
      </c>
      <c r="AV550" t="inlineStr">
        <is>
          <t>11972314</t>
        </is>
      </c>
      <c r="AW550" t="inlineStr">
        <is>
          <t>991000128849702656</t>
        </is>
      </c>
      <c r="AX550" t="inlineStr">
        <is>
          <t>991000128849702656</t>
        </is>
      </c>
      <c r="AY550" t="inlineStr">
        <is>
          <t>2263751480002656</t>
        </is>
      </c>
      <c r="AZ550" t="inlineStr">
        <is>
          <t>BOOK</t>
        </is>
      </c>
      <c r="BC550" t="inlineStr">
        <is>
          <t>32285001605954</t>
        </is>
      </c>
      <c r="BD550" t="inlineStr">
        <is>
          <t>893626215</t>
        </is>
      </c>
    </row>
    <row r="551">
      <c r="A551" t="inlineStr">
        <is>
          <t>No</t>
        </is>
      </c>
      <c r="B551" t="inlineStr">
        <is>
          <t>RC455.4.E46 J64 1990</t>
        </is>
      </c>
      <c r="C551" t="inlineStr">
        <is>
          <t>0                      RC 0455400E  46                 J  64          1990</t>
        </is>
      </c>
      <c r="D551" t="inlineStr">
        <is>
          <t>The deadly emotions : the role of anger, hostility, and aggression in health and emotional well-being / Ernest H. Johnson.</t>
        </is>
      </c>
      <c r="F551" t="inlineStr">
        <is>
          <t>No</t>
        </is>
      </c>
      <c r="G551" t="inlineStr">
        <is>
          <t>1</t>
        </is>
      </c>
      <c r="H551" t="inlineStr">
        <is>
          <t>No</t>
        </is>
      </c>
      <c r="I551" t="inlineStr">
        <is>
          <t>No</t>
        </is>
      </c>
      <c r="J551" t="inlineStr">
        <is>
          <t>0</t>
        </is>
      </c>
      <c r="K551" t="inlineStr">
        <is>
          <t>Johnson, Ernest H.</t>
        </is>
      </c>
      <c r="L551" t="inlineStr">
        <is>
          <t>New York : Praeger, 1990.</t>
        </is>
      </c>
      <c r="M551" t="inlineStr">
        <is>
          <t>1990</t>
        </is>
      </c>
      <c r="O551" t="inlineStr">
        <is>
          <t>eng</t>
        </is>
      </c>
      <c r="P551" t="inlineStr">
        <is>
          <t>nyu</t>
        </is>
      </c>
      <c r="R551" t="inlineStr">
        <is>
          <t xml:space="preserve">RC </t>
        </is>
      </c>
      <c r="S551" t="n">
        <v>11</v>
      </c>
      <c r="T551" t="n">
        <v>11</v>
      </c>
      <c r="U551" t="inlineStr">
        <is>
          <t>2003-04-15</t>
        </is>
      </c>
      <c r="V551" t="inlineStr">
        <is>
          <t>2003-04-15</t>
        </is>
      </c>
      <c r="W551" t="inlineStr">
        <is>
          <t>1992-02-27</t>
        </is>
      </c>
      <c r="X551" t="inlineStr">
        <is>
          <t>1992-02-27</t>
        </is>
      </c>
      <c r="Y551" t="n">
        <v>435</v>
      </c>
      <c r="Z551" t="n">
        <v>366</v>
      </c>
      <c r="AA551" t="n">
        <v>368</v>
      </c>
      <c r="AB551" t="n">
        <v>2</v>
      </c>
      <c r="AC551" t="n">
        <v>2</v>
      </c>
      <c r="AD551" t="n">
        <v>16</v>
      </c>
      <c r="AE551" t="n">
        <v>16</v>
      </c>
      <c r="AF551" t="n">
        <v>5</v>
      </c>
      <c r="AG551" t="n">
        <v>5</v>
      </c>
      <c r="AH551" t="n">
        <v>4</v>
      </c>
      <c r="AI551" t="n">
        <v>4</v>
      </c>
      <c r="AJ551" t="n">
        <v>11</v>
      </c>
      <c r="AK551" t="n">
        <v>11</v>
      </c>
      <c r="AL551" t="n">
        <v>1</v>
      </c>
      <c r="AM551" t="n">
        <v>1</v>
      </c>
      <c r="AN551" t="n">
        <v>0</v>
      </c>
      <c r="AO551" t="n">
        <v>0</v>
      </c>
      <c r="AP551" t="inlineStr">
        <is>
          <t>No</t>
        </is>
      </c>
      <c r="AQ551" t="inlineStr">
        <is>
          <t>Yes</t>
        </is>
      </c>
      <c r="AR551">
        <f>HYPERLINK("http://catalog.hathitrust.org/Record/002437451","HathiTrust Record")</f>
        <v/>
      </c>
      <c r="AS551">
        <f>HYPERLINK("https://creighton-primo.hosted.exlibrisgroup.com/primo-explore/search?tab=default_tab&amp;search_scope=EVERYTHING&amp;vid=01CRU&amp;lang=en_US&amp;offset=0&amp;query=any,contains,991001683009702656","Catalog Record")</f>
        <v/>
      </c>
      <c r="AT551">
        <f>HYPERLINK("http://www.worldcat.org/oclc/21374777","WorldCat Record")</f>
        <v/>
      </c>
      <c r="AU551" t="inlineStr">
        <is>
          <t>3194356:eng</t>
        </is>
      </c>
      <c r="AV551" t="inlineStr">
        <is>
          <t>21374777</t>
        </is>
      </c>
      <c r="AW551" t="inlineStr">
        <is>
          <t>991001683009702656</t>
        </is>
      </c>
      <c r="AX551" t="inlineStr">
        <is>
          <t>991001683009702656</t>
        </is>
      </c>
      <c r="AY551" t="inlineStr">
        <is>
          <t>2263057660002656</t>
        </is>
      </c>
      <c r="AZ551" t="inlineStr">
        <is>
          <t>BOOK</t>
        </is>
      </c>
      <c r="BB551" t="inlineStr">
        <is>
          <t>9780275935900</t>
        </is>
      </c>
      <c r="BC551" t="inlineStr">
        <is>
          <t>32285000936731</t>
        </is>
      </c>
      <c r="BD551" t="inlineStr">
        <is>
          <t>893322147</t>
        </is>
      </c>
    </row>
    <row r="552">
      <c r="A552" t="inlineStr">
        <is>
          <t>No</t>
        </is>
      </c>
      <c r="B552" t="inlineStr">
        <is>
          <t>RC455.4.E8 .B85 2008</t>
        </is>
      </c>
      <c r="C552" t="inlineStr">
        <is>
          <t>0                      RC 0455400E  8                  B  85          2008</t>
        </is>
      </c>
      <c r="D552" t="inlineStr">
        <is>
          <t>Building multicultural competency : development, training, and practice / edited by Joseph L. White and Sheila J. Henderson.</t>
        </is>
      </c>
      <c r="F552" t="inlineStr">
        <is>
          <t>No</t>
        </is>
      </c>
      <c r="G552" t="inlineStr">
        <is>
          <t>1</t>
        </is>
      </c>
      <c r="H552" t="inlineStr">
        <is>
          <t>No</t>
        </is>
      </c>
      <c r="I552" t="inlineStr">
        <is>
          <t>No</t>
        </is>
      </c>
      <c r="J552" t="inlineStr">
        <is>
          <t>0</t>
        </is>
      </c>
      <c r="L552" t="inlineStr">
        <is>
          <t>Lanham, Md. : Rowman &amp; Littlefield Publishers, c2008.</t>
        </is>
      </c>
      <c r="M552" t="inlineStr">
        <is>
          <t>2008</t>
        </is>
      </c>
      <c r="O552" t="inlineStr">
        <is>
          <t>eng</t>
        </is>
      </c>
      <c r="P552" t="inlineStr">
        <is>
          <t>mdu</t>
        </is>
      </c>
      <c r="R552" t="inlineStr">
        <is>
          <t xml:space="preserve">RC </t>
        </is>
      </c>
      <c r="S552" t="n">
        <v>4</v>
      </c>
      <c r="T552" t="n">
        <v>4</v>
      </c>
      <c r="U552" t="inlineStr">
        <is>
          <t>2010-12-06</t>
        </is>
      </c>
      <c r="V552" t="inlineStr">
        <is>
          <t>2010-12-06</t>
        </is>
      </c>
      <c r="W552" t="inlineStr">
        <is>
          <t>2009-11-19</t>
        </is>
      </c>
      <c r="X552" t="inlineStr">
        <is>
          <t>2009-11-19</t>
        </is>
      </c>
      <c r="Y552" t="n">
        <v>190</v>
      </c>
      <c r="Z552" t="n">
        <v>163</v>
      </c>
      <c r="AA552" t="n">
        <v>233</v>
      </c>
      <c r="AB552" t="n">
        <v>2</v>
      </c>
      <c r="AC552" t="n">
        <v>2</v>
      </c>
      <c r="AD552" t="n">
        <v>8</v>
      </c>
      <c r="AE552" t="n">
        <v>9</v>
      </c>
      <c r="AF552" t="n">
        <v>3</v>
      </c>
      <c r="AG552" t="n">
        <v>4</v>
      </c>
      <c r="AH552" t="n">
        <v>2</v>
      </c>
      <c r="AI552" t="n">
        <v>3</v>
      </c>
      <c r="AJ552" t="n">
        <v>5</v>
      </c>
      <c r="AK552" t="n">
        <v>5</v>
      </c>
      <c r="AL552" t="n">
        <v>1</v>
      </c>
      <c r="AM552" t="n">
        <v>1</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HYPERLINK("https://creighton-primo.hosted.exlibrisgroup.com/primo-explore/search?tab=default_tab&amp;search_scope=EVERYTHING&amp;vid=01CRU&amp;lang=en_US&amp;offset=0&amp;query=any,contains,991005341499702656","Catalog Record")</f>
        <v/>
      </c>
      <c r="AT552">
        <f>HYPERLINK("http://www.worldcat.org/oclc/195766968","WorldCat Record")</f>
        <v/>
      </c>
      <c r="AU552" t="inlineStr">
        <is>
          <t>799411920:eng</t>
        </is>
      </c>
      <c r="AV552" t="inlineStr">
        <is>
          <t>195766968</t>
        </is>
      </c>
      <c r="AW552" t="inlineStr">
        <is>
          <t>991005341499702656</t>
        </is>
      </c>
      <c r="AX552" t="inlineStr">
        <is>
          <t>991005341499702656</t>
        </is>
      </c>
      <c r="AY552" t="inlineStr">
        <is>
          <t>2263015900002656</t>
        </is>
      </c>
      <c r="AZ552" t="inlineStr">
        <is>
          <t>BOOK</t>
        </is>
      </c>
      <c r="BB552" t="inlineStr">
        <is>
          <t>9780742563384</t>
        </is>
      </c>
      <c r="BC552" t="inlineStr">
        <is>
          <t>32285005551766</t>
        </is>
      </c>
      <c r="BD552" t="inlineStr">
        <is>
          <t>893601009</t>
        </is>
      </c>
    </row>
    <row r="553">
      <c r="A553" t="inlineStr">
        <is>
          <t>No</t>
        </is>
      </c>
      <c r="B553" t="inlineStr">
        <is>
          <t>RC455.4.E8 C77 1986</t>
        </is>
      </c>
      <c r="C553" t="inlineStr">
        <is>
          <t>0                      RC 0455400E  8                  C  77          1986</t>
        </is>
      </c>
      <c r="D553" t="inlineStr">
        <is>
          <t>Cross-cultural training for mental health professionals / edited by Harriet P. Lefley and Paul B. Pedersen.</t>
        </is>
      </c>
      <c r="F553" t="inlineStr">
        <is>
          <t>No</t>
        </is>
      </c>
      <c r="G553" t="inlineStr">
        <is>
          <t>1</t>
        </is>
      </c>
      <c r="H553" t="inlineStr">
        <is>
          <t>No</t>
        </is>
      </c>
      <c r="I553" t="inlineStr">
        <is>
          <t>No</t>
        </is>
      </c>
      <c r="J553" t="inlineStr">
        <is>
          <t>0</t>
        </is>
      </c>
      <c r="L553" t="inlineStr">
        <is>
          <t>Springfield, Ill., U.S.A. : C. Thomas, c1986.</t>
        </is>
      </c>
      <c r="M553" t="inlineStr">
        <is>
          <t>1986</t>
        </is>
      </c>
      <c r="O553" t="inlineStr">
        <is>
          <t>eng</t>
        </is>
      </c>
      <c r="P553" t="inlineStr">
        <is>
          <t>ilu</t>
        </is>
      </c>
      <c r="R553" t="inlineStr">
        <is>
          <t xml:space="preserve">RC </t>
        </is>
      </c>
      <c r="S553" t="n">
        <v>1</v>
      </c>
      <c r="T553" t="n">
        <v>1</v>
      </c>
      <c r="U553" t="inlineStr">
        <is>
          <t>2001-02-16</t>
        </is>
      </c>
      <c r="V553" t="inlineStr">
        <is>
          <t>2001-02-16</t>
        </is>
      </c>
      <c r="W553" t="inlineStr">
        <is>
          <t>1995-08-31</t>
        </is>
      </c>
      <c r="X553" t="inlineStr">
        <is>
          <t>1995-08-31</t>
        </is>
      </c>
      <c r="Y553" t="n">
        <v>333</v>
      </c>
      <c r="Z553" t="n">
        <v>288</v>
      </c>
      <c r="AA553" t="n">
        <v>290</v>
      </c>
      <c r="AB553" t="n">
        <v>3</v>
      </c>
      <c r="AC553" t="n">
        <v>3</v>
      </c>
      <c r="AD553" t="n">
        <v>10</v>
      </c>
      <c r="AE553" t="n">
        <v>10</v>
      </c>
      <c r="AF553" t="n">
        <v>2</v>
      </c>
      <c r="AG553" t="n">
        <v>2</v>
      </c>
      <c r="AH553" t="n">
        <v>1</v>
      </c>
      <c r="AI553" t="n">
        <v>1</v>
      </c>
      <c r="AJ553" t="n">
        <v>7</v>
      </c>
      <c r="AK553" t="n">
        <v>7</v>
      </c>
      <c r="AL553" t="n">
        <v>2</v>
      </c>
      <c r="AM553" t="n">
        <v>2</v>
      </c>
      <c r="AN553" t="n">
        <v>0</v>
      </c>
      <c r="AO553" t="n">
        <v>0</v>
      </c>
      <c r="AP553" t="inlineStr">
        <is>
          <t>No</t>
        </is>
      </c>
      <c r="AQ553" t="inlineStr">
        <is>
          <t>Yes</t>
        </is>
      </c>
      <c r="AR553">
        <f>HYPERLINK("http://catalog.hathitrust.org/Record/000813647","HathiTrust Record")</f>
        <v/>
      </c>
      <c r="AS553">
        <f>HYPERLINK("https://creighton-primo.hosted.exlibrisgroup.com/primo-explore/search?tab=default_tab&amp;search_scope=EVERYTHING&amp;vid=01CRU&amp;lang=en_US&amp;offset=0&amp;query=any,contains,991000836639702656","Catalog Record")</f>
        <v/>
      </c>
      <c r="AT553">
        <f>HYPERLINK("http://www.worldcat.org/oclc/13497783","WorldCat Record")</f>
        <v/>
      </c>
      <c r="AU553" t="inlineStr">
        <is>
          <t>439709273:eng</t>
        </is>
      </c>
      <c r="AV553" t="inlineStr">
        <is>
          <t>13497783</t>
        </is>
      </c>
      <c r="AW553" t="inlineStr">
        <is>
          <t>991000836639702656</t>
        </is>
      </c>
      <c r="AX553" t="inlineStr">
        <is>
          <t>991000836639702656</t>
        </is>
      </c>
      <c r="AY553" t="inlineStr">
        <is>
          <t>2261987480002656</t>
        </is>
      </c>
      <c r="AZ553" t="inlineStr">
        <is>
          <t>BOOK</t>
        </is>
      </c>
      <c r="BB553" t="inlineStr">
        <is>
          <t>9780398052577</t>
        </is>
      </c>
      <c r="BC553" t="inlineStr">
        <is>
          <t>32285002091683</t>
        </is>
      </c>
      <c r="BD553" t="inlineStr">
        <is>
          <t>893243640</t>
        </is>
      </c>
    </row>
    <row r="554">
      <c r="A554" t="inlineStr">
        <is>
          <t>No</t>
        </is>
      </c>
      <c r="B554" t="inlineStr">
        <is>
          <t>RC455.4.E8 C8 1982</t>
        </is>
      </c>
      <c r="C554" t="inlineStr">
        <is>
          <t>0                      RC 0455400E  8                  C  8           1982</t>
        </is>
      </c>
      <c r="D554" t="inlineStr">
        <is>
          <t>Cultural conceptions of mental health and therapy / edited by Anthony J. Marsella and Geoffrey M. White.</t>
        </is>
      </c>
      <c r="F554" t="inlineStr">
        <is>
          <t>No</t>
        </is>
      </c>
      <c r="G554" t="inlineStr">
        <is>
          <t>1</t>
        </is>
      </c>
      <c r="H554" t="inlineStr">
        <is>
          <t>No</t>
        </is>
      </c>
      <c r="I554" t="inlineStr">
        <is>
          <t>No</t>
        </is>
      </c>
      <c r="J554" t="inlineStr">
        <is>
          <t>0</t>
        </is>
      </c>
      <c r="L554" t="inlineStr">
        <is>
          <t>Dordrecht ; Boston : D. Reidel ; Hingham, MA : Sold and distributed in the U.S.A and Canada by Kluwer Boston, c1982.</t>
        </is>
      </c>
      <c r="M554" t="inlineStr">
        <is>
          <t>1982</t>
        </is>
      </c>
      <c r="O554" t="inlineStr">
        <is>
          <t>eng</t>
        </is>
      </c>
      <c r="P554" t="inlineStr">
        <is>
          <t xml:space="preserve">ne </t>
        </is>
      </c>
      <c r="Q554" t="inlineStr">
        <is>
          <t>Culture, illness, and healing ; v. 4</t>
        </is>
      </c>
      <c r="R554" t="inlineStr">
        <is>
          <t xml:space="preserve">RC </t>
        </is>
      </c>
      <c r="S554" t="n">
        <v>11</v>
      </c>
      <c r="T554" t="n">
        <v>11</v>
      </c>
      <c r="U554" t="inlineStr">
        <is>
          <t>2005-11-27</t>
        </is>
      </c>
      <c r="V554" t="inlineStr">
        <is>
          <t>2005-11-27</t>
        </is>
      </c>
      <c r="W554" t="inlineStr">
        <is>
          <t>1993-03-22</t>
        </is>
      </c>
      <c r="X554" t="inlineStr">
        <is>
          <t>1993-03-22</t>
        </is>
      </c>
      <c r="Y554" t="n">
        <v>365</v>
      </c>
      <c r="Z554" t="n">
        <v>250</v>
      </c>
      <c r="AA554" t="n">
        <v>295</v>
      </c>
      <c r="AB554" t="n">
        <v>2</v>
      </c>
      <c r="AC554" t="n">
        <v>3</v>
      </c>
      <c r="AD554" t="n">
        <v>13</v>
      </c>
      <c r="AE554" t="n">
        <v>14</v>
      </c>
      <c r="AF554" t="n">
        <v>1</v>
      </c>
      <c r="AG554" t="n">
        <v>1</v>
      </c>
      <c r="AH554" t="n">
        <v>5</v>
      </c>
      <c r="AI554" t="n">
        <v>5</v>
      </c>
      <c r="AJ554" t="n">
        <v>7</v>
      </c>
      <c r="AK554" t="n">
        <v>7</v>
      </c>
      <c r="AL554" t="n">
        <v>1</v>
      </c>
      <c r="AM554" t="n">
        <v>2</v>
      </c>
      <c r="AN554" t="n">
        <v>1</v>
      </c>
      <c r="AO554" t="n">
        <v>1</v>
      </c>
      <c r="AP554" t="inlineStr">
        <is>
          <t>No</t>
        </is>
      </c>
      <c r="AQ554" t="inlineStr">
        <is>
          <t>No</t>
        </is>
      </c>
      <c r="AS554">
        <f>HYPERLINK("https://creighton-primo.hosted.exlibrisgroup.com/primo-explore/search?tab=default_tab&amp;search_scope=EVERYTHING&amp;vid=01CRU&amp;lang=en_US&amp;offset=0&amp;query=any,contains,991005225619702656","Catalog Record")</f>
        <v/>
      </c>
      <c r="AT554">
        <f>HYPERLINK("http://www.worldcat.org/oclc/8281884","WorldCat Record")</f>
        <v/>
      </c>
      <c r="AU554" t="inlineStr">
        <is>
          <t>366079660:eng</t>
        </is>
      </c>
      <c r="AV554" t="inlineStr">
        <is>
          <t>8281884</t>
        </is>
      </c>
      <c r="AW554" t="inlineStr">
        <is>
          <t>991005225619702656</t>
        </is>
      </c>
      <c r="AX554" t="inlineStr">
        <is>
          <t>991005225619702656</t>
        </is>
      </c>
      <c r="AY554" t="inlineStr">
        <is>
          <t>2266772660002656</t>
        </is>
      </c>
      <c r="AZ554" t="inlineStr">
        <is>
          <t>BOOK</t>
        </is>
      </c>
      <c r="BB554" t="inlineStr">
        <is>
          <t>9789027713629</t>
        </is>
      </c>
      <c r="BC554" t="inlineStr">
        <is>
          <t>32285001605970</t>
        </is>
      </c>
      <c r="BD554" t="inlineStr">
        <is>
          <t>893789649</t>
        </is>
      </c>
    </row>
    <row r="555">
      <c r="A555" t="inlineStr">
        <is>
          <t>No</t>
        </is>
      </c>
      <c r="B555" t="inlineStr">
        <is>
          <t>RC455.4.E8 C87</t>
        </is>
      </c>
      <c r="C555" t="inlineStr">
        <is>
          <t>0                      RC 0455400E  8                  C  87</t>
        </is>
      </c>
      <c r="D555" t="inlineStr">
        <is>
          <t>Current perspectives in cultural psychiatry / edited by Edward F. Foulks ... [et al.].</t>
        </is>
      </c>
      <c r="F555" t="inlineStr">
        <is>
          <t>No</t>
        </is>
      </c>
      <c r="G555" t="inlineStr">
        <is>
          <t>1</t>
        </is>
      </c>
      <c r="H555" t="inlineStr">
        <is>
          <t>No</t>
        </is>
      </c>
      <c r="I555" t="inlineStr">
        <is>
          <t>No</t>
        </is>
      </c>
      <c r="J555" t="inlineStr">
        <is>
          <t>0</t>
        </is>
      </c>
      <c r="L555" t="inlineStr">
        <is>
          <t>New York : SP Books Division of Spectrum Publications : distributed by Halsted Press, c1977.</t>
        </is>
      </c>
      <c r="M555" t="inlineStr">
        <is>
          <t>1977</t>
        </is>
      </c>
      <c r="O555" t="inlineStr">
        <is>
          <t>eng</t>
        </is>
      </c>
      <c r="P555" t="inlineStr">
        <is>
          <t>nyu</t>
        </is>
      </c>
      <c r="R555" t="inlineStr">
        <is>
          <t xml:space="preserve">RC </t>
        </is>
      </c>
      <c r="S555" t="n">
        <v>4</v>
      </c>
      <c r="T555" t="n">
        <v>4</v>
      </c>
      <c r="U555" t="inlineStr">
        <is>
          <t>1994-11-02</t>
        </is>
      </c>
      <c r="V555" t="inlineStr">
        <is>
          <t>1994-11-02</t>
        </is>
      </c>
      <c r="W555" t="inlineStr">
        <is>
          <t>1993-03-22</t>
        </is>
      </c>
      <c r="X555" t="inlineStr">
        <is>
          <t>1993-03-22</t>
        </is>
      </c>
      <c r="Y555" t="n">
        <v>295</v>
      </c>
      <c r="Z555" t="n">
        <v>226</v>
      </c>
      <c r="AA555" t="n">
        <v>231</v>
      </c>
      <c r="AB555" t="n">
        <v>3</v>
      </c>
      <c r="AC555" t="n">
        <v>3</v>
      </c>
      <c r="AD555" t="n">
        <v>6</v>
      </c>
      <c r="AE555" t="n">
        <v>6</v>
      </c>
      <c r="AF555" t="n">
        <v>0</v>
      </c>
      <c r="AG555" t="n">
        <v>0</v>
      </c>
      <c r="AH555" t="n">
        <v>1</v>
      </c>
      <c r="AI555" t="n">
        <v>1</v>
      </c>
      <c r="AJ555" t="n">
        <v>4</v>
      </c>
      <c r="AK555" t="n">
        <v>4</v>
      </c>
      <c r="AL555" t="n">
        <v>2</v>
      </c>
      <c r="AM555" t="n">
        <v>2</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HYPERLINK("https://creighton-primo.hosted.exlibrisgroup.com/primo-explore/search?tab=default_tab&amp;search_scope=EVERYTHING&amp;vid=01CRU&amp;lang=en_US&amp;offset=0&amp;query=any,contains,991004350529702656","Catalog Record")</f>
        <v/>
      </c>
      <c r="AT555">
        <f>HYPERLINK("http://www.worldcat.org/oclc/3119632","WorldCat Record")</f>
        <v/>
      </c>
      <c r="AU555" t="inlineStr">
        <is>
          <t>8086443:eng</t>
        </is>
      </c>
      <c r="AV555" t="inlineStr">
        <is>
          <t>3119632</t>
        </is>
      </c>
      <c r="AW555" t="inlineStr">
        <is>
          <t>991004350529702656</t>
        </is>
      </c>
      <c r="AX555" t="inlineStr">
        <is>
          <t>991004350529702656</t>
        </is>
      </c>
      <c r="AY555" t="inlineStr">
        <is>
          <t>2269092130002656</t>
        </is>
      </c>
      <c r="AZ555" t="inlineStr">
        <is>
          <t>BOOK</t>
        </is>
      </c>
      <c r="BB555" t="inlineStr">
        <is>
          <t>9780893350277</t>
        </is>
      </c>
      <c r="BC555" t="inlineStr">
        <is>
          <t>32285001605988</t>
        </is>
      </c>
      <c r="BD555" t="inlineStr">
        <is>
          <t>893500448</t>
        </is>
      </c>
    </row>
    <row r="556">
      <c r="A556" t="inlineStr">
        <is>
          <t>No</t>
        </is>
      </c>
      <c r="B556" t="inlineStr">
        <is>
          <t>RC455.4.E8 H36 1995</t>
        </is>
      </c>
      <c r="C556" t="inlineStr">
        <is>
          <t>0                      RC 0455400E  8                  H  36          1995</t>
        </is>
      </c>
      <c r="D556" t="inlineStr">
        <is>
          <t>Handbook of culture and mental illness : an international perspective / edited by Ihsan Al-Issa.</t>
        </is>
      </c>
      <c r="F556" t="inlineStr">
        <is>
          <t>No</t>
        </is>
      </c>
      <c r="G556" t="inlineStr">
        <is>
          <t>1</t>
        </is>
      </c>
      <c r="H556" t="inlineStr">
        <is>
          <t>No</t>
        </is>
      </c>
      <c r="I556" t="inlineStr">
        <is>
          <t>No</t>
        </is>
      </c>
      <c r="J556" t="inlineStr">
        <is>
          <t>0</t>
        </is>
      </c>
      <c r="L556" t="inlineStr">
        <is>
          <t>Madison, Conn. : International Universities Press, c1995.</t>
        </is>
      </c>
      <c r="M556" t="inlineStr">
        <is>
          <t>1995</t>
        </is>
      </c>
      <c r="O556" t="inlineStr">
        <is>
          <t>eng</t>
        </is>
      </c>
      <c r="P556" t="inlineStr">
        <is>
          <t>ctu</t>
        </is>
      </c>
      <c r="R556" t="inlineStr">
        <is>
          <t xml:space="preserve">RC </t>
        </is>
      </c>
      <c r="S556" t="n">
        <v>4</v>
      </c>
      <c r="T556" t="n">
        <v>4</v>
      </c>
      <c r="U556" t="inlineStr">
        <is>
          <t>1998-03-21</t>
        </is>
      </c>
      <c r="V556" t="inlineStr">
        <is>
          <t>1998-03-21</t>
        </is>
      </c>
      <c r="W556" t="inlineStr">
        <is>
          <t>1996-09-12</t>
        </is>
      </c>
      <c r="X556" t="inlineStr">
        <is>
          <t>1996-09-12</t>
        </is>
      </c>
      <c r="Y556" t="n">
        <v>280</v>
      </c>
      <c r="Z556" t="n">
        <v>218</v>
      </c>
      <c r="AA556" t="n">
        <v>226</v>
      </c>
      <c r="AB556" t="n">
        <v>2</v>
      </c>
      <c r="AC556" t="n">
        <v>2</v>
      </c>
      <c r="AD556" t="n">
        <v>11</v>
      </c>
      <c r="AE556" t="n">
        <v>11</v>
      </c>
      <c r="AF556" t="n">
        <v>5</v>
      </c>
      <c r="AG556" t="n">
        <v>5</v>
      </c>
      <c r="AH556" t="n">
        <v>2</v>
      </c>
      <c r="AI556" t="n">
        <v>2</v>
      </c>
      <c r="AJ556" t="n">
        <v>7</v>
      </c>
      <c r="AK556" t="n">
        <v>7</v>
      </c>
      <c r="AL556" t="n">
        <v>1</v>
      </c>
      <c r="AM556" t="n">
        <v>1</v>
      </c>
      <c r="AN556" t="n">
        <v>1</v>
      </c>
      <c r="AO556" t="n">
        <v>1</v>
      </c>
      <c r="AP556" t="inlineStr">
        <is>
          <t>No</t>
        </is>
      </c>
      <c r="AQ556" t="inlineStr">
        <is>
          <t>Yes</t>
        </is>
      </c>
      <c r="AR556">
        <f>HYPERLINK("http://catalog.hathitrust.org/Record/003024163","HathiTrust Record")</f>
        <v/>
      </c>
      <c r="AS556">
        <f>HYPERLINK("https://creighton-primo.hosted.exlibrisgroup.com/primo-explore/search?tab=default_tab&amp;search_scope=EVERYTHING&amp;vid=01CRU&amp;lang=en_US&amp;offset=0&amp;query=any,contains,991002423759702656","Catalog Record")</f>
        <v/>
      </c>
      <c r="AT556">
        <f>HYPERLINK("http://www.worldcat.org/oclc/31606098","WorldCat Record")</f>
        <v/>
      </c>
      <c r="AU556" t="inlineStr">
        <is>
          <t>890207885:eng</t>
        </is>
      </c>
      <c r="AV556" t="inlineStr">
        <is>
          <t>31606098</t>
        </is>
      </c>
      <c r="AW556" t="inlineStr">
        <is>
          <t>991002423759702656</t>
        </is>
      </c>
      <c r="AX556" t="inlineStr">
        <is>
          <t>991002423759702656</t>
        </is>
      </c>
      <c r="AY556" t="inlineStr">
        <is>
          <t>2262745650002656</t>
        </is>
      </c>
      <c r="AZ556" t="inlineStr">
        <is>
          <t>BOOK</t>
        </is>
      </c>
      <c r="BB556" t="inlineStr">
        <is>
          <t>9780823622887</t>
        </is>
      </c>
      <c r="BC556" t="inlineStr">
        <is>
          <t>32285002317542</t>
        </is>
      </c>
      <c r="BD556" t="inlineStr">
        <is>
          <t>893529965</t>
        </is>
      </c>
    </row>
    <row r="557">
      <c r="A557" t="inlineStr">
        <is>
          <t>No</t>
        </is>
      </c>
      <c r="B557" t="inlineStr">
        <is>
          <t>RC455.4.E8 L58 2000</t>
        </is>
      </c>
      <c r="C557" t="inlineStr">
        <is>
          <t>0                      RC 0455400E  8                  L  58          2000</t>
        </is>
      </c>
      <c r="D557" t="inlineStr">
        <is>
          <t>Cultural psychiatry and medical anthropology : an introduction and reader / edited by Roland Littlewood and Simon Dein.</t>
        </is>
      </c>
      <c r="F557" t="inlineStr">
        <is>
          <t>No</t>
        </is>
      </c>
      <c r="G557" t="inlineStr">
        <is>
          <t>1</t>
        </is>
      </c>
      <c r="H557" t="inlineStr">
        <is>
          <t>No</t>
        </is>
      </c>
      <c r="I557" t="inlineStr">
        <is>
          <t>No</t>
        </is>
      </c>
      <c r="J557" t="inlineStr">
        <is>
          <t>0</t>
        </is>
      </c>
      <c r="K557" t="inlineStr">
        <is>
          <t>Littlewood, Roland.</t>
        </is>
      </c>
      <c r="L557" t="inlineStr">
        <is>
          <t>London ; New Brunswick, NJ : Athlone Press, 2000.</t>
        </is>
      </c>
      <c r="M557" t="inlineStr">
        <is>
          <t>2000</t>
        </is>
      </c>
      <c r="O557" t="inlineStr">
        <is>
          <t>eng</t>
        </is>
      </c>
      <c r="P557" t="inlineStr">
        <is>
          <t>enk</t>
        </is>
      </c>
      <c r="R557" t="inlineStr">
        <is>
          <t xml:space="preserve">RC </t>
        </is>
      </c>
      <c r="S557" t="n">
        <v>1</v>
      </c>
      <c r="T557" t="n">
        <v>1</v>
      </c>
      <c r="U557" t="inlineStr">
        <is>
          <t>2004-11-02</t>
        </is>
      </c>
      <c r="V557" t="inlineStr">
        <is>
          <t>2004-11-02</t>
        </is>
      </c>
      <c r="W557" t="inlineStr">
        <is>
          <t>2004-11-02</t>
        </is>
      </c>
      <c r="X557" t="inlineStr">
        <is>
          <t>2004-11-02</t>
        </is>
      </c>
      <c r="Y557" t="n">
        <v>184</v>
      </c>
      <c r="Z557" t="n">
        <v>99</v>
      </c>
      <c r="AA557" t="n">
        <v>99</v>
      </c>
      <c r="AB557" t="n">
        <v>2</v>
      </c>
      <c r="AC557" t="n">
        <v>2</v>
      </c>
      <c r="AD557" t="n">
        <v>5</v>
      </c>
      <c r="AE557" t="n">
        <v>5</v>
      </c>
      <c r="AF557" t="n">
        <v>1</v>
      </c>
      <c r="AG557" t="n">
        <v>1</v>
      </c>
      <c r="AH557" t="n">
        <v>2</v>
      </c>
      <c r="AI557" t="n">
        <v>2</v>
      </c>
      <c r="AJ557" t="n">
        <v>2</v>
      </c>
      <c r="AK557" t="n">
        <v>2</v>
      </c>
      <c r="AL557" t="n">
        <v>1</v>
      </c>
      <c r="AM557" t="n">
        <v>1</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HYPERLINK("https://creighton-primo.hosted.exlibrisgroup.com/primo-explore/search?tab=default_tab&amp;search_scope=EVERYTHING&amp;vid=01CRU&amp;lang=en_US&amp;offset=0&amp;query=any,contains,991004397699702656","Catalog Record")</f>
        <v/>
      </c>
      <c r="AT557">
        <f>HYPERLINK("http://www.worldcat.org/oclc/42309762","WorldCat Record")</f>
        <v/>
      </c>
      <c r="AU557" t="inlineStr">
        <is>
          <t>891342339:eng</t>
        </is>
      </c>
      <c r="AV557" t="inlineStr">
        <is>
          <t>42309762</t>
        </is>
      </c>
      <c r="AW557" t="inlineStr">
        <is>
          <t>991004397699702656</t>
        </is>
      </c>
      <c r="AX557" t="inlineStr">
        <is>
          <t>991004397699702656</t>
        </is>
      </c>
      <c r="AY557" t="inlineStr">
        <is>
          <t>2254880330002656</t>
        </is>
      </c>
      <c r="AZ557" t="inlineStr">
        <is>
          <t>BOOK</t>
        </is>
      </c>
      <c r="BB557" t="inlineStr">
        <is>
          <t>9780485115277</t>
        </is>
      </c>
      <c r="BC557" t="inlineStr">
        <is>
          <t>32285005008254</t>
        </is>
      </c>
      <c r="BD557" t="inlineStr">
        <is>
          <t>893325336</t>
        </is>
      </c>
    </row>
    <row r="558">
      <c r="A558" t="inlineStr">
        <is>
          <t>No</t>
        </is>
      </c>
      <c r="B558" t="inlineStr">
        <is>
          <t>RC455.4.E8 M55 2002</t>
        </is>
      </c>
      <c r="C558" t="inlineStr">
        <is>
          <t>0                      RC 0455400E  8                  M  55          2002</t>
        </is>
      </c>
      <c r="D558" t="inlineStr">
        <is>
          <t>Multiculturalism and the therapeutic process / Judith Mishne.</t>
        </is>
      </c>
      <c r="F558" t="inlineStr">
        <is>
          <t>No</t>
        </is>
      </c>
      <c r="G558" t="inlineStr">
        <is>
          <t>1</t>
        </is>
      </c>
      <c r="H558" t="inlineStr">
        <is>
          <t>No</t>
        </is>
      </c>
      <c r="I558" t="inlineStr">
        <is>
          <t>No</t>
        </is>
      </c>
      <c r="J558" t="inlineStr">
        <is>
          <t>0</t>
        </is>
      </c>
      <c r="K558" t="inlineStr">
        <is>
          <t>Mishne, Judith Marks.</t>
        </is>
      </c>
      <c r="L558" t="inlineStr">
        <is>
          <t>New York : The Guilford Press, c2002.</t>
        </is>
      </c>
      <c r="M558" t="inlineStr">
        <is>
          <t>2002</t>
        </is>
      </c>
      <c r="O558" t="inlineStr">
        <is>
          <t>eng</t>
        </is>
      </c>
      <c r="P558" t="inlineStr">
        <is>
          <t>nyu</t>
        </is>
      </c>
      <c r="R558" t="inlineStr">
        <is>
          <t xml:space="preserve">RC </t>
        </is>
      </c>
      <c r="S558" t="n">
        <v>2</v>
      </c>
      <c r="T558" t="n">
        <v>2</v>
      </c>
      <c r="U558" t="inlineStr">
        <is>
          <t>2003-08-28</t>
        </is>
      </c>
      <c r="V558" t="inlineStr">
        <is>
          <t>2003-08-28</t>
        </is>
      </c>
      <c r="W558" t="inlineStr">
        <is>
          <t>2003-08-28</t>
        </is>
      </c>
      <c r="X558" t="inlineStr">
        <is>
          <t>2003-08-28</t>
        </is>
      </c>
      <c r="Y558" t="n">
        <v>509</v>
      </c>
      <c r="Z558" t="n">
        <v>421</v>
      </c>
      <c r="AA558" t="n">
        <v>427</v>
      </c>
      <c r="AB558" t="n">
        <v>3</v>
      </c>
      <c r="AC558" t="n">
        <v>3</v>
      </c>
      <c r="AD558" t="n">
        <v>24</v>
      </c>
      <c r="AE558" t="n">
        <v>24</v>
      </c>
      <c r="AF558" t="n">
        <v>10</v>
      </c>
      <c r="AG558" t="n">
        <v>10</v>
      </c>
      <c r="AH558" t="n">
        <v>3</v>
      </c>
      <c r="AI558" t="n">
        <v>3</v>
      </c>
      <c r="AJ558" t="n">
        <v>13</v>
      </c>
      <c r="AK558" t="n">
        <v>13</v>
      </c>
      <c r="AL558" t="n">
        <v>2</v>
      </c>
      <c r="AM558" t="n">
        <v>2</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HYPERLINK("https://creighton-primo.hosted.exlibrisgroup.com/primo-explore/search?tab=default_tab&amp;search_scope=EVERYTHING&amp;vid=01CRU&amp;lang=en_US&amp;offset=0&amp;query=any,contains,991004101739702656","Catalog Record")</f>
        <v/>
      </c>
      <c r="AT558">
        <f>HYPERLINK("http://www.worldcat.org/oclc/49558888","WorldCat Record")</f>
        <v/>
      </c>
      <c r="AU558" t="inlineStr">
        <is>
          <t>1053061:eng</t>
        </is>
      </c>
      <c r="AV558" t="inlineStr">
        <is>
          <t>49558888</t>
        </is>
      </c>
      <c r="AW558" t="inlineStr">
        <is>
          <t>991004101739702656</t>
        </is>
      </c>
      <c r="AX558" t="inlineStr">
        <is>
          <t>991004101739702656</t>
        </is>
      </c>
      <c r="AY558" t="inlineStr">
        <is>
          <t>2262527790002656</t>
        </is>
      </c>
      <c r="AZ558" t="inlineStr">
        <is>
          <t>BOOK</t>
        </is>
      </c>
      <c r="BB558" t="inlineStr">
        <is>
          <t>9781572307759</t>
        </is>
      </c>
      <c r="BC558" t="inlineStr">
        <is>
          <t>32285004780440</t>
        </is>
      </c>
      <c r="BD558" t="inlineStr">
        <is>
          <t>893693517</t>
        </is>
      </c>
    </row>
    <row r="559">
      <c r="A559" t="inlineStr">
        <is>
          <t>No</t>
        </is>
      </c>
      <c r="B559" t="inlineStr">
        <is>
          <t>RC455.4.E8 S77 2005</t>
        </is>
      </c>
      <c r="C559" t="inlineStr">
        <is>
          <t>0                      RC 0455400E  8                  S  77          2005</t>
        </is>
      </c>
      <c r="D559" t="inlineStr">
        <is>
          <t>Strategies for building multicultural competence in mental health and educational settings / edited by Madonna G. Constantine and Derald Wing Sue.</t>
        </is>
      </c>
      <c r="F559" t="inlineStr">
        <is>
          <t>No</t>
        </is>
      </c>
      <c r="G559" t="inlineStr">
        <is>
          <t>1</t>
        </is>
      </c>
      <c r="H559" t="inlineStr">
        <is>
          <t>No</t>
        </is>
      </c>
      <c r="I559" t="inlineStr">
        <is>
          <t>No</t>
        </is>
      </c>
      <c r="J559" t="inlineStr">
        <is>
          <t>0</t>
        </is>
      </c>
      <c r="L559" t="inlineStr">
        <is>
          <t>Hoboken, N.J. : John Wiley, c2005.</t>
        </is>
      </c>
      <c r="M559" t="inlineStr">
        <is>
          <t>2005</t>
        </is>
      </c>
      <c r="O559" t="inlineStr">
        <is>
          <t>eng</t>
        </is>
      </c>
      <c r="P559" t="inlineStr">
        <is>
          <t>nju</t>
        </is>
      </c>
      <c r="R559" t="inlineStr">
        <is>
          <t xml:space="preserve">RC </t>
        </is>
      </c>
      <c r="S559" t="n">
        <v>5</v>
      </c>
      <c r="T559" t="n">
        <v>5</v>
      </c>
      <c r="U559" t="inlineStr">
        <is>
          <t>2008-06-04</t>
        </is>
      </c>
      <c r="V559" t="inlineStr">
        <is>
          <t>2008-06-04</t>
        </is>
      </c>
      <c r="W559" t="inlineStr">
        <is>
          <t>2005-03-30</t>
        </is>
      </c>
      <c r="X559" t="inlineStr">
        <is>
          <t>2005-03-30</t>
        </is>
      </c>
      <c r="Y559" t="n">
        <v>328</v>
      </c>
      <c r="Z559" t="n">
        <v>251</v>
      </c>
      <c r="AA559" t="n">
        <v>1119</v>
      </c>
      <c r="AB559" t="n">
        <v>2</v>
      </c>
      <c r="AC559" t="n">
        <v>32</v>
      </c>
      <c r="AD559" t="n">
        <v>13</v>
      </c>
      <c r="AE559" t="n">
        <v>41</v>
      </c>
      <c r="AF559" t="n">
        <v>3</v>
      </c>
      <c r="AG559" t="n">
        <v>12</v>
      </c>
      <c r="AH559" t="n">
        <v>5</v>
      </c>
      <c r="AI559" t="n">
        <v>8</v>
      </c>
      <c r="AJ559" t="n">
        <v>7</v>
      </c>
      <c r="AK559" t="n">
        <v>13</v>
      </c>
      <c r="AL559" t="n">
        <v>1</v>
      </c>
      <c r="AM559" t="n">
        <v>13</v>
      </c>
      <c r="AN559" t="n">
        <v>0</v>
      </c>
      <c r="AO559" t="n">
        <v>1</v>
      </c>
      <c r="AP559" t="inlineStr">
        <is>
          <t>No</t>
        </is>
      </c>
      <c r="AQ559" t="inlineStr">
        <is>
          <t>Yes</t>
        </is>
      </c>
      <c r="AR559">
        <f>HYPERLINK("http://catalog.hathitrust.org/Record/004975414","HathiTrust Record")</f>
        <v/>
      </c>
      <c r="AS559">
        <f>HYPERLINK("https://creighton-primo.hosted.exlibrisgroup.com/primo-explore/search?tab=default_tab&amp;search_scope=EVERYTHING&amp;vid=01CRU&amp;lang=en_US&amp;offset=0&amp;query=any,contains,991004517889702656","Catalog Record")</f>
        <v/>
      </c>
      <c r="AT559">
        <f>HYPERLINK("http://www.worldcat.org/oclc/56840821","WorldCat Record")</f>
        <v/>
      </c>
      <c r="AU559" t="inlineStr">
        <is>
          <t>1007178247:eng</t>
        </is>
      </c>
      <c r="AV559" t="inlineStr">
        <is>
          <t>56840821</t>
        </is>
      </c>
      <c r="AW559" t="inlineStr">
        <is>
          <t>991004517889702656</t>
        </is>
      </c>
      <c r="AX559" t="inlineStr">
        <is>
          <t>991004517889702656</t>
        </is>
      </c>
      <c r="AY559" t="inlineStr">
        <is>
          <t>2256186170002656</t>
        </is>
      </c>
      <c r="AZ559" t="inlineStr">
        <is>
          <t>BOOK</t>
        </is>
      </c>
      <c r="BB559" t="inlineStr">
        <is>
          <t>9780471667322</t>
        </is>
      </c>
      <c r="BC559" t="inlineStr">
        <is>
          <t>32285005045892</t>
        </is>
      </c>
      <c r="BD559" t="inlineStr">
        <is>
          <t>893794952</t>
        </is>
      </c>
    </row>
    <row r="560">
      <c r="A560" t="inlineStr">
        <is>
          <t>No</t>
        </is>
      </c>
      <c r="B560" t="inlineStr">
        <is>
          <t>RC455.4.F3 F36 1987</t>
        </is>
      </c>
      <c r="C560" t="inlineStr">
        <is>
          <t>0                      RC 0455400F  3                  F  36          1987</t>
        </is>
      </c>
      <c r="D560" t="inlineStr">
        <is>
          <t>Families of the mentally ill : coping and adaptation / edited by Agnes B. Hatfield, Harriet P. Lefley.</t>
        </is>
      </c>
      <c r="F560" t="inlineStr">
        <is>
          <t>No</t>
        </is>
      </c>
      <c r="G560" t="inlineStr">
        <is>
          <t>1</t>
        </is>
      </c>
      <c r="H560" t="inlineStr">
        <is>
          <t>No</t>
        </is>
      </c>
      <c r="I560" t="inlineStr">
        <is>
          <t>No</t>
        </is>
      </c>
      <c r="J560" t="inlineStr">
        <is>
          <t>0</t>
        </is>
      </c>
      <c r="L560" t="inlineStr">
        <is>
          <t>New York, N.Y. : Guilford Press, c1987.</t>
        </is>
      </c>
      <c r="M560" t="inlineStr">
        <is>
          <t>1987</t>
        </is>
      </c>
      <c r="O560" t="inlineStr">
        <is>
          <t>eng</t>
        </is>
      </c>
      <c r="P560" t="inlineStr">
        <is>
          <t>nyu</t>
        </is>
      </c>
      <c r="R560" t="inlineStr">
        <is>
          <t xml:space="preserve">RC </t>
        </is>
      </c>
      <c r="S560" t="n">
        <v>4</v>
      </c>
      <c r="T560" t="n">
        <v>4</v>
      </c>
      <c r="U560" t="inlineStr">
        <is>
          <t>1999-11-03</t>
        </is>
      </c>
      <c r="V560" t="inlineStr">
        <is>
          <t>1999-11-03</t>
        </is>
      </c>
      <c r="W560" t="inlineStr">
        <is>
          <t>1995-11-14</t>
        </is>
      </c>
      <c r="X560" t="inlineStr">
        <is>
          <t>1995-11-14</t>
        </is>
      </c>
      <c r="Y560" t="n">
        <v>502</v>
      </c>
      <c r="Z560" t="n">
        <v>428</v>
      </c>
      <c r="AA560" t="n">
        <v>430</v>
      </c>
      <c r="AB560" t="n">
        <v>2</v>
      </c>
      <c r="AC560" t="n">
        <v>2</v>
      </c>
      <c r="AD560" t="n">
        <v>15</v>
      </c>
      <c r="AE560" t="n">
        <v>15</v>
      </c>
      <c r="AF560" t="n">
        <v>4</v>
      </c>
      <c r="AG560" t="n">
        <v>4</v>
      </c>
      <c r="AH560" t="n">
        <v>3</v>
      </c>
      <c r="AI560" t="n">
        <v>3</v>
      </c>
      <c r="AJ560" t="n">
        <v>12</v>
      </c>
      <c r="AK560" t="n">
        <v>12</v>
      </c>
      <c r="AL560" t="n">
        <v>1</v>
      </c>
      <c r="AM560" t="n">
        <v>1</v>
      </c>
      <c r="AN560" t="n">
        <v>0</v>
      </c>
      <c r="AO560" t="n">
        <v>0</v>
      </c>
      <c r="AP560" t="inlineStr">
        <is>
          <t>No</t>
        </is>
      </c>
      <c r="AQ560" t="inlineStr">
        <is>
          <t>No</t>
        </is>
      </c>
      <c r="AS560">
        <f>HYPERLINK("https://creighton-primo.hosted.exlibrisgroup.com/primo-explore/search?tab=default_tab&amp;search_scope=EVERYTHING&amp;vid=01CRU&amp;lang=en_US&amp;offset=0&amp;query=any,contains,991000923019702656","Catalog Record")</f>
        <v/>
      </c>
      <c r="AT560">
        <f>HYPERLINK("http://www.worldcat.org/oclc/14214572","WorldCat Record")</f>
        <v/>
      </c>
      <c r="AU560" t="inlineStr">
        <is>
          <t>836629181:eng</t>
        </is>
      </c>
      <c r="AV560" t="inlineStr">
        <is>
          <t>14214572</t>
        </is>
      </c>
      <c r="AW560" t="inlineStr">
        <is>
          <t>991000923019702656</t>
        </is>
      </c>
      <c r="AX560" t="inlineStr">
        <is>
          <t>991000923019702656</t>
        </is>
      </c>
      <c r="AY560" t="inlineStr">
        <is>
          <t>2267455570002656</t>
        </is>
      </c>
      <c r="AZ560" t="inlineStr">
        <is>
          <t>BOOK</t>
        </is>
      </c>
      <c r="BB560" t="inlineStr">
        <is>
          <t>9780898626834</t>
        </is>
      </c>
      <c r="BC560" t="inlineStr">
        <is>
          <t>32285002098357</t>
        </is>
      </c>
      <c r="BD560" t="inlineStr">
        <is>
          <t>893878463</t>
        </is>
      </c>
    </row>
    <row r="561">
      <c r="A561" t="inlineStr">
        <is>
          <t>No</t>
        </is>
      </c>
      <c r="B561" t="inlineStr">
        <is>
          <t>RC455.4.F3 H354 1998</t>
        </is>
      </c>
      <c r="C561" t="inlineStr">
        <is>
          <t>0                      RC 0455400F  3                  H  354         1998</t>
        </is>
      </c>
      <c r="D561" t="inlineStr">
        <is>
          <t>Family psychopathology : the relational roots of dysfunctional behavior / edited by Luciano L'Abate.</t>
        </is>
      </c>
      <c r="F561" t="inlineStr">
        <is>
          <t>No</t>
        </is>
      </c>
      <c r="G561" t="inlineStr">
        <is>
          <t>1</t>
        </is>
      </c>
      <c r="H561" t="inlineStr">
        <is>
          <t>No</t>
        </is>
      </c>
      <c r="I561" t="inlineStr">
        <is>
          <t>No</t>
        </is>
      </c>
      <c r="J561" t="inlineStr">
        <is>
          <t>0</t>
        </is>
      </c>
      <c r="L561" t="inlineStr">
        <is>
          <t>New York, NY : The Guilford Press, c1998.</t>
        </is>
      </c>
      <c r="M561" t="inlineStr">
        <is>
          <t>1998</t>
        </is>
      </c>
      <c r="O561" t="inlineStr">
        <is>
          <t>eng</t>
        </is>
      </c>
      <c r="P561" t="inlineStr">
        <is>
          <t>nyu</t>
        </is>
      </c>
      <c r="R561" t="inlineStr">
        <is>
          <t xml:space="preserve">RC </t>
        </is>
      </c>
      <c r="S561" t="n">
        <v>4</v>
      </c>
      <c r="T561" t="n">
        <v>4</v>
      </c>
      <c r="U561" t="inlineStr">
        <is>
          <t>2006-03-13</t>
        </is>
      </c>
      <c r="V561" t="inlineStr">
        <is>
          <t>2006-03-13</t>
        </is>
      </c>
      <c r="W561" t="inlineStr">
        <is>
          <t>1999-11-09</t>
        </is>
      </c>
      <c r="X561" t="inlineStr">
        <is>
          <t>1999-11-09</t>
        </is>
      </c>
      <c r="Y561" t="n">
        <v>453</v>
      </c>
      <c r="Z561" t="n">
        <v>388</v>
      </c>
      <c r="AA561" t="n">
        <v>388</v>
      </c>
      <c r="AB561" t="n">
        <v>4</v>
      </c>
      <c r="AC561" t="n">
        <v>4</v>
      </c>
      <c r="AD561" t="n">
        <v>25</v>
      </c>
      <c r="AE561" t="n">
        <v>25</v>
      </c>
      <c r="AF561" t="n">
        <v>10</v>
      </c>
      <c r="AG561" t="n">
        <v>10</v>
      </c>
      <c r="AH561" t="n">
        <v>4</v>
      </c>
      <c r="AI561" t="n">
        <v>4</v>
      </c>
      <c r="AJ561" t="n">
        <v>15</v>
      </c>
      <c r="AK561" t="n">
        <v>15</v>
      </c>
      <c r="AL561" t="n">
        <v>3</v>
      </c>
      <c r="AM561" t="n">
        <v>3</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HYPERLINK("https://creighton-primo.hosted.exlibrisgroup.com/primo-explore/search?tab=default_tab&amp;search_scope=EVERYTHING&amp;vid=01CRU&amp;lang=en_US&amp;offset=0&amp;query=any,contains,991002915699702656","Catalog Record")</f>
        <v/>
      </c>
      <c r="AT561">
        <f>HYPERLINK("http://www.worldcat.org/oclc/38550851","WorldCat Record")</f>
        <v/>
      </c>
      <c r="AU561" t="inlineStr">
        <is>
          <t>865304094:eng</t>
        </is>
      </c>
      <c r="AV561" t="inlineStr">
        <is>
          <t>38550851</t>
        </is>
      </c>
      <c r="AW561" t="inlineStr">
        <is>
          <t>991002915699702656</t>
        </is>
      </c>
      <c r="AX561" t="inlineStr">
        <is>
          <t>991002915699702656</t>
        </is>
      </c>
      <c r="AY561" t="inlineStr">
        <is>
          <t>2268309640002656</t>
        </is>
      </c>
      <c r="AZ561" t="inlineStr">
        <is>
          <t>BOOK</t>
        </is>
      </c>
      <c r="BB561" t="inlineStr">
        <is>
          <t>9781572303690</t>
        </is>
      </c>
      <c r="BC561" t="inlineStr">
        <is>
          <t>32285003619649</t>
        </is>
      </c>
      <c r="BD561" t="inlineStr">
        <is>
          <t>893780386</t>
        </is>
      </c>
    </row>
    <row r="562">
      <c r="A562" t="inlineStr">
        <is>
          <t>No</t>
        </is>
      </c>
      <c r="B562" t="inlineStr">
        <is>
          <t>RC455.4.F3 H356 1996</t>
        </is>
      </c>
      <c r="C562" t="inlineStr">
        <is>
          <t>0                      RC 0455400F  3                  H  356         1996</t>
        </is>
      </c>
      <c r="D562" t="inlineStr">
        <is>
          <t>Handbook of relational diagnosis and dysfunctional family patterns / edited by Florence W. Kaslow.</t>
        </is>
      </c>
      <c r="F562" t="inlineStr">
        <is>
          <t>No</t>
        </is>
      </c>
      <c r="G562" t="inlineStr">
        <is>
          <t>1</t>
        </is>
      </c>
      <c r="H562" t="inlineStr">
        <is>
          <t>No</t>
        </is>
      </c>
      <c r="I562" t="inlineStr">
        <is>
          <t>No</t>
        </is>
      </c>
      <c r="J562" t="inlineStr">
        <is>
          <t>0</t>
        </is>
      </c>
      <c r="L562" t="inlineStr">
        <is>
          <t>New York : John Wiley, c1996.</t>
        </is>
      </c>
      <c r="M562" t="inlineStr">
        <is>
          <t>1996</t>
        </is>
      </c>
      <c r="O562" t="inlineStr">
        <is>
          <t>eng</t>
        </is>
      </c>
      <c r="P562" t="inlineStr">
        <is>
          <t>nyu</t>
        </is>
      </c>
      <c r="Q562" t="inlineStr">
        <is>
          <t>Wiley series in couples and family dynamics and treatment</t>
        </is>
      </c>
      <c r="R562" t="inlineStr">
        <is>
          <t xml:space="preserve">RC </t>
        </is>
      </c>
      <c r="S562" t="n">
        <v>7</v>
      </c>
      <c r="T562" t="n">
        <v>7</v>
      </c>
      <c r="U562" t="inlineStr">
        <is>
          <t>2009-03-05</t>
        </is>
      </c>
      <c r="V562" t="inlineStr">
        <is>
          <t>2009-03-05</t>
        </is>
      </c>
      <c r="W562" t="inlineStr">
        <is>
          <t>1996-09-27</t>
        </is>
      </c>
      <c r="X562" t="inlineStr">
        <is>
          <t>1996-09-27</t>
        </is>
      </c>
      <c r="Y562" t="n">
        <v>361</v>
      </c>
      <c r="Z562" t="n">
        <v>292</v>
      </c>
      <c r="AA562" t="n">
        <v>300</v>
      </c>
      <c r="AB562" t="n">
        <v>2</v>
      </c>
      <c r="AC562" t="n">
        <v>2</v>
      </c>
      <c r="AD562" t="n">
        <v>13</v>
      </c>
      <c r="AE562" t="n">
        <v>13</v>
      </c>
      <c r="AF562" t="n">
        <v>4</v>
      </c>
      <c r="AG562" t="n">
        <v>4</v>
      </c>
      <c r="AH562" t="n">
        <v>3</v>
      </c>
      <c r="AI562" t="n">
        <v>3</v>
      </c>
      <c r="AJ562" t="n">
        <v>9</v>
      </c>
      <c r="AK562" t="n">
        <v>9</v>
      </c>
      <c r="AL562" t="n">
        <v>1</v>
      </c>
      <c r="AM562" t="n">
        <v>1</v>
      </c>
      <c r="AN562" t="n">
        <v>0</v>
      </c>
      <c r="AO562" t="n">
        <v>0</v>
      </c>
      <c r="AP562" t="inlineStr">
        <is>
          <t>No</t>
        </is>
      </c>
      <c r="AQ562" t="inlineStr">
        <is>
          <t>Yes</t>
        </is>
      </c>
      <c r="AR562">
        <f>HYPERLINK("http://catalog.hathitrust.org/Record/003056835","HathiTrust Record")</f>
        <v/>
      </c>
      <c r="AS562">
        <f>HYPERLINK("https://creighton-primo.hosted.exlibrisgroup.com/primo-explore/search?tab=default_tab&amp;search_scope=EVERYTHING&amp;vid=01CRU&amp;lang=en_US&amp;offset=0&amp;query=any,contains,991002515609702656","Catalog Record")</f>
        <v/>
      </c>
      <c r="AT562">
        <f>HYPERLINK("http://www.worldcat.org/oclc/32703768","WorldCat Record")</f>
        <v/>
      </c>
      <c r="AU562" t="inlineStr">
        <is>
          <t>36317838:eng</t>
        </is>
      </c>
      <c r="AV562" t="inlineStr">
        <is>
          <t>32703768</t>
        </is>
      </c>
      <c r="AW562" t="inlineStr">
        <is>
          <t>991002515609702656</t>
        </is>
      </c>
      <c r="AX562" t="inlineStr">
        <is>
          <t>991002515609702656</t>
        </is>
      </c>
      <c r="AY562" t="inlineStr">
        <is>
          <t>2271738970002656</t>
        </is>
      </c>
      <c r="AZ562" t="inlineStr">
        <is>
          <t>BOOK</t>
        </is>
      </c>
      <c r="BB562" t="inlineStr">
        <is>
          <t>9780471080787</t>
        </is>
      </c>
      <c r="BC562" t="inlineStr">
        <is>
          <t>32285002321023</t>
        </is>
      </c>
      <c r="BD562" t="inlineStr">
        <is>
          <t>893421470</t>
        </is>
      </c>
    </row>
    <row r="563">
      <c r="A563" t="inlineStr">
        <is>
          <t>No</t>
        </is>
      </c>
      <c r="B563" t="inlineStr">
        <is>
          <t>RC455.4.F3 L35 1992</t>
        </is>
      </c>
      <c r="C563" t="inlineStr">
        <is>
          <t>0                      RC 0455400F  3                  L  35          1992</t>
        </is>
      </c>
      <c r="D563" t="inlineStr">
        <is>
          <t>Transcending turmoil : survivors of dysfunctional families / Donna F. LaMar.</t>
        </is>
      </c>
      <c r="F563" t="inlineStr">
        <is>
          <t>No</t>
        </is>
      </c>
      <c r="G563" t="inlineStr">
        <is>
          <t>1</t>
        </is>
      </c>
      <c r="H563" t="inlineStr">
        <is>
          <t>No</t>
        </is>
      </c>
      <c r="I563" t="inlineStr">
        <is>
          <t>No</t>
        </is>
      </c>
      <c r="J563" t="inlineStr">
        <is>
          <t>0</t>
        </is>
      </c>
      <c r="K563" t="inlineStr">
        <is>
          <t>LaMar, Donna F.</t>
        </is>
      </c>
      <c r="L563" t="inlineStr">
        <is>
          <t>New York : Plenum Press, c1992.</t>
        </is>
      </c>
      <c r="M563" t="inlineStr">
        <is>
          <t>1992</t>
        </is>
      </c>
      <c r="O563" t="inlineStr">
        <is>
          <t>eng</t>
        </is>
      </c>
      <c r="P563" t="inlineStr">
        <is>
          <t>nyu</t>
        </is>
      </c>
      <c r="R563" t="inlineStr">
        <is>
          <t xml:space="preserve">RC </t>
        </is>
      </c>
      <c r="S563" t="n">
        <v>11</v>
      </c>
      <c r="T563" t="n">
        <v>11</v>
      </c>
      <c r="U563" t="inlineStr">
        <is>
          <t>1999-10-23</t>
        </is>
      </c>
      <c r="V563" t="inlineStr">
        <is>
          <t>1999-10-23</t>
        </is>
      </c>
      <c r="W563" t="inlineStr">
        <is>
          <t>1992-10-19</t>
        </is>
      </c>
      <c r="X563" t="inlineStr">
        <is>
          <t>1992-10-19</t>
        </is>
      </c>
      <c r="Y563" t="n">
        <v>265</v>
      </c>
      <c r="Z563" t="n">
        <v>231</v>
      </c>
      <c r="AA563" t="n">
        <v>262</v>
      </c>
      <c r="AB563" t="n">
        <v>2</v>
      </c>
      <c r="AC563" t="n">
        <v>2</v>
      </c>
      <c r="AD563" t="n">
        <v>6</v>
      </c>
      <c r="AE563" t="n">
        <v>8</v>
      </c>
      <c r="AF563" t="n">
        <v>1</v>
      </c>
      <c r="AG563" t="n">
        <v>3</v>
      </c>
      <c r="AH563" t="n">
        <v>1</v>
      </c>
      <c r="AI563" t="n">
        <v>1</v>
      </c>
      <c r="AJ563" t="n">
        <v>5</v>
      </c>
      <c r="AK563" t="n">
        <v>6</v>
      </c>
      <c r="AL563" t="n">
        <v>1</v>
      </c>
      <c r="AM563" t="n">
        <v>1</v>
      </c>
      <c r="AN563" t="n">
        <v>0</v>
      </c>
      <c r="AO563" t="n">
        <v>0</v>
      </c>
      <c r="AP563" t="inlineStr">
        <is>
          <t>No</t>
        </is>
      </c>
      <c r="AQ563" t="inlineStr">
        <is>
          <t>Yes</t>
        </is>
      </c>
      <c r="AR563">
        <f>HYPERLINK("http://catalog.hathitrust.org/Record/002547056","HathiTrust Record")</f>
        <v/>
      </c>
      <c r="AS563">
        <f>HYPERLINK("https://creighton-primo.hosted.exlibrisgroup.com/primo-explore/search?tab=default_tab&amp;search_scope=EVERYTHING&amp;vid=01CRU&amp;lang=en_US&amp;offset=0&amp;query=any,contains,991001982259702656","Catalog Record")</f>
        <v/>
      </c>
      <c r="AT563">
        <f>HYPERLINK("http://www.worldcat.org/oclc/25164069","WorldCat Record")</f>
        <v/>
      </c>
      <c r="AU563" t="inlineStr">
        <is>
          <t>27983480:eng</t>
        </is>
      </c>
      <c r="AV563" t="inlineStr">
        <is>
          <t>25164069</t>
        </is>
      </c>
      <c r="AW563" t="inlineStr">
        <is>
          <t>991001982259702656</t>
        </is>
      </c>
      <c r="AX563" t="inlineStr">
        <is>
          <t>991001982259702656</t>
        </is>
      </c>
      <c r="AY563" t="inlineStr">
        <is>
          <t>2263767580002656</t>
        </is>
      </c>
      <c r="AZ563" t="inlineStr">
        <is>
          <t>BOOK</t>
        </is>
      </c>
      <c r="BB563" t="inlineStr">
        <is>
          <t>9780306441271</t>
        </is>
      </c>
      <c r="BC563" t="inlineStr">
        <is>
          <t>32285001318822</t>
        </is>
      </c>
      <c r="BD563" t="inlineStr">
        <is>
          <t>893715914</t>
        </is>
      </c>
    </row>
    <row r="564">
      <c r="A564" t="inlineStr">
        <is>
          <t>No</t>
        </is>
      </c>
      <c r="B564" t="inlineStr">
        <is>
          <t>RC455.4.F3 M4</t>
        </is>
      </c>
      <c r="C564" t="inlineStr">
        <is>
          <t>0                      RC 0455400F  3                  M  4</t>
        </is>
      </c>
      <c r="D564" t="inlineStr">
        <is>
          <t>Mentally ill mothers and their children / Henry Grunebaum ... [et al.].</t>
        </is>
      </c>
      <c r="F564" t="inlineStr">
        <is>
          <t>No</t>
        </is>
      </c>
      <c r="G564" t="inlineStr">
        <is>
          <t>1</t>
        </is>
      </c>
      <c r="H564" t="inlineStr">
        <is>
          <t>No</t>
        </is>
      </c>
      <c r="I564" t="inlineStr">
        <is>
          <t>No</t>
        </is>
      </c>
      <c r="J564" t="inlineStr">
        <is>
          <t>0</t>
        </is>
      </c>
      <c r="L564" t="inlineStr">
        <is>
          <t>Chicago : University of Chicago Press, 1975.</t>
        </is>
      </c>
      <c r="M564" t="inlineStr">
        <is>
          <t>1975</t>
        </is>
      </c>
      <c r="O564" t="inlineStr">
        <is>
          <t>eng</t>
        </is>
      </c>
      <c r="P564" t="inlineStr">
        <is>
          <t>ilu</t>
        </is>
      </c>
      <c r="R564" t="inlineStr">
        <is>
          <t xml:space="preserve">RC </t>
        </is>
      </c>
      <c r="S564" t="n">
        <v>2</v>
      </c>
      <c r="T564" t="n">
        <v>2</v>
      </c>
      <c r="U564" t="inlineStr">
        <is>
          <t>2004-04-20</t>
        </is>
      </c>
      <c r="V564" t="inlineStr">
        <is>
          <t>2004-04-20</t>
        </is>
      </c>
      <c r="W564" t="inlineStr">
        <is>
          <t>1997-08-11</t>
        </is>
      </c>
      <c r="X564" t="inlineStr">
        <is>
          <t>1997-08-11</t>
        </is>
      </c>
      <c r="Y564" t="n">
        <v>438</v>
      </c>
      <c r="Z564" t="n">
        <v>349</v>
      </c>
      <c r="AA564" t="n">
        <v>446</v>
      </c>
      <c r="AB564" t="n">
        <v>3</v>
      </c>
      <c r="AC564" t="n">
        <v>4</v>
      </c>
      <c r="AD564" t="n">
        <v>12</v>
      </c>
      <c r="AE564" t="n">
        <v>15</v>
      </c>
      <c r="AF564" t="n">
        <v>4</v>
      </c>
      <c r="AG564" t="n">
        <v>5</v>
      </c>
      <c r="AH564" t="n">
        <v>4</v>
      </c>
      <c r="AI564" t="n">
        <v>5</v>
      </c>
      <c r="AJ564" t="n">
        <v>7</v>
      </c>
      <c r="AK564" t="n">
        <v>9</v>
      </c>
      <c r="AL564" t="n">
        <v>1</v>
      </c>
      <c r="AM564" t="n">
        <v>2</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HYPERLINK("https://creighton-primo.hosted.exlibrisgroup.com/primo-explore/search?tab=default_tab&amp;search_scope=EVERYTHING&amp;vid=01CRU&amp;lang=en_US&amp;offset=0&amp;query=any,contains,991003646729702656","Catalog Record")</f>
        <v/>
      </c>
      <c r="AT564">
        <f>HYPERLINK("http://www.worldcat.org/oclc/1248715","WorldCat Record")</f>
        <v/>
      </c>
      <c r="AU564" t="inlineStr">
        <is>
          <t>54035705:eng</t>
        </is>
      </c>
      <c r="AV564" t="inlineStr">
        <is>
          <t>1248715</t>
        </is>
      </c>
      <c r="AW564" t="inlineStr">
        <is>
          <t>991003646729702656</t>
        </is>
      </c>
      <c r="AX564" t="inlineStr">
        <is>
          <t>991003646729702656</t>
        </is>
      </c>
      <c r="AY564" t="inlineStr">
        <is>
          <t>2264059940002656</t>
        </is>
      </c>
      <c r="AZ564" t="inlineStr">
        <is>
          <t>BOOK</t>
        </is>
      </c>
      <c r="BB564" t="inlineStr">
        <is>
          <t>9780226310213</t>
        </is>
      </c>
      <c r="BC564" t="inlineStr">
        <is>
          <t>32285003090767</t>
        </is>
      </c>
      <c r="BD564" t="inlineStr">
        <is>
          <t>893518719</t>
        </is>
      </c>
    </row>
    <row r="565">
      <c r="A565" t="inlineStr">
        <is>
          <t>No</t>
        </is>
      </c>
      <c r="B565" t="inlineStr">
        <is>
          <t>RC455.4.F3 P47</t>
        </is>
      </c>
      <c r="C565" t="inlineStr">
        <is>
          <t>0                      RC 0455400F  3                  P  47</t>
        </is>
      </c>
      <c r="D565" t="inlineStr">
        <is>
          <t>The family roots of adolescent delinquency / Joseph F. Perez.</t>
        </is>
      </c>
      <c r="F565" t="inlineStr">
        <is>
          <t>No</t>
        </is>
      </c>
      <c r="G565" t="inlineStr">
        <is>
          <t>1</t>
        </is>
      </c>
      <c r="H565" t="inlineStr">
        <is>
          <t>No</t>
        </is>
      </c>
      <c r="I565" t="inlineStr">
        <is>
          <t>No</t>
        </is>
      </c>
      <c r="J565" t="inlineStr">
        <is>
          <t>0</t>
        </is>
      </c>
      <c r="K565" t="inlineStr">
        <is>
          <t>Perez, Joseph F. (Joseph Francis)</t>
        </is>
      </c>
      <c r="L565" t="inlineStr">
        <is>
          <t>New York : Van Nostrand Reinhold, c1978.</t>
        </is>
      </c>
      <c r="M565" t="inlineStr">
        <is>
          <t>1978</t>
        </is>
      </c>
      <c r="O565" t="inlineStr">
        <is>
          <t>eng</t>
        </is>
      </c>
      <c r="P565" t="inlineStr">
        <is>
          <t>nyu</t>
        </is>
      </c>
      <c r="R565" t="inlineStr">
        <is>
          <t xml:space="preserve">RC </t>
        </is>
      </c>
      <c r="S565" t="n">
        <v>8</v>
      </c>
      <c r="T565" t="n">
        <v>8</v>
      </c>
      <c r="U565" t="inlineStr">
        <is>
          <t>2002-09-26</t>
        </is>
      </c>
      <c r="V565" t="inlineStr">
        <is>
          <t>2002-09-26</t>
        </is>
      </c>
      <c r="W565" t="inlineStr">
        <is>
          <t>1993-03-22</t>
        </is>
      </c>
      <c r="X565" t="inlineStr">
        <is>
          <t>1993-03-22</t>
        </is>
      </c>
      <c r="Y565" t="n">
        <v>435</v>
      </c>
      <c r="Z565" t="n">
        <v>353</v>
      </c>
      <c r="AA565" t="n">
        <v>354</v>
      </c>
      <c r="AB565" t="n">
        <v>5</v>
      </c>
      <c r="AC565" t="n">
        <v>5</v>
      </c>
      <c r="AD565" t="n">
        <v>10</v>
      </c>
      <c r="AE565" t="n">
        <v>10</v>
      </c>
      <c r="AF565" t="n">
        <v>2</v>
      </c>
      <c r="AG565" t="n">
        <v>2</v>
      </c>
      <c r="AH565" t="n">
        <v>1</v>
      </c>
      <c r="AI565" t="n">
        <v>1</v>
      </c>
      <c r="AJ565" t="n">
        <v>4</v>
      </c>
      <c r="AK565" t="n">
        <v>4</v>
      </c>
      <c r="AL565" t="n">
        <v>3</v>
      </c>
      <c r="AM565" t="n">
        <v>3</v>
      </c>
      <c r="AN565" t="n">
        <v>0</v>
      </c>
      <c r="AO565" t="n">
        <v>0</v>
      </c>
      <c r="AP565" t="inlineStr">
        <is>
          <t>No</t>
        </is>
      </c>
      <c r="AQ565" t="inlineStr">
        <is>
          <t>Yes</t>
        </is>
      </c>
      <c r="AR565">
        <f>HYPERLINK("http://catalog.hathitrust.org/Record/007479496","HathiTrust Record")</f>
        <v/>
      </c>
      <c r="AS565">
        <f>HYPERLINK("https://creighton-primo.hosted.exlibrisgroup.com/primo-explore/search?tab=default_tab&amp;search_scope=EVERYTHING&amp;vid=01CRU&amp;lang=en_US&amp;offset=0&amp;query=any,contains,991004623529702656","Catalog Record")</f>
        <v/>
      </c>
      <c r="AT565">
        <f>HYPERLINK("http://www.worldcat.org/oclc/4318353","WorldCat Record")</f>
        <v/>
      </c>
      <c r="AU565" t="inlineStr">
        <is>
          <t>14679947:eng</t>
        </is>
      </c>
      <c r="AV565" t="inlineStr">
        <is>
          <t>4318353</t>
        </is>
      </c>
      <c r="AW565" t="inlineStr">
        <is>
          <t>991004623529702656</t>
        </is>
      </c>
      <c r="AX565" t="inlineStr">
        <is>
          <t>991004623529702656</t>
        </is>
      </c>
      <c r="AY565" t="inlineStr">
        <is>
          <t>2269902080002656</t>
        </is>
      </c>
      <c r="AZ565" t="inlineStr">
        <is>
          <t>BOOK</t>
        </is>
      </c>
      <c r="BB565" t="inlineStr">
        <is>
          <t>9780442265359</t>
        </is>
      </c>
      <c r="BC565" t="inlineStr">
        <is>
          <t>32285001606002</t>
        </is>
      </c>
      <c r="BD565" t="inlineStr">
        <is>
          <t>893411763</t>
        </is>
      </c>
    </row>
    <row r="566">
      <c r="A566" t="inlineStr">
        <is>
          <t>No</t>
        </is>
      </c>
      <c r="B566" t="inlineStr">
        <is>
          <t>RC455.4.F3 U53 1987</t>
        </is>
      </c>
      <c r="C566" t="inlineStr">
        <is>
          <t>0                      RC 0455400F  3                  U  53          1987</t>
        </is>
      </c>
      <c r="D566" t="inlineStr">
        <is>
          <t>Understanding major mental disorder : the contribution of family interaction research / edited by Kurt Hahlweg, Michael J. Goldstein.</t>
        </is>
      </c>
      <c r="F566" t="inlineStr">
        <is>
          <t>No</t>
        </is>
      </c>
      <c r="G566" t="inlineStr">
        <is>
          <t>1</t>
        </is>
      </c>
      <c r="H566" t="inlineStr">
        <is>
          <t>No</t>
        </is>
      </c>
      <c r="I566" t="inlineStr">
        <is>
          <t>No</t>
        </is>
      </c>
      <c r="J566" t="inlineStr">
        <is>
          <t>0</t>
        </is>
      </c>
      <c r="L566" t="inlineStr">
        <is>
          <t>New York : Family Process Press, 1987.</t>
        </is>
      </c>
      <c r="M566" t="inlineStr">
        <is>
          <t>1987</t>
        </is>
      </c>
      <c r="O566" t="inlineStr">
        <is>
          <t>eng</t>
        </is>
      </c>
      <c r="P566" t="inlineStr">
        <is>
          <t>nyu</t>
        </is>
      </c>
      <c r="R566" t="inlineStr">
        <is>
          <t xml:space="preserve">RC </t>
        </is>
      </c>
      <c r="S566" t="n">
        <v>6</v>
      </c>
      <c r="T566" t="n">
        <v>6</v>
      </c>
      <c r="U566" t="inlineStr">
        <is>
          <t>1995-03-14</t>
        </is>
      </c>
      <c r="V566" t="inlineStr">
        <is>
          <t>1995-03-14</t>
        </is>
      </c>
      <c r="W566" t="inlineStr">
        <is>
          <t>1992-07-02</t>
        </is>
      </c>
      <c r="X566" t="inlineStr">
        <is>
          <t>1992-07-02</t>
        </is>
      </c>
      <c r="Y566" t="n">
        <v>274</v>
      </c>
      <c r="Z566" t="n">
        <v>222</v>
      </c>
      <c r="AA566" t="n">
        <v>229</v>
      </c>
      <c r="AB566" t="n">
        <v>2</v>
      </c>
      <c r="AC566" t="n">
        <v>2</v>
      </c>
      <c r="AD566" t="n">
        <v>7</v>
      </c>
      <c r="AE566" t="n">
        <v>7</v>
      </c>
      <c r="AF566" t="n">
        <v>2</v>
      </c>
      <c r="AG566" t="n">
        <v>2</v>
      </c>
      <c r="AH566" t="n">
        <v>1</v>
      </c>
      <c r="AI566" t="n">
        <v>1</v>
      </c>
      <c r="AJ566" t="n">
        <v>4</v>
      </c>
      <c r="AK566" t="n">
        <v>4</v>
      </c>
      <c r="AL566" t="n">
        <v>1</v>
      </c>
      <c r="AM566" t="n">
        <v>1</v>
      </c>
      <c r="AN566" t="n">
        <v>0</v>
      </c>
      <c r="AO566" t="n">
        <v>0</v>
      </c>
      <c r="AP566" t="inlineStr">
        <is>
          <t>No</t>
        </is>
      </c>
      <c r="AQ566" t="inlineStr">
        <is>
          <t>Yes</t>
        </is>
      </c>
      <c r="AR566">
        <f>HYPERLINK("http://catalog.hathitrust.org/Record/000881669","HathiTrust Record")</f>
        <v/>
      </c>
      <c r="AS566">
        <f>HYPERLINK("https://creighton-primo.hosted.exlibrisgroup.com/primo-explore/search?tab=default_tab&amp;search_scope=EVERYTHING&amp;vid=01CRU&amp;lang=en_US&amp;offset=0&amp;query=any,contains,991001024219702656","Catalog Record")</f>
        <v/>
      </c>
      <c r="AT566">
        <f>HYPERLINK("http://www.worldcat.org/oclc/15428441","WorldCat Record")</f>
        <v/>
      </c>
      <c r="AU566" t="inlineStr">
        <is>
          <t>836714712:eng</t>
        </is>
      </c>
      <c r="AV566" t="inlineStr">
        <is>
          <t>15428441</t>
        </is>
      </c>
      <c r="AW566" t="inlineStr">
        <is>
          <t>991001024219702656</t>
        </is>
      </c>
      <c r="AX566" t="inlineStr">
        <is>
          <t>991001024219702656</t>
        </is>
      </c>
      <c r="AY566" t="inlineStr">
        <is>
          <t>2261880530002656</t>
        </is>
      </c>
      <c r="AZ566" t="inlineStr">
        <is>
          <t>BOOK</t>
        </is>
      </c>
      <c r="BB566" t="inlineStr">
        <is>
          <t>9780961551957</t>
        </is>
      </c>
      <c r="BC566" t="inlineStr">
        <is>
          <t>32285001147734</t>
        </is>
      </c>
      <c r="BD566" t="inlineStr">
        <is>
          <t>893503030</t>
        </is>
      </c>
    </row>
    <row r="567">
      <c r="A567" t="inlineStr">
        <is>
          <t>No</t>
        </is>
      </c>
      <c r="B567" t="inlineStr">
        <is>
          <t>RC455.4.F3 W62 1993</t>
        </is>
      </c>
      <c r="C567" t="inlineStr">
        <is>
          <t>0                      RC 0455400F  3                  W  62          1993</t>
        </is>
      </c>
      <c r="D567" t="inlineStr">
        <is>
          <t>The resilient self : how survivors of troubled families rise above adversity / Steven J. Wolin and Sybil Wolin.</t>
        </is>
      </c>
      <c r="F567" t="inlineStr">
        <is>
          <t>No</t>
        </is>
      </c>
      <c r="G567" t="inlineStr">
        <is>
          <t>1</t>
        </is>
      </c>
      <c r="H567" t="inlineStr">
        <is>
          <t>No</t>
        </is>
      </c>
      <c r="I567" t="inlineStr">
        <is>
          <t>No</t>
        </is>
      </c>
      <c r="J567" t="inlineStr">
        <is>
          <t>0</t>
        </is>
      </c>
      <c r="K567" t="inlineStr">
        <is>
          <t>Wolin, Steven J.</t>
        </is>
      </c>
      <c r="L567" t="inlineStr">
        <is>
          <t>New York : Villard Books, 1993.</t>
        </is>
      </c>
      <c r="M567" t="inlineStr">
        <is>
          <t>1993</t>
        </is>
      </c>
      <c r="N567" t="inlineStr">
        <is>
          <t>1st ed.</t>
        </is>
      </c>
      <c r="O567" t="inlineStr">
        <is>
          <t>eng</t>
        </is>
      </c>
      <c r="P567" t="inlineStr">
        <is>
          <t>nyu</t>
        </is>
      </c>
      <c r="R567" t="inlineStr">
        <is>
          <t xml:space="preserve">RC </t>
        </is>
      </c>
      <c r="S567" t="n">
        <v>17</v>
      </c>
      <c r="T567" t="n">
        <v>17</v>
      </c>
      <c r="U567" t="inlineStr">
        <is>
          <t>2002-03-08</t>
        </is>
      </c>
      <c r="V567" t="inlineStr">
        <is>
          <t>2002-03-08</t>
        </is>
      </c>
      <c r="W567" t="inlineStr">
        <is>
          <t>1994-11-07</t>
        </is>
      </c>
      <c r="X567" t="inlineStr">
        <is>
          <t>1994-11-07</t>
        </is>
      </c>
      <c r="Y567" t="n">
        <v>454</v>
      </c>
      <c r="Z567" t="n">
        <v>404</v>
      </c>
      <c r="AA567" t="n">
        <v>435</v>
      </c>
      <c r="AB567" t="n">
        <v>2</v>
      </c>
      <c r="AC567" t="n">
        <v>2</v>
      </c>
      <c r="AD567" t="n">
        <v>6</v>
      </c>
      <c r="AE567" t="n">
        <v>6</v>
      </c>
      <c r="AF567" t="n">
        <v>2</v>
      </c>
      <c r="AG567" t="n">
        <v>2</v>
      </c>
      <c r="AH567" t="n">
        <v>1</v>
      </c>
      <c r="AI567" t="n">
        <v>1</v>
      </c>
      <c r="AJ567" t="n">
        <v>2</v>
      </c>
      <c r="AK567" t="n">
        <v>2</v>
      </c>
      <c r="AL567" t="n">
        <v>1</v>
      </c>
      <c r="AM567" t="n">
        <v>1</v>
      </c>
      <c r="AN567" t="n">
        <v>0</v>
      </c>
      <c r="AO567" t="n">
        <v>0</v>
      </c>
      <c r="AP567" t="inlineStr">
        <is>
          <t>No</t>
        </is>
      </c>
      <c r="AQ567" t="inlineStr">
        <is>
          <t>Yes</t>
        </is>
      </c>
      <c r="AR567">
        <f>HYPERLINK("http://catalog.hathitrust.org/Record/002865145","HathiTrust Record")</f>
        <v/>
      </c>
      <c r="AS567">
        <f>HYPERLINK("https://creighton-primo.hosted.exlibrisgroup.com/primo-explore/search?tab=default_tab&amp;search_scope=EVERYTHING&amp;vid=01CRU&amp;lang=en_US&amp;offset=0&amp;query=any,contains,991002083109702656","Catalog Record")</f>
        <v/>
      </c>
      <c r="AT567">
        <f>HYPERLINK("http://www.worldcat.org/oclc/26722216","WorldCat Record")</f>
        <v/>
      </c>
      <c r="AU567" t="inlineStr">
        <is>
          <t>889666824:eng</t>
        </is>
      </c>
      <c r="AV567" t="inlineStr">
        <is>
          <t>26722216</t>
        </is>
      </c>
      <c r="AW567" t="inlineStr">
        <is>
          <t>991002083109702656</t>
        </is>
      </c>
      <c r="AX567" t="inlineStr">
        <is>
          <t>991002083109702656</t>
        </is>
      </c>
      <c r="AY567" t="inlineStr">
        <is>
          <t>2270137820002656</t>
        </is>
      </c>
      <c r="AZ567" t="inlineStr">
        <is>
          <t>BOOK</t>
        </is>
      </c>
      <c r="BB567" t="inlineStr">
        <is>
          <t>9780394583570</t>
        </is>
      </c>
      <c r="BC567" t="inlineStr">
        <is>
          <t>32285001956498</t>
        </is>
      </c>
      <c r="BD567" t="inlineStr">
        <is>
          <t>893716028</t>
        </is>
      </c>
    </row>
    <row r="568">
      <c r="A568" t="inlineStr">
        <is>
          <t>No</t>
        </is>
      </c>
      <c r="B568" t="inlineStr">
        <is>
          <t>RC455.4.L53 L52 1992</t>
        </is>
      </c>
      <c r="C568" t="inlineStr">
        <is>
          <t>0                      RC 0455400L  53                 L  52          1992</t>
        </is>
      </c>
      <c r="D568" t="inlineStr">
        <is>
          <t>Life crises and experiences of loss in adulthood / edited by Leo Montada, Sigrun-Heide Filipp, Melvin J. Lerner.</t>
        </is>
      </c>
      <c r="F568" t="inlineStr">
        <is>
          <t>No</t>
        </is>
      </c>
      <c r="G568" t="inlineStr">
        <is>
          <t>1</t>
        </is>
      </c>
      <c r="H568" t="inlineStr">
        <is>
          <t>No</t>
        </is>
      </c>
      <c r="I568" t="inlineStr">
        <is>
          <t>No</t>
        </is>
      </c>
      <c r="J568" t="inlineStr">
        <is>
          <t>0</t>
        </is>
      </c>
      <c r="L568" t="inlineStr">
        <is>
          <t>Hillsdale, N.J. : L. Erlbaum Associates, 1992.</t>
        </is>
      </c>
      <c r="M568" t="inlineStr">
        <is>
          <t>1992</t>
        </is>
      </c>
      <c r="O568" t="inlineStr">
        <is>
          <t>eng</t>
        </is>
      </c>
      <c r="P568" t="inlineStr">
        <is>
          <t>nju</t>
        </is>
      </c>
      <c r="R568" t="inlineStr">
        <is>
          <t xml:space="preserve">RC </t>
        </is>
      </c>
      <c r="S568" t="n">
        <v>25</v>
      </c>
      <c r="T568" t="n">
        <v>25</v>
      </c>
      <c r="U568" t="inlineStr">
        <is>
          <t>2003-06-14</t>
        </is>
      </c>
      <c r="V568" t="inlineStr">
        <is>
          <t>2003-06-14</t>
        </is>
      </c>
      <c r="W568" t="inlineStr">
        <is>
          <t>1993-09-30</t>
        </is>
      </c>
      <c r="X568" t="inlineStr">
        <is>
          <t>1993-09-30</t>
        </is>
      </c>
      <c r="Y568" t="n">
        <v>244</v>
      </c>
      <c r="Z568" t="n">
        <v>184</v>
      </c>
      <c r="AA568" t="n">
        <v>215</v>
      </c>
      <c r="AB568" t="n">
        <v>3</v>
      </c>
      <c r="AC568" t="n">
        <v>3</v>
      </c>
      <c r="AD568" t="n">
        <v>15</v>
      </c>
      <c r="AE568" t="n">
        <v>15</v>
      </c>
      <c r="AF568" t="n">
        <v>4</v>
      </c>
      <c r="AG568" t="n">
        <v>4</v>
      </c>
      <c r="AH568" t="n">
        <v>5</v>
      </c>
      <c r="AI568" t="n">
        <v>5</v>
      </c>
      <c r="AJ568" t="n">
        <v>9</v>
      </c>
      <c r="AK568" t="n">
        <v>9</v>
      </c>
      <c r="AL568" t="n">
        <v>2</v>
      </c>
      <c r="AM568" t="n">
        <v>2</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HYPERLINK("https://creighton-primo.hosted.exlibrisgroup.com/primo-explore/search?tab=default_tab&amp;search_scope=EVERYTHING&amp;vid=01CRU&amp;lang=en_US&amp;offset=0&amp;query=any,contains,991001951889702656","Catalog Record")</f>
        <v/>
      </c>
      <c r="AT568">
        <f>HYPERLINK("http://www.worldcat.org/oclc/24670941","WorldCat Record")</f>
        <v/>
      </c>
      <c r="AU568" t="inlineStr">
        <is>
          <t>351229422:eng</t>
        </is>
      </c>
      <c r="AV568" t="inlineStr">
        <is>
          <t>24670941</t>
        </is>
      </c>
      <c r="AW568" t="inlineStr">
        <is>
          <t>991001951889702656</t>
        </is>
      </c>
      <c r="AX568" t="inlineStr">
        <is>
          <t>991001951889702656</t>
        </is>
      </c>
      <c r="AY568" t="inlineStr">
        <is>
          <t>2267377900002656</t>
        </is>
      </c>
      <c r="AZ568" t="inlineStr">
        <is>
          <t>BOOK</t>
        </is>
      </c>
      <c r="BB568" t="inlineStr">
        <is>
          <t>9780805810011</t>
        </is>
      </c>
      <c r="BC568" t="inlineStr">
        <is>
          <t>32285001759991</t>
        </is>
      </c>
      <c r="BD568" t="inlineStr">
        <is>
          <t>893523013</t>
        </is>
      </c>
    </row>
    <row r="569">
      <c r="A569" t="inlineStr">
        <is>
          <t>No</t>
        </is>
      </c>
      <c r="B569" t="inlineStr">
        <is>
          <t>RC455.4.L53 L54 1986</t>
        </is>
      </c>
      <c r="C569" t="inlineStr">
        <is>
          <t>0                      RC 0455400L  53                 L  54          1986</t>
        </is>
      </c>
      <c r="D569" t="inlineStr">
        <is>
          <t>Life events and psychiatric disorders : controversial issues / edited by Heinz Katschnig.</t>
        </is>
      </c>
      <c r="F569" t="inlineStr">
        <is>
          <t>No</t>
        </is>
      </c>
      <c r="G569" t="inlineStr">
        <is>
          <t>1</t>
        </is>
      </c>
      <c r="H569" t="inlineStr">
        <is>
          <t>No</t>
        </is>
      </c>
      <c r="I569" t="inlineStr">
        <is>
          <t>No</t>
        </is>
      </c>
      <c r="J569" t="inlineStr">
        <is>
          <t>0</t>
        </is>
      </c>
      <c r="L569" t="inlineStr">
        <is>
          <t>Cambridge ; New York : Cambridge Univrsity Press, 1986.</t>
        </is>
      </c>
      <c r="M569" t="inlineStr">
        <is>
          <t>1986</t>
        </is>
      </c>
      <c r="O569" t="inlineStr">
        <is>
          <t>eng</t>
        </is>
      </c>
      <c r="P569" t="inlineStr">
        <is>
          <t>enk</t>
        </is>
      </c>
      <c r="R569" t="inlineStr">
        <is>
          <t xml:space="preserve">RC </t>
        </is>
      </c>
      <c r="S569" t="n">
        <v>8</v>
      </c>
      <c r="T569" t="n">
        <v>8</v>
      </c>
      <c r="U569" t="inlineStr">
        <is>
          <t>2001-10-23</t>
        </is>
      </c>
      <c r="V569" t="inlineStr">
        <is>
          <t>2001-10-23</t>
        </is>
      </c>
      <c r="W569" t="inlineStr">
        <is>
          <t>1993-03-22</t>
        </is>
      </c>
      <c r="X569" t="inlineStr">
        <is>
          <t>1993-03-22</t>
        </is>
      </c>
      <c r="Y569" t="n">
        <v>230</v>
      </c>
      <c r="Z569" t="n">
        <v>175</v>
      </c>
      <c r="AA569" t="n">
        <v>176</v>
      </c>
      <c r="AB569" t="n">
        <v>1</v>
      </c>
      <c r="AC569" t="n">
        <v>1</v>
      </c>
      <c r="AD569" t="n">
        <v>7</v>
      </c>
      <c r="AE569" t="n">
        <v>7</v>
      </c>
      <c r="AF569" t="n">
        <v>0</v>
      </c>
      <c r="AG569" t="n">
        <v>0</v>
      </c>
      <c r="AH569" t="n">
        <v>3</v>
      </c>
      <c r="AI569" t="n">
        <v>3</v>
      </c>
      <c r="AJ569" t="n">
        <v>6</v>
      </c>
      <c r="AK569" t="n">
        <v>6</v>
      </c>
      <c r="AL569" t="n">
        <v>0</v>
      </c>
      <c r="AM569" t="n">
        <v>0</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HYPERLINK("https://creighton-primo.hosted.exlibrisgroup.com/primo-explore/search?tab=default_tab&amp;search_scope=EVERYTHING&amp;vid=01CRU&amp;lang=en_US&amp;offset=0&amp;query=any,contains,991000686629702656","Catalog Record")</f>
        <v/>
      </c>
      <c r="AT569">
        <f>HYPERLINK("http://www.worldcat.org/oclc/12421239","WorldCat Record")</f>
        <v/>
      </c>
      <c r="AU569" t="inlineStr">
        <is>
          <t>836680856:eng</t>
        </is>
      </c>
      <c r="AV569" t="inlineStr">
        <is>
          <t>12421239</t>
        </is>
      </c>
      <c r="AW569" t="inlineStr">
        <is>
          <t>991000686629702656</t>
        </is>
      </c>
      <c r="AX569" t="inlineStr">
        <is>
          <t>991000686629702656</t>
        </is>
      </c>
      <c r="AY569" t="inlineStr">
        <is>
          <t>2254986310002656</t>
        </is>
      </c>
      <c r="AZ569" t="inlineStr">
        <is>
          <t>BOOK</t>
        </is>
      </c>
      <c r="BB569" t="inlineStr">
        <is>
          <t>9780521255967</t>
        </is>
      </c>
      <c r="BC569" t="inlineStr">
        <is>
          <t>32285001606010</t>
        </is>
      </c>
      <c r="BD569" t="inlineStr">
        <is>
          <t>893534273</t>
        </is>
      </c>
    </row>
    <row r="570">
      <c r="A570" t="inlineStr">
        <is>
          <t>No</t>
        </is>
      </c>
      <c r="B570" t="inlineStr">
        <is>
          <t>RC455.4.L67 G36 2009</t>
        </is>
      </c>
      <c r="C570" t="inlineStr">
        <is>
          <t>0                      RC 0455400L  67                 G  36          2009</t>
        </is>
      </c>
      <c r="D570" t="inlineStr">
        <is>
          <t>Ethical practice in grief counseling / Louis A. Gamino, R. Hal Ritter, Jr.</t>
        </is>
      </c>
      <c r="F570" t="inlineStr">
        <is>
          <t>No</t>
        </is>
      </c>
      <c r="G570" t="inlineStr">
        <is>
          <t>1</t>
        </is>
      </c>
      <c r="H570" t="inlineStr">
        <is>
          <t>No</t>
        </is>
      </c>
      <c r="I570" t="inlineStr">
        <is>
          <t>No</t>
        </is>
      </c>
      <c r="J570" t="inlineStr">
        <is>
          <t>0</t>
        </is>
      </c>
      <c r="K570" t="inlineStr">
        <is>
          <t>Gamino, Louis A., 1953-</t>
        </is>
      </c>
      <c r="L570" t="inlineStr">
        <is>
          <t>New York : Springer Pub., c2009.</t>
        </is>
      </c>
      <c r="M570" t="inlineStr">
        <is>
          <t>2009</t>
        </is>
      </c>
      <c r="O570" t="inlineStr">
        <is>
          <t>eng</t>
        </is>
      </c>
      <c r="P570" t="inlineStr">
        <is>
          <t>nyu</t>
        </is>
      </c>
      <c r="R570" t="inlineStr">
        <is>
          <t xml:space="preserve">RC </t>
        </is>
      </c>
      <c r="S570" t="n">
        <v>2</v>
      </c>
      <c r="T570" t="n">
        <v>2</v>
      </c>
      <c r="U570" t="inlineStr">
        <is>
          <t>2009-06-11</t>
        </is>
      </c>
      <c r="V570" t="inlineStr">
        <is>
          <t>2009-06-11</t>
        </is>
      </c>
      <c r="W570" t="inlineStr">
        <is>
          <t>2009-06-11</t>
        </is>
      </c>
      <c r="X570" t="inlineStr">
        <is>
          <t>2009-06-11</t>
        </is>
      </c>
      <c r="Y570" t="n">
        <v>132</v>
      </c>
      <c r="Z570" t="n">
        <v>101</v>
      </c>
      <c r="AA570" t="n">
        <v>173</v>
      </c>
      <c r="AB570" t="n">
        <v>1</v>
      </c>
      <c r="AC570" t="n">
        <v>1</v>
      </c>
      <c r="AD570" t="n">
        <v>4</v>
      </c>
      <c r="AE570" t="n">
        <v>4</v>
      </c>
      <c r="AF570" t="n">
        <v>1</v>
      </c>
      <c r="AG570" t="n">
        <v>1</v>
      </c>
      <c r="AH570" t="n">
        <v>2</v>
      </c>
      <c r="AI570" t="n">
        <v>2</v>
      </c>
      <c r="AJ570" t="n">
        <v>3</v>
      </c>
      <c r="AK570" t="n">
        <v>3</v>
      </c>
      <c r="AL570" t="n">
        <v>0</v>
      </c>
      <c r="AM570" t="n">
        <v>0</v>
      </c>
      <c r="AN570" t="n">
        <v>0</v>
      </c>
      <c r="AO570" t="n">
        <v>0</v>
      </c>
      <c r="AP570" t="inlineStr">
        <is>
          <t>No</t>
        </is>
      </c>
      <c r="AQ570" t="inlineStr">
        <is>
          <t>No</t>
        </is>
      </c>
      <c r="AS570">
        <f>HYPERLINK("https://creighton-primo.hosted.exlibrisgroup.com/primo-explore/search?tab=default_tab&amp;search_scope=EVERYTHING&amp;vid=01CRU&amp;lang=en_US&amp;offset=0&amp;query=any,contains,991005321839702656","Catalog Record")</f>
        <v/>
      </c>
      <c r="AT570">
        <f>HYPERLINK("http://www.worldcat.org/oclc/255903305","WorldCat Record")</f>
        <v/>
      </c>
      <c r="AU570" t="inlineStr">
        <is>
          <t>149530948:eng</t>
        </is>
      </c>
      <c r="AV570" t="inlineStr">
        <is>
          <t>255903305</t>
        </is>
      </c>
      <c r="AW570" t="inlineStr">
        <is>
          <t>991005321839702656</t>
        </is>
      </c>
      <c r="AX570" t="inlineStr">
        <is>
          <t>991005321839702656</t>
        </is>
      </c>
      <c r="AY570" t="inlineStr">
        <is>
          <t>2263915740002656</t>
        </is>
      </c>
      <c r="AZ570" t="inlineStr">
        <is>
          <t>BOOK</t>
        </is>
      </c>
      <c r="BB570" t="inlineStr">
        <is>
          <t>9780826100832</t>
        </is>
      </c>
      <c r="BC570" t="inlineStr">
        <is>
          <t>32285005534069</t>
        </is>
      </c>
      <c r="BD570" t="inlineStr">
        <is>
          <t>893520833</t>
        </is>
      </c>
    </row>
    <row r="571">
      <c r="A571" t="inlineStr">
        <is>
          <t>No</t>
        </is>
      </c>
      <c r="B571" t="inlineStr">
        <is>
          <t>RC455.4.L67 H35 1990</t>
        </is>
      </c>
      <c r="C571" t="inlineStr">
        <is>
          <t>0                      RC 0455400L  67                 H  35          1990</t>
        </is>
      </c>
      <c r="D571" t="inlineStr">
        <is>
          <t>The anatomy of grief : biopsychosocial and therapeutic perspectives / by Robin Andrew Haig.</t>
        </is>
      </c>
      <c r="F571" t="inlineStr">
        <is>
          <t>No</t>
        </is>
      </c>
      <c r="G571" t="inlineStr">
        <is>
          <t>1</t>
        </is>
      </c>
      <c r="H571" t="inlineStr">
        <is>
          <t>No</t>
        </is>
      </c>
      <c r="I571" t="inlineStr">
        <is>
          <t>No</t>
        </is>
      </c>
      <c r="J571" t="inlineStr">
        <is>
          <t>0</t>
        </is>
      </c>
      <c r="K571" t="inlineStr">
        <is>
          <t>Haig, Robin Andrew.</t>
        </is>
      </c>
      <c r="L571" t="inlineStr">
        <is>
          <t>Springfield, Ill., U.S.A. : Thomas, c1990.</t>
        </is>
      </c>
      <c r="M571" t="inlineStr">
        <is>
          <t>1990</t>
        </is>
      </c>
      <c r="O571" t="inlineStr">
        <is>
          <t>eng</t>
        </is>
      </c>
      <c r="P571" t="inlineStr">
        <is>
          <t>ilu</t>
        </is>
      </c>
      <c r="Q571" t="inlineStr">
        <is>
          <t>American series in behavioral science and law</t>
        </is>
      </c>
      <c r="R571" t="inlineStr">
        <is>
          <t xml:space="preserve">RC </t>
        </is>
      </c>
      <c r="S571" t="n">
        <v>23</v>
      </c>
      <c r="T571" t="n">
        <v>23</v>
      </c>
      <c r="U571" t="inlineStr">
        <is>
          <t>1999-09-22</t>
        </is>
      </c>
      <c r="V571" t="inlineStr">
        <is>
          <t>1999-09-22</t>
        </is>
      </c>
      <c r="W571" t="inlineStr">
        <is>
          <t>1992-02-13</t>
        </is>
      </c>
      <c r="X571" t="inlineStr">
        <is>
          <t>1992-02-13</t>
        </is>
      </c>
      <c r="Y571" t="n">
        <v>151</v>
      </c>
      <c r="Z571" t="n">
        <v>119</v>
      </c>
      <c r="AA571" t="n">
        <v>121</v>
      </c>
      <c r="AB571" t="n">
        <v>2</v>
      </c>
      <c r="AC571" t="n">
        <v>2</v>
      </c>
      <c r="AD571" t="n">
        <v>6</v>
      </c>
      <c r="AE571" t="n">
        <v>6</v>
      </c>
      <c r="AF571" t="n">
        <v>0</v>
      </c>
      <c r="AG571" t="n">
        <v>0</v>
      </c>
      <c r="AH571" t="n">
        <v>1</v>
      </c>
      <c r="AI571" t="n">
        <v>1</v>
      </c>
      <c r="AJ571" t="n">
        <v>4</v>
      </c>
      <c r="AK571" t="n">
        <v>4</v>
      </c>
      <c r="AL571" t="n">
        <v>1</v>
      </c>
      <c r="AM571" t="n">
        <v>1</v>
      </c>
      <c r="AN571" t="n">
        <v>1</v>
      </c>
      <c r="AO571" t="n">
        <v>1</v>
      </c>
      <c r="AP571" t="inlineStr">
        <is>
          <t>No</t>
        </is>
      </c>
      <c r="AQ571" t="inlineStr">
        <is>
          <t>Yes</t>
        </is>
      </c>
      <c r="AR571">
        <f>HYPERLINK("http://catalog.hathitrust.org/Record/002456657","HathiTrust Record")</f>
        <v/>
      </c>
      <c r="AS571">
        <f>HYPERLINK("https://creighton-primo.hosted.exlibrisgroup.com/primo-explore/search?tab=default_tab&amp;search_scope=EVERYTHING&amp;vid=01CRU&amp;lang=en_US&amp;offset=0&amp;query=any,contains,991001714719702656","Catalog Record")</f>
        <v/>
      </c>
      <c r="AT571">
        <f>HYPERLINK("http://www.worldcat.org/oclc/21672375","WorldCat Record")</f>
        <v/>
      </c>
      <c r="AU571" t="inlineStr">
        <is>
          <t>23200112:eng</t>
        </is>
      </c>
      <c r="AV571" t="inlineStr">
        <is>
          <t>21672375</t>
        </is>
      </c>
      <c r="AW571" t="inlineStr">
        <is>
          <t>991001714719702656</t>
        </is>
      </c>
      <c r="AX571" t="inlineStr">
        <is>
          <t>991001714719702656</t>
        </is>
      </c>
      <c r="AY571" t="inlineStr">
        <is>
          <t>2261861830002656</t>
        </is>
      </c>
      <c r="AZ571" t="inlineStr">
        <is>
          <t>BOOK</t>
        </is>
      </c>
      <c r="BB571" t="inlineStr">
        <is>
          <t>9780398057046</t>
        </is>
      </c>
      <c r="BC571" t="inlineStr">
        <is>
          <t>32285000869619</t>
        </is>
      </c>
      <c r="BD571" t="inlineStr">
        <is>
          <t>893809158</t>
        </is>
      </c>
    </row>
    <row r="572">
      <c r="A572" t="inlineStr">
        <is>
          <t>No</t>
        </is>
      </c>
      <c r="B572" t="inlineStr">
        <is>
          <t>RC455.4.L67 L4513 1991</t>
        </is>
      </c>
      <c r="C572" t="inlineStr">
        <is>
          <t>0                      RC 0455400L  67                 L  4513        1991</t>
        </is>
      </c>
      <c r="D572" t="inlineStr">
        <is>
          <t>Healing pain : attachment, loss, and grief therapy / Nini Leick and Marianne Davidsen-Nielsen ; translated from Danish by David Stoner.</t>
        </is>
      </c>
      <c r="F572" t="inlineStr">
        <is>
          <t>No</t>
        </is>
      </c>
      <c r="G572" t="inlineStr">
        <is>
          <t>1</t>
        </is>
      </c>
      <c r="H572" t="inlineStr">
        <is>
          <t>No</t>
        </is>
      </c>
      <c r="I572" t="inlineStr">
        <is>
          <t>No</t>
        </is>
      </c>
      <c r="J572" t="inlineStr">
        <is>
          <t>0</t>
        </is>
      </c>
      <c r="K572" t="inlineStr">
        <is>
          <t>Leick, Nini, 1940-</t>
        </is>
      </c>
      <c r="L572" t="inlineStr">
        <is>
          <t>London ; New York : Routledge, 1991.</t>
        </is>
      </c>
      <c r="M572" t="inlineStr">
        <is>
          <t>1991</t>
        </is>
      </c>
      <c r="O572" t="inlineStr">
        <is>
          <t>eng</t>
        </is>
      </c>
      <c r="P572" t="inlineStr">
        <is>
          <t>enk</t>
        </is>
      </c>
      <c r="R572" t="inlineStr">
        <is>
          <t xml:space="preserve">RC </t>
        </is>
      </c>
      <c r="S572" t="n">
        <v>11</v>
      </c>
      <c r="T572" t="n">
        <v>11</v>
      </c>
      <c r="U572" t="inlineStr">
        <is>
          <t>2007-11-02</t>
        </is>
      </c>
      <c r="V572" t="inlineStr">
        <is>
          <t>2007-11-02</t>
        </is>
      </c>
      <c r="W572" t="inlineStr">
        <is>
          <t>1992-07-28</t>
        </is>
      </c>
      <c r="X572" t="inlineStr">
        <is>
          <t>1992-07-28</t>
        </is>
      </c>
      <c r="Y572" t="n">
        <v>667</v>
      </c>
      <c r="Z572" t="n">
        <v>491</v>
      </c>
      <c r="AA572" t="n">
        <v>1073</v>
      </c>
      <c r="AB572" t="n">
        <v>2</v>
      </c>
      <c r="AC572" t="n">
        <v>4</v>
      </c>
      <c r="AD572" t="n">
        <v>28</v>
      </c>
      <c r="AE572" t="n">
        <v>34</v>
      </c>
      <c r="AF572" t="n">
        <v>11</v>
      </c>
      <c r="AG572" t="n">
        <v>16</v>
      </c>
      <c r="AH572" t="n">
        <v>9</v>
      </c>
      <c r="AI572" t="n">
        <v>10</v>
      </c>
      <c r="AJ572" t="n">
        <v>16</v>
      </c>
      <c r="AK572" t="n">
        <v>18</v>
      </c>
      <c r="AL572" t="n">
        <v>1</v>
      </c>
      <c r="AM572" t="n">
        <v>2</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HYPERLINK("https://creighton-primo.hosted.exlibrisgroup.com/primo-explore/search?tab=default_tab&amp;search_scope=EVERYTHING&amp;vid=01CRU&amp;lang=en_US&amp;offset=0&amp;query=any,contains,991001694639702656","Catalog Record")</f>
        <v/>
      </c>
      <c r="AT572">
        <f>HYPERLINK("http://www.worldcat.org/oclc/21482025","WorldCat Record")</f>
        <v/>
      </c>
      <c r="AU572" t="inlineStr">
        <is>
          <t>14185897:eng</t>
        </is>
      </c>
      <c r="AV572" t="inlineStr">
        <is>
          <t>21482025</t>
        </is>
      </c>
      <c r="AW572" t="inlineStr">
        <is>
          <t>991001694639702656</t>
        </is>
      </c>
      <c r="AX572" t="inlineStr">
        <is>
          <t>991001694639702656</t>
        </is>
      </c>
      <c r="AY572" t="inlineStr">
        <is>
          <t>2260096720002656</t>
        </is>
      </c>
      <c r="AZ572" t="inlineStr">
        <is>
          <t>BOOK</t>
        </is>
      </c>
      <c r="BB572" t="inlineStr">
        <is>
          <t>9780415060875</t>
        </is>
      </c>
      <c r="BC572" t="inlineStr">
        <is>
          <t>32285001195451</t>
        </is>
      </c>
      <c r="BD572" t="inlineStr">
        <is>
          <t>893879091</t>
        </is>
      </c>
    </row>
    <row r="573">
      <c r="A573" t="inlineStr">
        <is>
          <t>No</t>
        </is>
      </c>
      <c r="B573" t="inlineStr">
        <is>
          <t>RC455.4.L67 M398 2003</t>
        </is>
      </c>
      <c r="C573" t="inlineStr">
        <is>
          <t>0                      RC 0455400L  67                 M  398         2003</t>
        </is>
      </c>
      <c r="D573" t="inlineStr">
        <is>
          <t>The paradox of loss : toward a relational theory of grief / Marilyn McCabe ; foreword by Donald Polkinghorne.</t>
        </is>
      </c>
      <c r="F573" t="inlineStr">
        <is>
          <t>No</t>
        </is>
      </c>
      <c r="G573" t="inlineStr">
        <is>
          <t>1</t>
        </is>
      </c>
      <c r="H573" t="inlineStr">
        <is>
          <t>No</t>
        </is>
      </c>
      <c r="I573" t="inlineStr">
        <is>
          <t>No</t>
        </is>
      </c>
      <c r="J573" t="inlineStr">
        <is>
          <t>0</t>
        </is>
      </c>
      <c r="K573" t="inlineStr">
        <is>
          <t>McCabe, Marilyn, 1958-</t>
        </is>
      </c>
      <c r="L573" t="inlineStr">
        <is>
          <t>Westport, Conn. : Praeger, 2003.</t>
        </is>
      </c>
      <c r="M573" t="inlineStr">
        <is>
          <t>2003</t>
        </is>
      </c>
      <c r="O573" t="inlineStr">
        <is>
          <t>eng</t>
        </is>
      </c>
      <c r="P573" t="inlineStr">
        <is>
          <t>ctu</t>
        </is>
      </c>
      <c r="R573" t="inlineStr">
        <is>
          <t xml:space="preserve">RC </t>
        </is>
      </c>
      <c r="S573" t="n">
        <v>1</v>
      </c>
      <c r="T573" t="n">
        <v>1</v>
      </c>
      <c r="U573" t="inlineStr">
        <is>
          <t>2005-01-10</t>
        </is>
      </c>
      <c r="V573" t="inlineStr">
        <is>
          <t>2005-01-10</t>
        </is>
      </c>
      <c r="W573" t="inlineStr">
        <is>
          <t>2005-01-10</t>
        </is>
      </c>
      <c r="X573" t="inlineStr">
        <is>
          <t>2005-01-10</t>
        </is>
      </c>
      <c r="Y573" t="n">
        <v>210</v>
      </c>
      <c r="Z573" t="n">
        <v>171</v>
      </c>
      <c r="AA573" t="n">
        <v>175</v>
      </c>
      <c r="AB573" t="n">
        <v>2</v>
      </c>
      <c r="AC573" t="n">
        <v>2</v>
      </c>
      <c r="AD573" t="n">
        <v>10</v>
      </c>
      <c r="AE573" t="n">
        <v>10</v>
      </c>
      <c r="AF573" t="n">
        <v>2</v>
      </c>
      <c r="AG573" t="n">
        <v>2</v>
      </c>
      <c r="AH573" t="n">
        <v>4</v>
      </c>
      <c r="AI573" t="n">
        <v>4</v>
      </c>
      <c r="AJ573" t="n">
        <v>6</v>
      </c>
      <c r="AK573" t="n">
        <v>6</v>
      </c>
      <c r="AL573" t="n">
        <v>1</v>
      </c>
      <c r="AM573" t="n">
        <v>1</v>
      </c>
      <c r="AN573" t="n">
        <v>0</v>
      </c>
      <c r="AO573" t="n">
        <v>0</v>
      </c>
      <c r="AP573" t="inlineStr">
        <is>
          <t>No</t>
        </is>
      </c>
      <c r="AQ573" t="inlineStr">
        <is>
          <t>Yes</t>
        </is>
      </c>
      <c r="AR573">
        <f>HYPERLINK("http://catalog.hathitrust.org/Record/004768683","HathiTrust Record")</f>
        <v/>
      </c>
      <c r="AS573">
        <f>HYPERLINK("https://creighton-primo.hosted.exlibrisgroup.com/primo-explore/search?tab=default_tab&amp;search_scope=EVERYTHING&amp;vid=01CRU&amp;lang=en_US&amp;offset=0&amp;query=any,contains,991004426389702656","Catalog Record")</f>
        <v/>
      </c>
      <c r="AT573">
        <f>HYPERLINK("http://www.worldcat.org/oclc/51810420","WorldCat Record")</f>
        <v/>
      </c>
      <c r="AU573" t="inlineStr">
        <is>
          <t>843709:eng</t>
        </is>
      </c>
      <c r="AV573" t="inlineStr">
        <is>
          <t>51810420</t>
        </is>
      </c>
      <c r="AW573" t="inlineStr">
        <is>
          <t>991004426389702656</t>
        </is>
      </c>
      <c r="AX573" t="inlineStr">
        <is>
          <t>991004426389702656</t>
        </is>
      </c>
      <c r="AY573" t="inlineStr">
        <is>
          <t>2256766400002656</t>
        </is>
      </c>
      <c r="AZ573" t="inlineStr">
        <is>
          <t>BOOK</t>
        </is>
      </c>
      <c r="BB573" t="inlineStr">
        <is>
          <t>9780275979867</t>
        </is>
      </c>
      <c r="BC573" t="inlineStr">
        <is>
          <t>32285005020093</t>
        </is>
      </c>
      <c r="BD573" t="inlineStr">
        <is>
          <t>893235480</t>
        </is>
      </c>
    </row>
    <row r="574">
      <c r="A574" t="inlineStr">
        <is>
          <t>No</t>
        </is>
      </c>
      <c r="B574" t="inlineStr">
        <is>
          <t>RC455.4.L67 S38 1986</t>
        </is>
      </c>
      <c r="C574" t="inlineStr">
        <is>
          <t>0                      RC 0455400L  67                 S  38          1986</t>
        </is>
      </c>
      <c r="D574" t="inlineStr">
        <is>
          <t>Dimensions of grief : adjusting to the death of a spouse / Stephen R. Shuchter.</t>
        </is>
      </c>
      <c r="F574" t="inlineStr">
        <is>
          <t>No</t>
        </is>
      </c>
      <c r="G574" t="inlineStr">
        <is>
          <t>1</t>
        </is>
      </c>
      <c r="H574" t="inlineStr">
        <is>
          <t>No</t>
        </is>
      </c>
      <c r="I574" t="inlineStr">
        <is>
          <t>No</t>
        </is>
      </c>
      <c r="J574" t="inlineStr">
        <is>
          <t>0</t>
        </is>
      </c>
      <c r="K574" t="inlineStr">
        <is>
          <t>Shuchter, Stephen R.</t>
        </is>
      </c>
      <c r="L574" t="inlineStr">
        <is>
          <t>San Francisco : Jossey-Bass, 1986.</t>
        </is>
      </c>
      <c r="M574" t="inlineStr">
        <is>
          <t>1986</t>
        </is>
      </c>
      <c r="N574" t="inlineStr">
        <is>
          <t>1st ed.</t>
        </is>
      </c>
      <c r="O574" t="inlineStr">
        <is>
          <t>eng</t>
        </is>
      </c>
      <c r="P574" t="inlineStr">
        <is>
          <t>cau</t>
        </is>
      </c>
      <c r="Q574" t="inlineStr">
        <is>
          <t>The Jossey-Bass social and behavioral science series</t>
        </is>
      </c>
      <c r="R574" t="inlineStr">
        <is>
          <t xml:space="preserve">RC </t>
        </is>
      </c>
      <c r="S574" t="n">
        <v>8</v>
      </c>
      <c r="T574" t="n">
        <v>8</v>
      </c>
      <c r="U574" t="inlineStr">
        <is>
          <t>2002-11-07</t>
        </is>
      </c>
      <c r="V574" t="inlineStr">
        <is>
          <t>2002-11-07</t>
        </is>
      </c>
      <c r="W574" t="inlineStr">
        <is>
          <t>1990-06-05</t>
        </is>
      </c>
      <c r="X574" t="inlineStr">
        <is>
          <t>1990-06-05</t>
        </is>
      </c>
      <c r="Y574" t="n">
        <v>683</v>
      </c>
      <c r="Z574" t="n">
        <v>575</v>
      </c>
      <c r="AA574" t="n">
        <v>582</v>
      </c>
      <c r="AB574" t="n">
        <v>3</v>
      </c>
      <c r="AC574" t="n">
        <v>3</v>
      </c>
      <c r="AD574" t="n">
        <v>17</v>
      </c>
      <c r="AE574" t="n">
        <v>17</v>
      </c>
      <c r="AF574" t="n">
        <v>5</v>
      </c>
      <c r="AG574" t="n">
        <v>5</v>
      </c>
      <c r="AH574" t="n">
        <v>4</v>
      </c>
      <c r="AI574" t="n">
        <v>4</v>
      </c>
      <c r="AJ574" t="n">
        <v>9</v>
      </c>
      <c r="AK574" t="n">
        <v>9</v>
      </c>
      <c r="AL574" t="n">
        <v>2</v>
      </c>
      <c r="AM574" t="n">
        <v>2</v>
      </c>
      <c r="AN574" t="n">
        <v>0</v>
      </c>
      <c r="AO574" t="n">
        <v>0</v>
      </c>
      <c r="AP574" t="inlineStr">
        <is>
          <t>No</t>
        </is>
      </c>
      <c r="AQ574" t="inlineStr">
        <is>
          <t>Yes</t>
        </is>
      </c>
      <c r="AR574">
        <f>HYPERLINK("http://catalog.hathitrust.org/Record/000398359","HathiTrust Record")</f>
        <v/>
      </c>
      <c r="AS574">
        <f>HYPERLINK("https://creighton-primo.hosted.exlibrisgroup.com/primo-explore/search?tab=default_tab&amp;search_scope=EVERYTHING&amp;vid=01CRU&amp;lang=en_US&amp;offset=0&amp;query=any,contains,991000864309702656","Catalog Record")</f>
        <v/>
      </c>
      <c r="AT574">
        <f>HYPERLINK("http://www.worldcat.org/oclc/13703112","WorldCat Record")</f>
        <v/>
      </c>
      <c r="AU574" t="inlineStr">
        <is>
          <t>836654163:eng</t>
        </is>
      </c>
      <c r="AV574" t="inlineStr">
        <is>
          <t>13703112</t>
        </is>
      </c>
      <c r="AW574" t="inlineStr">
        <is>
          <t>991000864309702656</t>
        </is>
      </c>
      <c r="AX574" t="inlineStr">
        <is>
          <t>991000864309702656</t>
        </is>
      </c>
      <c r="AY574" t="inlineStr">
        <is>
          <t>2261509310002656</t>
        </is>
      </c>
      <c r="AZ574" t="inlineStr">
        <is>
          <t>BOOK</t>
        </is>
      </c>
      <c r="BB574" t="inlineStr">
        <is>
          <t>9781555420031</t>
        </is>
      </c>
      <c r="BC574" t="inlineStr">
        <is>
          <t>32285000182021</t>
        </is>
      </c>
      <c r="BD574" t="inlineStr">
        <is>
          <t>893772048</t>
        </is>
      </c>
    </row>
    <row r="575">
      <c r="A575" t="inlineStr">
        <is>
          <t>No</t>
        </is>
      </c>
      <c r="B575" t="inlineStr">
        <is>
          <t>RC455.4.R56 B56 1991</t>
        </is>
      </c>
      <c r="C575" t="inlineStr">
        <is>
          <t>0                      RC 0455400R  56                 B  56          1991</t>
        </is>
      </c>
      <c r="D575" t="inlineStr">
        <is>
          <t>Biological risk factors for psychosocial disorders / edited by Michael Rutter, Paul Casaer.</t>
        </is>
      </c>
      <c r="F575" t="inlineStr">
        <is>
          <t>No</t>
        </is>
      </c>
      <c r="G575" t="inlineStr">
        <is>
          <t>1</t>
        </is>
      </c>
      <c r="H575" t="inlineStr">
        <is>
          <t>No</t>
        </is>
      </c>
      <c r="I575" t="inlineStr">
        <is>
          <t>No</t>
        </is>
      </c>
      <c r="J575" t="inlineStr">
        <is>
          <t>0</t>
        </is>
      </c>
      <c r="L575" t="inlineStr">
        <is>
          <t>Cambridge ; New York : Cambridge University Press, 1991.</t>
        </is>
      </c>
      <c r="M575" t="inlineStr">
        <is>
          <t>1991</t>
        </is>
      </c>
      <c r="O575" t="inlineStr">
        <is>
          <t>eng</t>
        </is>
      </c>
      <c r="P575" t="inlineStr">
        <is>
          <t>enk</t>
        </is>
      </c>
      <c r="R575" t="inlineStr">
        <is>
          <t xml:space="preserve">RC </t>
        </is>
      </c>
      <c r="S575" t="n">
        <v>6</v>
      </c>
      <c r="T575" t="n">
        <v>6</v>
      </c>
      <c r="U575" t="inlineStr">
        <is>
          <t>2001-03-20</t>
        </is>
      </c>
      <c r="V575" t="inlineStr">
        <is>
          <t>2001-03-20</t>
        </is>
      </c>
      <c r="W575" t="inlineStr">
        <is>
          <t>1994-12-22</t>
        </is>
      </c>
      <c r="X575" t="inlineStr">
        <is>
          <t>1994-12-22</t>
        </is>
      </c>
      <c r="Y575" t="n">
        <v>184</v>
      </c>
      <c r="Z575" t="n">
        <v>132</v>
      </c>
      <c r="AA575" t="n">
        <v>141</v>
      </c>
      <c r="AB575" t="n">
        <v>2</v>
      </c>
      <c r="AC575" t="n">
        <v>2</v>
      </c>
      <c r="AD575" t="n">
        <v>6</v>
      </c>
      <c r="AE575" t="n">
        <v>6</v>
      </c>
      <c r="AF575" t="n">
        <v>3</v>
      </c>
      <c r="AG575" t="n">
        <v>3</v>
      </c>
      <c r="AH575" t="n">
        <v>2</v>
      </c>
      <c r="AI575" t="n">
        <v>2</v>
      </c>
      <c r="AJ575" t="n">
        <v>2</v>
      </c>
      <c r="AK575" t="n">
        <v>2</v>
      </c>
      <c r="AL575" t="n">
        <v>1</v>
      </c>
      <c r="AM575" t="n">
        <v>1</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HYPERLINK("https://creighton-primo.hosted.exlibrisgroup.com/primo-explore/search?tab=default_tab&amp;search_scope=EVERYTHING&amp;vid=01CRU&amp;lang=en_US&amp;offset=0&amp;query=any,contains,991001857019702656","Catalog Record")</f>
        <v/>
      </c>
      <c r="AT575">
        <f>HYPERLINK("http://www.worldcat.org/oclc/23287800","WorldCat Record")</f>
        <v/>
      </c>
      <c r="AU575" t="inlineStr">
        <is>
          <t>365242044:eng</t>
        </is>
      </c>
      <c r="AV575" t="inlineStr">
        <is>
          <t>23287800</t>
        </is>
      </c>
      <c r="AW575" t="inlineStr">
        <is>
          <t>991001857019702656</t>
        </is>
      </c>
      <c r="AX575" t="inlineStr">
        <is>
          <t>991001857019702656</t>
        </is>
      </c>
      <c r="AY575" t="inlineStr">
        <is>
          <t>2271972390002656</t>
        </is>
      </c>
      <c r="AZ575" t="inlineStr">
        <is>
          <t>BOOK</t>
        </is>
      </c>
      <c r="BB575" t="inlineStr">
        <is>
          <t>9780521401036</t>
        </is>
      </c>
      <c r="BC575" t="inlineStr">
        <is>
          <t>32285001978245</t>
        </is>
      </c>
      <c r="BD575" t="inlineStr">
        <is>
          <t>893522918</t>
        </is>
      </c>
    </row>
    <row r="576">
      <c r="A576" t="inlineStr">
        <is>
          <t>No</t>
        </is>
      </c>
      <c r="B576" t="inlineStr">
        <is>
          <t>RC455.4.R56 R57 1990</t>
        </is>
      </c>
      <c r="C576" t="inlineStr">
        <is>
          <t>0                      RC 0455400R  56                 R  57          1990</t>
        </is>
      </c>
      <c r="D576" t="inlineStr">
        <is>
          <t>Risk and protective factors in the development of psychopathology / edited by Jon Rolf ... [et al.].</t>
        </is>
      </c>
      <c r="F576" t="inlineStr">
        <is>
          <t>No</t>
        </is>
      </c>
      <c r="G576" t="inlineStr">
        <is>
          <t>1</t>
        </is>
      </c>
      <c r="H576" t="inlineStr">
        <is>
          <t>No</t>
        </is>
      </c>
      <c r="I576" t="inlineStr">
        <is>
          <t>No</t>
        </is>
      </c>
      <c r="J576" t="inlineStr">
        <is>
          <t>0</t>
        </is>
      </c>
      <c r="L576" t="inlineStr">
        <is>
          <t>Cambridge ; New York : Cambridge University Press, 1990.</t>
        </is>
      </c>
      <c r="M576" t="inlineStr">
        <is>
          <t>1990</t>
        </is>
      </c>
      <c r="O576" t="inlineStr">
        <is>
          <t>eng</t>
        </is>
      </c>
      <c r="P576" t="inlineStr">
        <is>
          <t>enk</t>
        </is>
      </c>
      <c r="R576" t="inlineStr">
        <is>
          <t xml:space="preserve">RC </t>
        </is>
      </c>
      <c r="S576" t="n">
        <v>13</v>
      </c>
      <c r="T576" t="n">
        <v>13</v>
      </c>
      <c r="U576" t="inlineStr">
        <is>
          <t>2002-11-18</t>
        </is>
      </c>
      <c r="V576" t="inlineStr">
        <is>
          <t>2002-11-18</t>
        </is>
      </c>
      <c r="W576" t="inlineStr">
        <is>
          <t>1992-05-22</t>
        </is>
      </c>
      <c r="X576" t="inlineStr">
        <is>
          <t>1992-05-22</t>
        </is>
      </c>
      <c r="Y576" t="n">
        <v>343</v>
      </c>
      <c r="Z576" t="n">
        <v>249</v>
      </c>
      <c r="AA576" t="n">
        <v>281</v>
      </c>
      <c r="AB576" t="n">
        <v>1</v>
      </c>
      <c r="AC576" t="n">
        <v>1</v>
      </c>
      <c r="AD576" t="n">
        <v>18</v>
      </c>
      <c r="AE576" t="n">
        <v>18</v>
      </c>
      <c r="AF576" t="n">
        <v>6</v>
      </c>
      <c r="AG576" t="n">
        <v>6</v>
      </c>
      <c r="AH576" t="n">
        <v>5</v>
      </c>
      <c r="AI576" t="n">
        <v>5</v>
      </c>
      <c r="AJ576" t="n">
        <v>14</v>
      </c>
      <c r="AK576" t="n">
        <v>14</v>
      </c>
      <c r="AL576" t="n">
        <v>0</v>
      </c>
      <c r="AM576" t="n">
        <v>0</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HYPERLINK("https://creighton-primo.hosted.exlibrisgroup.com/primo-explore/search?tab=default_tab&amp;search_scope=EVERYTHING&amp;vid=01CRU&amp;lang=en_US&amp;offset=0&amp;query=any,contains,991001516579702656","Catalog Record")</f>
        <v/>
      </c>
      <c r="AT576">
        <f>HYPERLINK("http://www.worldcat.org/oclc/19922832","WorldCat Record")</f>
        <v/>
      </c>
      <c r="AU576" t="inlineStr">
        <is>
          <t>350139419:eng</t>
        </is>
      </c>
      <c r="AV576" t="inlineStr">
        <is>
          <t>19922832</t>
        </is>
      </c>
      <c r="AW576" t="inlineStr">
        <is>
          <t>991001516579702656</t>
        </is>
      </c>
      <c r="AX576" t="inlineStr">
        <is>
          <t>991001516579702656</t>
        </is>
      </c>
      <c r="AY576" t="inlineStr">
        <is>
          <t>2269926550002656</t>
        </is>
      </c>
      <c r="AZ576" t="inlineStr">
        <is>
          <t>BOOK</t>
        </is>
      </c>
      <c r="BB576" t="inlineStr">
        <is>
          <t>9780521350990</t>
        </is>
      </c>
      <c r="BC576" t="inlineStr">
        <is>
          <t>32285001118057</t>
        </is>
      </c>
      <c r="BD576" t="inlineStr">
        <is>
          <t>893225896</t>
        </is>
      </c>
    </row>
    <row r="577">
      <c r="A577" t="inlineStr">
        <is>
          <t>No</t>
        </is>
      </c>
      <c r="B577" t="inlineStr">
        <is>
          <t>RC455.4.S42 G85 1987</t>
        </is>
      </c>
      <c r="C577" t="inlineStr">
        <is>
          <t>0                      RC 0455400S  42                 G  85          1987</t>
        </is>
      </c>
      <c r="D577" t="inlineStr">
        <is>
          <t>Complexity of the self : a developmental approach to psychopathology and therapy / Vittorio F. Guidano.</t>
        </is>
      </c>
      <c r="F577" t="inlineStr">
        <is>
          <t>No</t>
        </is>
      </c>
      <c r="G577" t="inlineStr">
        <is>
          <t>1</t>
        </is>
      </c>
      <c r="H577" t="inlineStr">
        <is>
          <t>Yes</t>
        </is>
      </c>
      <c r="I577" t="inlineStr">
        <is>
          <t>No</t>
        </is>
      </c>
      <c r="J577" t="inlineStr">
        <is>
          <t>0</t>
        </is>
      </c>
      <c r="K577" t="inlineStr">
        <is>
          <t>Guidano, V. F.</t>
        </is>
      </c>
      <c r="L577" t="inlineStr">
        <is>
          <t>New York : Guilford Press, c1987.</t>
        </is>
      </c>
      <c r="M577" t="inlineStr">
        <is>
          <t>1987</t>
        </is>
      </c>
      <c r="O577" t="inlineStr">
        <is>
          <t>eng</t>
        </is>
      </c>
      <c r="P577" t="inlineStr">
        <is>
          <t>nyu</t>
        </is>
      </c>
      <c r="Q577" t="inlineStr">
        <is>
          <t>The Guilford clinical psychology and psychotherapy series</t>
        </is>
      </c>
      <c r="R577" t="inlineStr">
        <is>
          <t xml:space="preserve">RC </t>
        </is>
      </c>
      <c r="S577" t="n">
        <v>6</v>
      </c>
      <c r="T577" t="n">
        <v>6</v>
      </c>
      <c r="U577" t="inlineStr">
        <is>
          <t>1997-11-16</t>
        </is>
      </c>
      <c r="V577" t="inlineStr">
        <is>
          <t>1997-11-16</t>
        </is>
      </c>
      <c r="W577" t="inlineStr">
        <is>
          <t>1993-03-22</t>
        </is>
      </c>
      <c r="X577" t="inlineStr">
        <is>
          <t>1993-03-22</t>
        </is>
      </c>
      <c r="Y577" t="n">
        <v>344</v>
      </c>
      <c r="Z577" t="n">
        <v>283</v>
      </c>
      <c r="AA577" t="n">
        <v>283</v>
      </c>
      <c r="AB577" t="n">
        <v>5</v>
      </c>
      <c r="AC577" t="n">
        <v>5</v>
      </c>
      <c r="AD577" t="n">
        <v>20</v>
      </c>
      <c r="AE577" t="n">
        <v>20</v>
      </c>
      <c r="AF577" t="n">
        <v>5</v>
      </c>
      <c r="AG577" t="n">
        <v>5</v>
      </c>
      <c r="AH577" t="n">
        <v>5</v>
      </c>
      <c r="AI577" t="n">
        <v>5</v>
      </c>
      <c r="AJ577" t="n">
        <v>12</v>
      </c>
      <c r="AK577" t="n">
        <v>12</v>
      </c>
      <c r="AL577" t="n">
        <v>3</v>
      </c>
      <c r="AM577" t="n">
        <v>3</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HYPERLINK("https://creighton-primo.hosted.exlibrisgroup.com/primo-explore/search?tab=default_tab&amp;search_scope=EVERYTHING&amp;vid=01CRU&amp;lang=en_US&amp;offset=0&amp;query=any,contains,991001002469702656","Catalog Record")</f>
        <v/>
      </c>
      <c r="AT577">
        <f>HYPERLINK("http://www.worldcat.org/oclc/15220957","WorldCat Record")</f>
        <v/>
      </c>
      <c r="AU577" t="inlineStr">
        <is>
          <t>890409317:eng</t>
        </is>
      </c>
      <c r="AV577" t="inlineStr">
        <is>
          <t>15220957</t>
        </is>
      </c>
      <c r="AW577" t="inlineStr">
        <is>
          <t>991001002469702656</t>
        </is>
      </c>
      <c r="AX577" t="inlineStr">
        <is>
          <t>991001002469702656</t>
        </is>
      </c>
      <c r="AY577" t="inlineStr">
        <is>
          <t>2262745990002656</t>
        </is>
      </c>
      <c r="AZ577" t="inlineStr">
        <is>
          <t>BOOK</t>
        </is>
      </c>
      <c r="BB577" t="inlineStr">
        <is>
          <t>9780898620122</t>
        </is>
      </c>
      <c r="BC577" t="inlineStr">
        <is>
          <t>32285001606036</t>
        </is>
      </c>
      <c r="BD577" t="inlineStr">
        <is>
          <t>893237798</t>
        </is>
      </c>
    </row>
    <row r="578">
      <c r="A578" t="inlineStr">
        <is>
          <t>No</t>
        </is>
      </c>
      <c r="B578" t="inlineStr">
        <is>
          <t>RC455.4.S42 K78 1989</t>
        </is>
      </c>
      <c r="C578" t="inlineStr">
        <is>
          <t>0                      RC 0455400S  42                 K  78          1989</t>
        </is>
      </c>
      <c r="D578" t="inlineStr">
        <is>
          <t>Body self &amp; psychological self : a developmental and clinical integration of disorders of the self / by David W. Krueger.</t>
        </is>
      </c>
      <c r="F578" t="inlineStr">
        <is>
          <t>No</t>
        </is>
      </c>
      <c r="G578" t="inlineStr">
        <is>
          <t>1</t>
        </is>
      </c>
      <c r="H578" t="inlineStr">
        <is>
          <t>No</t>
        </is>
      </c>
      <c r="I578" t="inlineStr">
        <is>
          <t>No</t>
        </is>
      </c>
      <c r="J578" t="inlineStr">
        <is>
          <t>0</t>
        </is>
      </c>
      <c r="K578" t="inlineStr">
        <is>
          <t>Krueger, David W.</t>
        </is>
      </c>
      <c r="L578" t="inlineStr">
        <is>
          <t>New York : Brunner/Mazel, c1989.</t>
        </is>
      </c>
      <c r="M578" t="inlineStr">
        <is>
          <t>1989</t>
        </is>
      </c>
      <c r="O578" t="inlineStr">
        <is>
          <t>eng</t>
        </is>
      </c>
      <c r="P578" t="inlineStr">
        <is>
          <t>nyu</t>
        </is>
      </c>
      <c r="R578" t="inlineStr">
        <is>
          <t xml:space="preserve">RC </t>
        </is>
      </c>
      <c r="S578" t="n">
        <v>11</v>
      </c>
      <c r="T578" t="n">
        <v>11</v>
      </c>
      <c r="U578" t="inlineStr">
        <is>
          <t>1999-04-20</t>
        </is>
      </c>
      <c r="V578" t="inlineStr">
        <is>
          <t>1999-04-20</t>
        </is>
      </c>
      <c r="W578" t="inlineStr">
        <is>
          <t>1990-01-23</t>
        </is>
      </c>
      <c r="X578" t="inlineStr">
        <is>
          <t>1990-01-23</t>
        </is>
      </c>
      <c r="Y578" t="n">
        <v>250</v>
      </c>
      <c r="Z578" t="n">
        <v>205</v>
      </c>
      <c r="AA578" t="n">
        <v>212</v>
      </c>
      <c r="AB578" t="n">
        <v>1</v>
      </c>
      <c r="AC578" t="n">
        <v>1</v>
      </c>
      <c r="AD578" t="n">
        <v>7</v>
      </c>
      <c r="AE578" t="n">
        <v>7</v>
      </c>
      <c r="AF578" t="n">
        <v>2</v>
      </c>
      <c r="AG578" t="n">
        <v>2</v>
      </c>
      <c r="AH578" t="n">
        <v>0</v>
      </c>
      <c r="AI578" t="n">
        <v>0</v>
      </c>
      <c r="AJ578" t="n">
        <v>7</v>
      </c>
      <c r="AK578" t="n">
        <v>7</v>
      </c>
      <c r="AL578" t="n">
        <v>0</v>
      </c>
      <c r="AM578" t="n">
        <v>0</v>
      </c>
      <c r="AN578" t="n">
        <v>0</v>
      </c>
      <c r="AO578" t="n">
        <v>0</v>
      </c>
      <c r="AP578" t="inlineStr">
        <is>
          <t>No</t>
        </is>
      </c>
      <c r="AQ578" t="inlineStr">
        <is>
          <t>Yes</t>
        </is>
      </c>
      <c r="AR578">
        <f>HYPERLINK("http://catalog.hathitrust.org/Record/001292330","HathiTrust Record")</f>
        <v/>
      </c>
      <c r="AS578">
        <f>HYPERLINK("https://creighton-primo.hosted.exlibrisgroup.com/primo-explore/search?tab=default_tab&amp;search_scope=EVERYTHING&amp;vid=01CRU&amp;lang=en_US&amp;offset=0&amp;query=any,contains,991001345679702656","Catalog Record")</f>
        <v/>
      </c>
      <c r="AT578">
        <f>HYPERLINK("http://www.worldcat.org/oclc/18413551","WorldCat Record")</f>
        <v/>
      </c>
      <c r="AU578" t="inlineStr">
        <is>
          <t>309021153:eng</t>
        </is>
      </c>
      <c r="AV578" t="inlineStr">
        <is>
          <t>18413551</t>
        </is>
      </c>
      <c r="AW578" t="inlineStr">
        <is>
          <t>991001345679702656</t>
        </is>
      </c>
      <c r="AX578" t="inlineStr">
        <is>
          <t>991001345679702656</t>
        </is>
      </c>
      <c r="AY578" t="inlineStr">
        <is>
          <t>2255525930002656</t>
        </is>
      </c>
      <c r="AZ578" t="inlineStr">
        <is>
          <t>BOOK</t>
        </is>
      </c>
      <c r="BB578" t="inlineStr">
        <is>
          <t>9780876305430</t>
        </is>
      </c>
      <c r="BC578" t="inlineStr">
        <is>
          <t>32285000029537</t>
        </is>
      </c>
      <c r="BD578" t="inlineStr">
        <is>
          <t>893238054</t>
        </is>
      </c>
    </row>
    <row r="579">
      <c r="A579" t="inlineStr">
        <is>
          <t>No</t>
        </is>
      </c>
      <c r="B579" t="inlineStr">
        <is>
          <t>RC455.4.S42 S443 1993</t>
        </is>
      </c>
      <c r="C579" t="inlineStr">
        <is>
          <t>0                      RC 0455400S  42                 S  443         1993</t>
        </is>
      </c>
      <c r="D579" t="inlineStr">
        <is>
          <t>Self-esteem : the puzzle of low self-regard / edited by Roy F. Baumeister.</t>
        </is>
      </c>
      <c r="F579" t="inlineStr">
        <is>
          <t>No</t>
        </is>
      </c>
      <c r="G579" t="inlineStr">
        <is>
          <t>1</t>
        </is>
      </c>
      <c r="H579" t="inlineStr">
        <is>
          <t>No</t>
        </is>
      </c>
      <c r="I579" t="inlineStr">
        <is>
          <t>No</t>
        </is>
      </c>
      <c r="J579" t="inlineStr">
        <is>
          <t>0</t>
        </is>
      </c>
      <c r="L579" t="inlineStr">
        <is>
          <t>New York : Plenum Press, c1993.</t>
        </is>
      </c>
      <c r="M579" t="inlineStr">
        <is>
          <t>1993</t>
        </is>
      </c>
      <c r="O579" t="inlineStr">
        <is>
          <t>eng</t>
        </is>
      </c>
      <c r="P579" t="inlineStr">
        <is>
          <t>nyu</t>
        </is>
      </c>
      <c r="Q579" t="inlineStr">
        <is>
          <t>The Plenum series in social/clinical psychology</t>
        </is>
      </c>
      <c r="R579" t="inlineStr">
        <is>
          <t xml:space="preserve">RC </t>
        </is>
      </c>
      <c r="S579" t="n">
        <v>4</v>
      </c>
      <c r="T579" t="n">
        <v>4</v>
      </c>
      <c r="U579" t="inlineStr">
        <is>
          <t>2002-02-09</t>
        </is>
      </c>
      <c r="V579" t="inlineStr">
        <is>
          <t>2002-02-09</t>
        </is>
      </c>
      <c r="W579" t="inlineStr">
        <is>
          <t>1996-09-09</t>
        </is>
      </c>
      <c r="X579" t="inlineStr">
        <is>
          <t>1996-09-09</t>
        </is>
      </c>
      <c r="Y579" t="n">
        <v>927</v>
      </c>
      <c r="Z579" t="n">
        <v>763</v>
      </c>
      <c r="AA579" t="n">
        <v>784</v>
      </c>
      <c r="AB579" t="n">
        <v>8</v>
      </c>
      <c r="AC579" t="n">
        <v>8</v>
      </c>
      <c r="AD579" t="n">
        <v>37</v>
      </c>
      <c r="AE579" t="n">
        <v>38</v>
      </c>
      <c r="AF579" t="n">
        <v>17</v>
      </c>
      <c r="AG579" t="n">
        <v>18</v>
      </c>
      <c r="AH579" t="n">
        <v>6</v>
      </c>
      <c r="AI579" t="n">
        <v>6</v>
      </c>
      <c r="AJ579" t="n">
        <v>19</v>
      </c>
      <c r="AK579" t="n">
        <v>19</v>
      </c>
      <c r="AL579" t="n">
        <v>7</v>
      </c>
      <c r="AM579" t="n">
        <v>7</v>
      </c>
      <c r="AN579" t="n">
        <v>0</v>
      </c>
      <c r="AO579" t="n">
        <v>0</v>
      </c>
      <c r="AP579" t="inlineStr">
        <is>
          <t>No</t>
        </is>
      </c>
      <c r="AQ579" t="inlineStr">
        <is>
          <t>Yes</t>
        </is>
      </c>
      <c r="AR579">
        <f>HYPERLINK("http://catalog.hathitrust.org/Record/002645645","HathiTrust Record")</f>
        <v/>
      </c>
      <c r="AS579">
        <f>HYPERLINK("https://creighton-primo.hosted.exlibrisgroup.com/primo-explore/search?tab=default_tab&amp;search_scope=EVERYTHING&amp;vid=01CRU&amp;lang=en_US&amp;offset=0&amp;query=any,contains,991002152949702656","Catalog Record")</f>
        <v/>
      </c>
      <c r="AT579">
        <f>HYPERLINK("http://www.worldcat.org/oclc/27729279","WorldCat Record")</f>
        <v/>
      </c>
      <c r="AU579" t="inlineStr">
        <is>
          <t>836727462:eng</t>
        </is>
      </c>
      <c r="AV579" t="inlineStr">
        <is>
          <t>27729279</t>
        </is>
      </c>
      <c r="AW579" t="inlineStr">
        <is>
          <t>991002152949702656</t>
        </is>
      </c>
      <c r="AX579" t="inlineStr">
        <is>
          <t>991002152949702656</t>
        </is>
      </c>
      <c r="AY579" t="inlineStr">
        <is>
          <t>2265850430002656</t>
        </is>
      </c>
      <c r="AZ579" t="inlineStr">
        <is>
          <t>BOOK</t>
        </is>
      </c>
      <c r="BB579" t="inlineStr">
        <is>
          <t>9780306443732</t>
        </is>
      </c>
      <c r="BC579" t="inlineStr">
        <is>
          <t>32285002316171</t>
        </is>
      </c>
      <c r="BD579" t="inlineStr">
        <is>
          <t>893685024</t>
        </is>
      </c>
    </row>
    <row r="580">
      <c r="A580" t="inlineStr">
        <is>
          <t>No</t>
        </is>
      </c>
      <c r="B580" t="inlineStr">
        <is>
          <t>RC455.4.S42 S74 1987</t>
        </is>
      </c>
      <c r="C580" t="inlineStr">
        <is>
          <t>0                      RC 0455400S  42                 S  74          1987</t>
        </is>
      </c>
      <c r="D580" t="inlineStr">
        <is>
          <t>The social dynamics of self-esteem : theory to therapy / R.A. Steffenhagen and Jeff D. Burns.</t>
        </is>
      </c>
      <c r="F580" t="inlineStr">
        <is>
          <t>No</t>
        </is>
      </c>
      <c r="G580" t="inlineStr">
        <is>
          <t>1</t>
        </is>
      </c>
      <c r="H580" t="inlineStr">
        <is>
          <t>No</t>
        </is>
      </c>
      <c r="I580" t="inlineStr">
        <is>
          <t>No</t>
        </is>
      </c>
      <c r="J580" t="inlineStr">
        <is>
          <t>0</t>
        </is>
      </c>
      <c r="K580" t="inlineStr">
        <is>
          <t>Steffenhagen, R. A.</t>
        </is>
      </c>
      <c r="L580" t="inlineStr">
        <is>
          <t>New York : Praeger, 1987.</t>
        </is>
      </c>
      <c r="M580" t="inlineStr">
        <is>
          <t>1987</t>
        </is>
      </c>
      <c r="O580" t="inlineStr">
        <is>
          <t>eng</t>
        </is>
      </c>
      <c r="P580" t="inlineStr">
        <is>
          <t>nyu</t>
        </is>
      </c>
      <c r="R580" t="inlineStr">
        <is>
          <t xml:space="preserve">RC </t>
        </is>
      </c>
      <c r="S580" t="n">
        <v>8</v>
      </c>
      <c r="T580" t="n">
        <v>8</v>
      </c>
      <c r="U580" t="inlineStr">
        <is>
          <t>2010-11-10</t>
        </is>
      </c>
      <c r="V580" t="inlineStr">
        <is>
          <t>2010-11-10</t>
        </is>
      </c>
      <c r="W580" t="inlineStr">
        <is>
          <t>1991-12-04</t>
        </is>
      </c>
      <c r="X580" t="inlineStr">
        <is>
          <t>1991-12-04</t>
        </is>
      </c>
      <c r="Y580" t="n">
        <v>252</v>
      </c>
      <c r="Z580" t="n">
        <v>205</v>
      </c>
      <c r="AA580" t="n">
        <v>207</v>
      </c>
      <c r="AB580" t="n">
        <v>3</v>
      </c>
      <c r="AC580" t="n">
        <v>3</v>
      </c>
      <c r="AD580" t="n">
        <v>11</v>
      </c>
      <c r="AE580" t="n">
        <v>11</v>
      </c>
      <c r="AF580" t="n">
        <v>3</v>
      </c>
      <c r="AG580" t="n">
        <v>3</v>
      </c>
      <c r="AH580" t="n">
        <v>2</v>
      </c>
      <c r="AI580" t="n">
        <v>2</v>
      </c>
      <c r="AJ580" t="n">
        <v>7</v>
      </c>
      <c r="AK580" t="n">
        <v>7</v>
      </c>
      <c r="AL580" t="n">
        <v>2</v>
      </c>
      <c r="AM580" t="n">
        <v>2</v>
      </c>
      <c r="AN580" t="n">
        <v>0</v>
      </c>
      <c r="AO580" t="n">
        <v>0</v>
      </c>
      <c r="AP580" t="inlineStr">
        <is>
          <t>No</t>
        </is>
      </c>
      <c r="AQ580" t="inlineStr">
        <is>
          <t>Yes</t>
        </is>
      </c>
      <c r="AR580">
        <f>HYPERLINK("http://catalog.hathitrust.org/Record/000870739","HathiTrust Record")</f>
        <v/>
      </c>
      <c r="AS580">
        <f>HYPERLINK("https://creighton-primo.hosted.exlibrisgroup.com/primo-explore/search?tab=default_tab&amp;search_scope=EVERYTHING&amp;vid=01CRU&amp;lang=en_US&amp;offset=0&amp;query=any,contains,991001007119702656","Catalog Record")</f>
        <v/>
      </c>
      <c r="AT580">
        <f>HYPERLINK("http://www.worldcat.org/oclc/15252050","WorldCat Record")</f>
        <v/>
      </c>
      <c r="AU580" t="inlineStr">
        <is>
          <t>2562370:eng</t>
        </is>
      </c>
      <c r="AV580" t="inlineStr">
        <is>
          <t>15252050</t>
        </is>
      </c>
      <c r="AW580" t="inlineStr">
        <is>
          <t>991001007119702656</t>
        </is>
      </c>
      <c r="AX580" t="inlineStr">
        <is>
          <t>991001007119702656</t>
        </is>
      </c>
      <c r="AY580" t="inlineStr">
        <is>
          <t>2255166920002656</t>
        </is>
      </c>
      <c r="AZ580" t="inlineStr">
        <is>
          <t>BOOK</t>
        </is>
      </c>
      <c r="BB580" t="inlineStr">
        <is>
          <t>9780275923259</t>
        </is>
      </c>
      <c r="BC580" t="inlineStr">
        <is>
          <t>32285000845494</t>
        </is>
      </c>
      <c r="BD580" t="inlineStr">
        <is>
          <t>893231615</t>
        </is>
      </c>
    </row>
    <row r="581">
      <c r="A581" t="inlineStr">
        <is>
          <t>No</t>
        </is>
      </c>
      <c r="B581" t="inlineStr">
        <is>
          <t>RC455.4.S45 G46</t>
        </is>
      </c>
      <c r="C581" t="inlineStr">
        <is>
          <t>0                      RC 0455400S  45                 G  46</t>
        </is>
      </c>
      <c r="D581" t="inlineStr">
        <is>
          <t>Gender and disordered behavior : sex differences in psychopathology / edited by Edith S. Gomberg and Violet Franks.</t>
        </is>
      </c>
      <c r="F581" t="inlineStr">
        <is>
          <t>No</t>
        </is>
      </c>
      <c r="G581" t="inlineStr">
        <is>
          <t>1</t>
        </is>
      </c>
      <c r="H581" t="inlineStr">
        <is>
          <t>No</t>
        </is>
      </c>
      <c r="I581" t="inlineStr">
        <is>
          <t>No</t>
        </is>
      </c>
      <c r="J581" t="inlineStr">
        <is>
          <t>0</t>
        </is>
      </c>
      <c r="L581" t="inlineStr">
        <is>
          <t>New York : Brunner/Mazel, c1979.</t>
        </is>
      </c>
      <c r="M581" t="inlineStr">
        <is>
          <t>1979</t>
        </is>
      </c>
      <c r="O581" t="inlineStr">
        <is>
          <t>eng</t>
        </is>
      </c>
      <c r="P581" t="inlineStr">
        <is>
          <t>nyu</t>
        </is>
      </c>
      <c r="R581" t="inlineStr">
        <is>
          <t xml:space="preserve">RC </t>
        </is>
      </c>
      <c r="S581" t="n">
        <v>1</v>
      </c>
      <c r="T581" t="n">
        <v>1</v>
      </c>
      <c r="U581" t="inlineStr">
        <is>
          <t>1997-10-11</t>
        </is>
      </c>
      <c r="V581" t="inlineStr">
        <is>
          <t>1997-10-11</t>
        </is>
      </c>
      <c r="W581" t="inlineStr">
        <is>
          <t>1993-03-22</t>
        </is>
      </c>
      <c r="X581" t="inlineStr">
        <is>
          <t>1993-03-22</t>
        </is>
      </c>
      <c r="Y581" t="n">
        <v>362</v>
      </c>
      <c r="Z581" t="n">
        <v>290</v>
      </c>
      <c r="AA581" t="n">
        <v>297</v>
      </c>
      <c r="AB581" t="n">
        <v>2</v>
      </c>
      <c r="AC581" t="n">
        <v>2</v>
      </c>
      <c r="AD581" t="n">
        <v>12</v>
      </c>
      <c r="AE581" t="n">
        <v>12</v>
      </c>
      <c r="AF581" t="n">
        <v>3</v>
      </c>
      <c r="AG581" t="n">
        <v>3</v>
      </c>
      <c r="AH581" t="n">
        <v>4</v>
      </c>
      <c r="AI581" t="n">
        <v>4</v>
      </c>
      <c r="AJ581" t="n">
        <v>8</v>
      </c>
      <c r="AK581" t="n">
        <v>8</v>
      </c>
      <c r="AL581" t="n">
        <v>1</v>
      </c>
      <c r="AM581" t="n">
        <v>1</v>
      </c>
      <c r="AN581" t="n">
        <v>0</v>
      </c>
      <c r="AO581" t="n">
        <v>0</v>
      </c>
      <c r="AP581" t="inlineStr">
        <is>
          <t>No</t>
        </is>
      </c>
      <c r="AQ581" t="inlineStr">
        <is>
          <t>Yes</t>
        </is>
      </c>
      <c r="AR581">
        <f>HYPERLINK("http://catalog.hathitrust.org/Record/000257522","HathiTrust Record")</f>
        <v/>
      </c>
      <c r="AS581">
        <f>HYPERLINK("https://creighton-primo.hosted.exlibrisgroup.com/primo-explore/search?tab=default_tab&amp;search_scope=EVERYTHING&amp;vid=01CRU&amp;lang=en_US&amp;offset=0&amp;query=any,contains,991004670439702656","Catalog Record")</f>
        <v/>
      </c>
      <c r="AT581">
        <f>HYPERLINK("http://www.worldcat.org/oclc/4515367","WorldCat Record")</f>
        <v/>
      </c>
      <c r="AU581" t="inlineStr">
        <is>
          <t>890386914:eng</t>
        </is>
      </c>
      <c r="AV581" t="inlineStr">
        <is>
          <t>4515367</t>
        </is>
      </c>
      <c r="AW581" t="inlineStr">
        <is>
          <t>991004670439702656</t>
        </is>
      </c>
      <c r="AX581" t="inlineStr">
        <is>
          <t>991004670439702656</t>
        </is>
      </c>
      <c r="AY581" t="inlineStr">
        <is>
          <t>2265567620002656</t>
        </is>
      </c>
      <c r="AZ581" t="inlineStr">
        <is>
          <t>BOOK</t>
        </is>
      </c>
      <c r="BB581" t="inlineStr">
        <is>
          <t>9780876301883</t>
        </is>
      </c>
      <c r="BC581" t="inlineStr">
        <is>
          <t>32285001606044</t>
        </is>
      </c>
      <c r="BD581" t="inlineStr">
        <is>
          <t>893500834</t>
        </is>
      </c>
    </row>
    <row r="582">
      <c r="A582" t="inlineStr">
        <is>
          <t>No</t>
        </is>
      </c>
      <c r="B582" t="inlineStr">
        <is>
          <t>RC455.4.S53 B73 1988</t>
        </is>
      </c>
      <c r="C582" t="inlineStr">
        <is>
          <t>0                      RC 0455400S  53                 B  73          1988</t>
        </is>
      </c>
      <c r="D582" t="inlineStr">
        <is>
          <t>Healing the shame that binds you / John Bradshaw.</t>
        </is>
      </c>
      <c r="F582" t="inlineStr">
        <is>
          <t>No</t>
        </is>
      </c>
      <c r="G582" t="inlineStr">
        <is>
          <t>1</t>
        </is>
      </c>
      <c r="H582" t="inlineStr">
        <is>
          <t>No</t>
        </is>
      </c>
      <c r="I582" t="inlineStr">
        <is>
          <t>No</t>
        </is>
      </c>
      <c r="J582" t="inlineStr">
        <is>
          <t>0</t>
        </is>
      </c>
      <c r="K582" t="inlineStr">
        <is>
          <t>Bradshaw, John, 1933-2016.</t>
        </is>
      </c>
      <c r="L582" t="inlineStr">
        <is>
          <t>Deerfield Beach, Fla. : Health Communications, c1988.</t>
        </is>
      </c>
      <c r="M582" t="inlineStr">
        <is>
          <t>1988</t>
        </is>
      </c>
      <c r="O582" t="inlineStr">
        <is>
          <t>eng</t>
        </is>
      </c>
      <c r="P582" t="inlineStr">
        <is>
          <t>flu</t>
        </is>
      </c>
      <c r="R582" t="inlineStr">
        <is>
          <t xml:space="preserve">RC </t>
        </is>
      </c>
      <c r="S582" t="n">
        <v>5</v>
      </c>
      <c r="T582" t="n">
        <v>5</v>
      </c>
      <c r="U582" t="inlineStr">
        <is>
          <t>2006-06-18</t>
        </is>
      </c>
      <c r="V582" t="inlineStr">
        <is>
          <t>2006-06-18</t>
        </is>
      </c>
      <c r="W582" t="inlineStr">
        <is>
          <t>2002-11-14</t>
        </is>
      </c>
      <c r="X582" t="inlineStr">
        <is>
          <t>2002-11-14</t>
        </is>
      </c>
      <c r="Y582" t="n">
        <v>1487</v>
      </c>
      <c r="Z582" t="n">
        <v>1322</v>
      </c>
      <c r="AA582" t="n">
        <v>2075</v>
      </c>
      <c r="AB582" t="n">
        <v>13</v>
      </c>
      <c r="AC582" t="n">
        <v>18</v>
      </c>
      <c r="AD582" t="n">
        <v>23</v>
      </c>
      <c r="AE582" t="n">
        <v>28</v>
      </c>
      <c r="AF582" t="n">
        <v>5</v>
      </c>
      <c r="AG582" t="n">
        <v>9</v>
      </c>
      <c r="AH582" t="n">
        <v>3</v>
      </c>
      <c r="AI582" t="n">
        <v>4</v>
      </c>
      <c r="AJ582" t="n">
        <v>13</v>
      </c>
      <c r="AK582" t="n">
        <v>13</v>
      </c>
      <c r="AL582" t="n">
        <v>6</v>
      </c>
      <c r="AM582" t="n">
        <v>7</v>
      </c>
      <c r="AN582" t="n">
        <v>0</v>
      </c>
      <c r="AO582" t="n">
        <v>0</v>
      </c>
      <c r="AP582" t="inlineStr">
        <is>
          <t>No</t>
        </is>
      </c>
      <c r="AQ582" t="inlineStr">
        <is>
          <t>Yes</t>
        </is>
      </c>
      <c r="AR582">
        <f>HYPERLINK("http://catalog.hathitrust.org/Record/002619280","HathiTrust Record")</f>
        <v/>
      </c>
      <c r="AS582">
        <f>HYPERLINK("https://creighton-primo.hosted.exlibrisgroup.com/primo-explore/search?tab=default_tab&amp;search_scope=EVERYTHING&amp;vid=01CRU&amp;lang=en_US&amp;offset=0&amp;query=any,contains,991003933349702656","Catalog Record")</f>
        <v/>
      </c>
      <c r="AT582">
        <f>HYPERLINK("http://www.worldcat.org/oclc/18162520","WorldCat Record")</f>
        <v/>
      </c>
      <c r="AU582" t="inlineStr">
        <is>
          <t>882152:eng</t>
        </is>
      </c>
      <c r="AV582" t="inlineStr">
        <is>
          <t>18162520</t>
        </is>
      </c>
      <c r="AW582" t="inlineStr">
        <is>
          <t>991003933349702656</t>
        </is>
      </c>
      <c r="AX582" t="inlineStr">
        <is>
          <t>991003933349702656</t>
        </is>
      </c>
      <c r="AY582" t="inlineStr">
        <is>
          <t>2260104600002656</t>
        </is>
      </c>
      <c r="AZ582" t="inlineStr">
        <is>
          <t>BOOK</t>
        </is>
      </c>
      <c r="BB582" t="inlineStr">
        <is>
          <t>9780932194862</t>
        </is>
      </c>
      <c r="BC582" t="inlineStr">
        <is>
          <t>32285004663737</t>
        </is>
      </c>
      <c r="BD582" t="inlineStr">
        <is>
          <t>893593083</t>
        </is>
      </c>
    </row>
    <row r="583">
      <c r="A583" t="inlineStr">
        <is>
          <t>No</t>
        </is>
      </c>
      <c r="B583" t="inlineStr">
        <is>
          <t>RC455.4.S53 G65 1991</t>
        </is>
      </c>
      <c r="C583" t="inlineStr">
        <is>
          <t>0                      RC 0455400S  53                 G  65          1991</t>
        </is>
      </c>
      <c r="D583" t="inlineStr">
        <is>
          <t>Understanding shame / Carl Goldberg.</t>
        </is>
      </c>
      <c r="F583" t="inlineStr">
        <is>
          <t>No</t>
        </is>
      </c>
      <c r="G583" t="inlineStr">
        <is>
          <t>1</t>
        </is>
      </c>
      <c r="H583" t="inlineStr">
        <is>
          <t>No</t>
        </is>
      </c>
      <c r="I583" t="inlineStr">
        <is>
          <t>No</t>
        </is>
      </c>
      <c r="J583" t="inlineStr">
        <is>
          <t>0</t>
        </is>
      </c>
      <c r="K583" t="inlineStr">
        <is>
          <t>Goldberg, Carl.</t>
        </is>
      </c>
      <c r="L583" t="inlineStr">
        <is>
          <t>Northvale, N.J. : J. Aronson, c1991.</t>
        </is>
      </c>
      <c r="M583" t="inlineStr">
        <is>
          <t>1991</t>
        </is>
      </c>
      <c r="O583" t="inlineStr">
        <is>
          <t>eng</t>
        </is>
      </c>
      <c r="P583" t="inlineStr">
        <is>
          <t>nju</t>
        </is>
      </c>
      <c r="R583" t="inlineStr">
        <is>
          <t xml:space="preserve">RC </t>
        </is>
      </c>
      <c r="S583" t="n">
        <v>3</v>
      </c>
      <c r="T583" t="n">
        <v>3</v>
      </c>
      <c r="U583" t="inlineStr">
        <is>
          <t>1996-07-19</t>
        </is>
      </c>
      <c r="V583" t="inlineStr">
        <is>
          <t>1996-07-19</t>
        </is>
      </c>
      <c r="W583" t="inlineStr">
        <is>
          <t>1992-05-22</t>
        </is>
      </c>
      <c r="X583" t="inlineStr">
        <is>
          <t>1992-05-22</t>
        </is>
      </c>
      <c r="Y583" t="n">
        <v>356</v>
      </c>
      <c r="Z583" t="n">
        <v>319</v>
      </c>
      <c r="AA583" t="n">
        <v>339</v>
      </c>
      <c r="AB583" t="n">
        <v>2</v>
      </c>
      <c r="AC583" t="n">
        <v>2</v>
      </c>
      <c r="AD583" t="n">
        <v>9</v>
      </c>
      <c r="AE583" t="n">
        <v>9</v>
      </c>
      <c r="AF583" t="n">
        <v>2</v>
      </c>
      <c r="AG583" t="n">
        <v>2</v>
      </c>
      <c r="AH583" t="n">
        <v>1</v>
      </c>
      <c r="AI583" t="n">
        <v>1</v>
      </c>
      <c r="AJ583" t="n">
        <v>6</v>
      </c>
      <c r="AK583" t="n">
        <v>6</v>
      </c>
      <c r="AL583" t="n">
        <v>1</v>
      </c>
      <c r="AM583" t="n">
        <v>1</v>
      </c>
      <c r="AN583" t="n">
        <v>0</v>
      </c>
      <c r="AO583" t="n">
        <v>0</v>
      </c>
      <c r="AP583" t="inlineStr">
        <is>
          <t>No</t>
        </is>
      </c>
      <c r="AQ583" t="inlineStr">
        <is>
          <t>Yes</t>
        </is>
      </c>
      <c r="AR583">
        <f>HYPERLINK("http://catalog.hathitrust.org/Record/002499157","HathiTrust Record")</f>
        <v/>
      </c>
      <c r="AS583">
        <f>HYPERLINK("https://creighton-primo.hosted.exlibrisgroup.com/primo-explore/search?tab=default_tab&amp;search_scope=EVERYTHING&amp;vid=01CRU&amp;lang=en_US&amp;offset=0&amp;query=any,contains,991001866179702656","Catalog Record")</f>
        <v/>
      </c>
      <c r="AT583">
        <f>HYPERLINK("http://www.worldcat.org/oclc/23463289","WorldCat Record")</f>
        <v/>
      </c>
      <c r="AU583" t="inlineStr">
        <is>
          <t>24947980:eng</t>
        </is>
      </c>
      <c r="AV583" t="inlineStr">
        <is>
          <t>23463289</t>
        </is>
      </c>
      <c r="AW583" t="inlineStr">
        <is>
          <t>991001866179702656</t>
        </is>
      </c>
      <c r="AX583" t="inlineStr">
        <is>
          <t>991001866179702656</t>
        </is>
      </c>
      <c r="AY583" t="inlineStr">
        <is>
          <t>2255736990002656</t>
        </is>
      </c>
      <c r="AZ583" t="inlineStr">
        <is>
          <t>BOOK</t>
        </is>
      </c>
      <c r="BB583" t="inlineStr">
        <is>
          <t>9780876685419</t>
        </is>
      </c>
      <c r="BC583" t="inlineStr">
        <is>
          <t>32285001118602</t>
        </is>
      </c>
      <c r="BD583" t="inlineStr">
        <is>
          <t>893885604</t>
        </is>
      </c>
    </row>
    <row r="584">
      <c r="A584" t="inlineStr">
        <is>
          <t>No</t>
        </is>
      </c>
      <c r="B584" t="inlineStr">
        <is>
          <t>RC455.4.S53 H37 1990</t>
        </is>
      </c>
      <c r="C584" t="inlineStr">
        <is>
          <t>0                      RC 0455400S  53                 H  37          1990</t>
        </is>
      </c>
      <c r="D584" t="inlineStr">
        <is>
          <t>Uncovering shame : an approach integrating individuals and their family systems / James M. Harper and Margaret H. Hoopes.</t>
        </is>
      </c>
      <c r="F584" t="inlineStr">
        <is>
          <t>No</t>
        </is>
      </c>
      <c r="G584" t="inlineStr">
        <is>
          <t>1</t>
        </is>
      </c>
      <c r="H584" t="inlineStr">
        <is>
          <t>Yes</t>
        </is>
      </c>
      <c r="I584" t="inlineStr">
        <is>
          <t>No</t>
        </is>
      </c>
      <c r="J584" t="inlineStr">
        <is>
          <t>0</t>
        </is>
      </c>
      <c r="K584" t="inlineStr">
        <is>
          <t>Harper, James M.</t>
        </is>
      </c>
      <c r="L584" t="inlineStr">
        <is>
          <t>New York : Norton, c1990.</t>
        </is>
      </c>
      <c r="M584" t="inlineStr">
        <is>
          <t>1990</t>
        </is>
      </c>
      <c r="N584" t="inlineStr">
        <is>
          <t>1st ed.</t>
        </is>
      </c>
      <c r="O584" t="inlineStr">
        <is>
          <t>eng</t>
        </is>
      </c>
      <c r="P584" t="inlineStr">
        <is>
          <t>nyu</t>
        </is>
      </c>
      <c r="R584" t="inlineStr">
        <is>
          <t xml:space="preserve">RC </t>
        </is>
      </c>
      <c r="S584" t="n">
        <v>2</v>
      </c>
      <c r="T584" t="n">
        <v>12</v>
      </c>
      <c r="U584" t="inlineStr">
        <is>
          <t>2003-08-25</t>
        </is>
      </c>
      <c r="V584" t="inlineStr">
        <is>
          <t>2003-09-09</t>
        </is>
      </c>
      <c r="W584" t="inlineStr">
        <is>
          <t>1992-02-10</t>
        </is>
      </c>
      <c r="X584" t="inlineStr">
        <is>
          <t>1992-02-10</t>
        </is>
      </c>
      <c r="Y584" t="n">
        <v>347</v>
      </c>
      <c r="Z584" t="n">
        <v>288</v>
      </c>
      <c r="AA584" t="n">
        <v>288</v>
      </c>
      <c r="AB584" t="n">
        <v>4</v>
      </c>
      <c r="AC584" t="n">
        <v>4</v>
      </c>
      <c r="AD584" t="n">
        <v>15</v>
      </c>
      <c r="AE584" t="n">
        <v>15</v>
      </c>
      <c r="AF584" t="n">
        <v>4</v>
      </c>
      <c r="AG584" t="n">
        <v>4</v>
      </c>
      <c r="AH584" t="n">
        <v>2</v>
      </c>
      <c r="AI584" t="n">
        <v>2</v>
      </c>
      <c r="AJ584" t="n">
        <v>11</v>
      </c>
      <c r="AK584" t="n">
        <v>11</v>
      </c>
      <c r="AL584" t="n">
        <v>2</v>
      </c>
      <c r="AM584" t="n">
        <v>2</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HYPERLINK("https://creighton-primo.hosted.exlibrisgroup.com/primo-explore/search?tab=default_tab&amp;search_scope=EVERYTHING&amp;vid=01CRU&amp;lang=en_US&amp;offset=0&amp;query=any,contains,991001767859702656","Catalog Record")</f>
        <v/>
      </c>
      <c r="AT584">
        <f>HYPERLINK("http://www.worldcat.org/oclc/21520496","WorldCat Record")</f>
        <v/>
      </c>
      <c r="AU584" t="inlineStr">
        <is>
          <t>311894655:eng</t>
        </is>
      </c>
      <c r="AV584" t="inlineStr">
        <is>
          <t>21520496</t>
        </is>
      </c>
      <c r="AW584" t="inlineStr">
        <is>
          <t>991001767859702656</t>
        </is>
      </c>
      <c r="AX584" t="inlineStr">
        <is>
          <t>991001767859702656</t>
        </is>
      </c>
      <c r="AY584" t="inlineStr">
        <is>
          <t>2257301480002656</t>
        </is>
      </c>
      <c r="AZ584" t="inlineStr">
        <is>
          <t>BOOK</t>
        </is>
      </c>
      <c r="BB584" t="inlineStr">
        <is>
          <t>9780393701005</t>
        </is>
      </c>
      <c r="BC584" t="inlineStr">
        <is>
          <t>32285000868900</t>
        </is>
      </c>
      <c r="BD584" t="inlineStr">
        <is>
          <t>893721137</t>
        </is>
      </c>
    </row>
    <row r="585">
      <c r="A585" t="inlineStr">
        <is>
          <t>No</t>
        </is>
      </c>
      <c r="B585" t="inlineStr">
        <is>
          <t>RC455.4.S87 A38 1989</t>
        </is>
      </c>
      <c r="C585" t="inlineStr">
        <is>
          <t>0                      RC 0455400S  87                 A  38          1989</t>
        </is>
      </c>
      <c r="D585" t="inlineStr">
        <is>
          <t>Advances in the investigation of psychological stress / edited by Richard W.J. Neufeld.</t>
        </is>
      </c>
      <c r="F585" t="inlineStr">
        <is>
          <t>No</t>
        </is>
      </c>
      <c r="G585" t="inlineStr">
        <is>
          <t>1</t>
        </is>
      </c>
      <c r="H585" t="inlineStr">
        <is>
          <t>No</t>
        </is>
      </c>
      <c r="I585" t="inlineStr">
        <is>
          <t>No</t>
        </is>
      </c>
      <c r="J585" t="inlineStr">
        <is>
          <t>0</t>
        </is>
      </c>
      <c r="L585" t="inlineStr">
        <is>
          <t>New York : Wiley, c1989.</t>
        </is>
      </c>
      <c r="M585" t="inlineStr">
        <is>
          <t>1989</t>
        </is>
      </c>
      <c r="O585" t="inlineStr">
        <is>
          <t>eng</t>
        </is>
      </c>
      <c r="P585" t="inlineStr">
        <is>
          <t>nyu</t>
        </is>
      </c>
      <c r="Q585" t="inlineStr">
        <is>
          <t>Wiley series on health psychology/behavioral medicine</t>
        </is>
      </c>
      <c r="R585" t="inlineStr">
        <is>
          <t xml:space="preserve">RC </t>
        </is>
      </c>
      <c r="S585" t="n">
        <v>5</v>
      </c>
      <c r="T585" t="n">
        <v>5</v>
      </c>
      <c r="U585" t="inlineStr">
        <is>
          <t>2002-04-19</t>
        </is>
      </c>
      <c r="V585" t="inlineStr">
        <is>
          <t>2002-04-19</t>
        </is>
      </c>
      <c r="W585" t="inlineStr">
        <is>
          <t>1990-03-01</t>
        </is>
      </c>
      <c r="X585" t="inlineStr">
        <is>
          <t>1990-03-01</t>
        </is>
      </c>
      <c r="Y585" t="n">
        <v>434</v>
      </c>
      <c r="Z585" t="n">
        <v>349</v>
      </c>
      <c r="AA585" t="n">
        <v>357</v>
      </c>
      <c r="AB585" t="n">
        <v>4</v>
      </c>
      <c r="AC585" t="n">
        <v>4</v>
      </c>
      <c r="AD585" t="n">
        <v>18</v>
      </c>
      <c r="AE585" t="n">
        <v>18</v>
      </c>
      <c r="AF585" t="n">
        <v>4</v>
      </c>
      <c r="AG585" t="n">
        <v>4</v>
      </c>
      <c r="AH585" t="n">
        <v>6</v>
      </c>
      <c r="AI585" t="n">
        <v>6</v>
      </c>
      <c r="AJ585" t="n">
        <v>9</v>
      </c>
      <c r="AK585" t="n">
        <v>9</v>
      </c>
      <c r="AL585" t="n">
        <v>3</v>
      </c>
      <c r="AM585" t="n">
        <v>3</v>
      </c>
      <c r="AN585" t="n">
        <v>0</v>
      </c>
      <c r="AO585" t="n">
        <v>0</v>
      </c>
      <c r="AP585" t="inlineStr">
        <is>
          <t>No</t>
        </is>
      </c>
      <c r="AQ585" t="inlineStr">
        <is>
          <t>Yes</t>
        </is>
      </c>
      <c r="AR585">
        <f>HYPERLINK("http://catalog.hathitrust.org/Record/001096212","HathiTrust Record")</f>
        <v/>
      </c>
      <c r="AS585">
        <f>HYPERLINK("https://creighton-primo.hosted.exlibrisgroup.com/primo-explore/search?tab=default_tab&amp;search_scope=EVERYTHING&amp;vid=01CRU&amp;lang=en_US&amp;offset=0&amp;query=any,contains,991001308329702656","Catalog Record")</f>
        <v/>
      </c>
      <c r="AT585">
        <f>HYPERLINK("http://www.worldcat.org/oclc/18134591","WorldCat Record")</f>
        <v/>
      </c>
      <c r="AU585" t="inlineStr">
        <is>
          <t>16914860:eng</t>
        </is>
      </c>
      <c r="AV585" t="inlineStr">
        <is>
          <t>18134591</t>
        </is>
      </c>
      <c r="AW585" t="inlineStr">
        <is>
          <t>991001308329702656</t>
        </is>
      </c>
      <c r="AX585" t="inlineStr">
        <is>
          <t>991001308329702656</t>
        </is>
      </c>
      <c r="AY585" t="inlineStr">
        <is>
          <t>2259835980002656</t>
        </is>
      </c>
      <c r="AZ585" t="inlineStr">
        <is>
          <t>BOOK</t>
        </is>
      </c>
      <c r="BB585" t="inlineStr">
        <is>
          <t>9780471815983</t>
        </is>
      </c>
      <c r="BC585" t="inlineStr">
        <is>
          <t>32285000075399</t>
        </is>
      </c>
      <c r="BD585" t="inlineStr">
        <is>
          <t>893903380</t>
        </is>
      </c>
    </row>
    <row r="586">
      <c r="A586" t="inlineStr">
        <is>
          <t>No</t>
        </is>
      </c>
      <c r="B586" t="inlineStr">
        <is>
          <t>RC455.4.S87 B47 1986</t>
        </is>
      </c>
      <c r="C586" t="inlineStr">
        <is>
          <t>0                      RC 0455400S  87                 B  47          1986</t>
        </is>
      </c>
      <c r="D586" t="inlineStr">
        <is>
          <t>The success syndrome : hitting bottom when you reach the top / Steven Berglas.</t>
        </is>
      </c>
      <c r="F586" t="inlineStr">
        <is>
          <t>No</t>
        </is>
      </c>
      <c r="G586" t="inlineStr">
        <is>
          <t>1</t>
        </is>
      </c>
      <c r="H586" t="inlineStr">
        <is>
          <t>No</t>
        </is>
      </c>
      <c r="I586" t="inlineStr">
        <is>
          <t>No</t>
        </is>
      </c>
      <c r="J586" t="inlineStr">
        <is>
          <t>0</t>
        </is>
      </c>
      <c r="K586" t="inlineStr">
        <is>
          <t>Berglas, Steven.</t>
        </is>
      </c>
      <c r="L586" t="inlineStr">
        <is>
          <t>New York : Plenum Press, c1986.</t>
        </is>
      </c>
      <c r="M586" t="inlineStr">
        <is>
          <t>1986</t>
        </is>
      </c>
      <c r="O586" t="inlineStr">
        <is>
          <t>eng</t>
        </is>
      </c>
      <c r="P586" t="inlineStr">
        <is>
          <t>nyu</t>
        </is>
      </c>
      <c r="R586" t="inlineStr">
        <is>
          <t xml:space="preserve">RC </t>
        </is>
      </c>
      <c r="S586" t="n">
        <v>3</v>
      </c>
      <c r="T586" t="n">
        <v>3</v>
      </c>
      <c r="U586" t="inlineStr">
        <is>
          <t>2008-12-15</t>
        </is>
      </c>
      <c r="V586" t="inlineStr">
        <is>
          <t>2008-12-15</t>
        </is>
      </c>
      <c r="W586" t="inlineStr">
        <is>
          <t>1993-03-22</t>
        </is>
      </c>
      <c r="X586" t="inlineStr">
        <is>
          <t>1993-03-22</t>
        </is>
      </c>
      <c r="Y586" t="n">
        <v>417</v>
      </c>
      <c r="Z586" t="n">
        <v>346</v>
      </c>
      <c r="AA586" t="n">
        <v>370</v>
      </c>
      <c r="AB586" t="n">
        <v>2</v>
      </c>
      <c r="AC586" t="n">
        <v>2</v>
      </c>
      <c r="AD586" t="n">
        <v>12</v>
      </c>
      <c r="AE586" t="n">
        <v>13</v>
      </c>
      <c r="AF586" t="n">
        <v>4</v>
      </c>
      <c r="AG586" t="n">
        <v>5</v>
      </c>
      <c r="AH586" t="n">
        <v>2</v>
      </c>
      <c r="AI586" t="n">
        <v>2</v>
      </c>
      <c r="AJ586" t="n">
        <v>7</v>
      </c>
      <c r="AK586" t="n">
        <v>8</v>
      </c>
      <c r="AL586" t="n">
        <v>1</v>
      </c>
      <c r="AM586" t="n">
        <v>1</v>
      </c>
      <c r="AN586" t="n">
        <v>0</v>
      </c>
      <c r="AO586" t="n">
        <v>0</v>
      </c>
      <c r="AP586" t="inlineStr">
        <is>
          <t>No</t>
        </is>
      </c>
      <c r="AQ586" t="inlineStr">
        <is>
          <t>Yes</t>
        </is>
      </c>
      <c r="AR586">
        <f>HYPERLINK("http://catalog.hathitrust.org/Record/000403930","HathiTrust Record")</f>
        <v/>
      </c>
      <c r="AS586">
        <f>HYPERLINK("https://creighton-primo.hosted.exlibrisgroup.com/primo-explore/search?tab=default_tab&amp;search_scope=EVERYTHING&amp;vid=01CRU&amp;lang=en_US&amp;offset=0&amp;query=any,contains,991000870979702656","Catalog Record")</f>
        <v/>
      </c>
      <c r="AT586">
        <f>HYPERLINK("http://www.worldcat.org/oclc/13792595","WorldCat Record")</f>
        <v/>
      </c>
      <c r="AU586" t="inlineStr">
        <is>
          <t>7855049:eng</t>
        </is>
      </c>
      <c r="AV586" t="inlineStr">
        <is>
          <t>13792595</t>
        </is>
      </c>
      <c r="AW586" t="inlineStr">
        <is>
          <t>991000870979702656</t>
        </is>
      </c>
      <c r="AX586" t="inlineStr">
        <is>
          <t>991000870979702656</t>
        </is>
      </c>
      <c r="AY586" t="inlineStr">
        <is>
          <t>2272711240002656</t>
        </is>
      </c>
      <c r="AZ586" t="inlineStr">
        <is>
          <t>BOOK</t>
        </is>
      </c>
      <c r="BB586" t="inlineStr">
        <is>
          <t>9780306423499</t>
        </is>
      </c>
      <c r="BC586" t="inlineStr">
        <is>
          <t>32285001606051</t>
        </is>
      </c>
      <c r="BD586" t="inlineStr">
        <is>
          <t>893589818</t>
        </is>
      </c>
    </row>
    <row r="587">
      <c r="A587" t="inlineStr">
        <is>
          <t>No</t>
        </is>
      </c>
      <c r="B587" t="inlineStr">
        <is>
          <t>RC455.4.S87 D64 1995</t>
        </is>
      </c>
      <c r="C587" t="inlineStr">
        <is>
          <t>0                      RC 0455400S  87                 D  64          1995</t>
        </is>
      </c>
      <c r="D587" t="inlineStr">
        <is>
          <t>Does stress cause psychiatric illness? / edited by Carolyn M. Mazure.</t>
        </is>
      </c>
      <c r="F587" t="inlineStr">
        <is>
          <t>No</t>
        </is>
      </c>
      <c r="G587" t="inlineStr">
        <is>
          <t>1</t>
        </is>
      </c>
      <c r="H587" t="inlineStr">
        <is>
          <t>No</t>
        </is>
      </c>
      <c r="I587" t="inlineStr">
        <is>
          <t>No</t>
        </is>
      </c>
      <c r="J587" t="inlineStr">
        <is>
          <t>0</t>
        </is>
      </c>
      <c r="L587" t="inlineStr">
        <is>
          <t>Washington, DC : American Psychiatric Press, c1995.</t>
        </is>
      </c>
      <c r="M587" t="inlineStr">
        <is>
          <t>1995</t>
        </is>
      </c>
      <c r="N587" t="inlineStr">
        <is>
          <t>1st ed.</t>
        </is>
      </c>
      <c r="O587" t="inlineStr">
        <is>
          <t>eng</t>
        </is>
      </c>
      <c r="P587" t="inlineStr">
        <is>
          <t>dcu</t>
        </is>
      </c>
      <c r="Q587" t="inlineStr">
        <is>
          <t>Progress in psychiatry ; no. 46</t>
        </is>
      </c>
      <c r="R587" t="inlineStr">
        <is>
          <t xml:space="preserve">RC </t>
        </is>
      </c>
      <c r="S587" t="n">
        <v>29</v>
      </c>
      <c r="T587" t="n">
        <v>29</v>
      </c>
      <c r="U587" t="inlineStr">
        <is>
          <t>2009-03-11</t>
        </is>
      </c>
      <c r="V587" t="inlineStr">
        <is>
          <t>2009-03-11</t>
        </is>
      </c>
      <c r="W587" t="inlineStr">
        <is>
          <t>1996-05-16</t>
        </is>
      </c>
      <c r="X587" t="inlineStr">
        <is>
          <t>1996-05-16</t>
        </is>
      </c>
      <c r="Y587" t="n">
        <v>207</v>
      </c>
      <c r="Z587" t="n">
        <v>162</v>
      </c>
      <c r="AA587" t="n">
        <v>162</v>
      </c>
      <c r="AB587" t="n">
        <v>2</v>
      </c>
      <c r="AC587" t="n">
        <v>2</v>
      </c>
      <c r="AD587" t="n">
        <v>8</v>
      </c>
      <c r="AE587" t="n">
        <v>8</v>
      </c>
      <c r="AF587" t="n">
        <v>3</v>
      </c>
      <c r="AG587" t="n">
        <v>3</v>
      </c>
      <c r="AH587" t="n">
        <v>1</v>
      </c>
      <c r="AI587" t="n">
        <v>1</v>
      </c>
      <c r="AJ587" t="n">
        <v>6</v>
      </c>
      <c r="AK587" t="n">
        <v>6</v>
      </c>
      <c r="AL587" t="n">
        <v>1</v>
      </c>
      <c r="AM587" t="n">
        <v>1</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HYPERLINK("https://creighton-primo.hosted.exlibrisgroup.com/primo-explore/search?tab=default_tab&amp;search_scope=EVERYTHING&amp;vid=01CRU&amp;lang=en_US&amp;offset=0&amp;query=any,contains,991002364169702656","Catalog Record")</f>
        <v/>
      </c>
      <c r="AT587">
        <f>HYPERLINK("http://www.worldcat.org/oclc/30737738","WorldCat Record")</f>
        <v/>
      </c>
      <c r="AU587" t="inlineStr">
        <is>
          <t>10032650738:eng</t>
        </is>
      </c>
      <c r="AV587" t="inlineStr">
        <is>
          <t>30737738</t>
        </is>
      </c>
      <c r="AW587" t="inlineStr">
        <is>
          <t>991002364169702656</t>
        </is>
      </c>
      <c r="AX587" t="inlineStr">
        <is>
          <t>991002364169702656</t>
        </is>
      </c>
      <c r="AY587" t="inlineStr">
        <is>
          <t>2266512090002656</t>
        </is>
      </c>
      <c r="AZ587" t="inlineStr">
        <is>
          <t>BOOK</t>
        </is>
      </c>
      <c r="BB587" t="inlineStr">
        <is>
          <t>9780880484824</t>
        </is>
      </c>
      <c r="BC587" t="inlineStr">
        <is>
          <t>32285002169083</t>
        </is>
      </c>
      <c r="BD587" t="inlineStr">
        <is>
          <t>893622199</t>
        </is>
      </c>
    </row>
    <row r="588">
      <c r="A588" t="inlineStr">
        <is>
          <t>No</t>
        </is>
      </c>
      <c r="B588" t="inlineStr">
        <is>
          <t>RC456 .H35 1993</t>
        </is>
      </c>
      <c r="C588" t="inlineStr">
        <is>
          <t>0                      RC 0456000H  35          1993</t>
        </is>
      </c>
      <c r="D588" t="inlineStr">
        <is>
          <t>Handbook of effective psychotherapy / edited by Thomas R. Giles.</t>
        </is>
      </c>
      <c r="F588" t="inlineStr">
        <is>
          <t>No</t>
        </is>
      </c>
      <c r="G588" t="inlineStr">
        <is>
          <t>1</t>
        </is>
      </c>
      <c r="H588" t="inlineStr">
        <is>
          <t>No</t>
        </is>
      </c>
      <c r="I588" t="inlineStr">
        <is>
          <t>No</t>
        </is>
      </c>
      <c r="J588" t="inlineStr">
        <is>
          <t>0</t>
        </is>
      </c>
      <c r="L588" t="inlineStr">
        <is>
          <t>New York : Plenum Press, c1993.</t>
        </is>
      </c>
      <c r="M588" t="inlineStr">
        <is>
          <t>1993</t>
        </is>
      </c>
      <c r="O588" t="inlineStr">
        <is>
          <t>eng</t>
        </is>
      </c>
      <c r="P588" t="inlineStr">
        <is>
          <t>nyu</t>
        </is>
      </c>
      <c r="Q588" t="inlineStr">
        <is>
          <t>The Plenum behavior therapy series</t>
        </is>
      </c>
      <c r="R588" t="inlineStr">
        <is>
          <t xml:space="preserve">RC </t>
        </is>
      </c>
      <c r="S588" t="n">
        <v>38</v>
      </c>
      <c r="T588" t="n">
        <v>38</v>
      </c>
      <c r="U588" t="inlineStr">
        <is>
          <t>2006-02-21</t>
        </is>
      </c>
      <c r="V588" t="inlineStr">
        <is>
          <t>2006-02-21</t>
        </is>
      </c>
      <c r="W588" t="inlineStr">
        <is>
          <t>1994-01-13</t>
        </is>
      </c>
      <c r="X588" t="inlineStr">
        <is>
          <t>1994-01-13</t>
        </is>
      </c>
      <c r="Y588" t="n">
        <v>222</v>
      </c>
      <c r="Z588" t="n">
        <v>146</v>
      </c>
      <c r="AA588" t="n">
        <v>170</v>
      </c>
      <c r="AB588" t="n">
        <v>2</v>
      </c>
      <c r="AC588" t="n">
        <v>2</v>
      </c>
      <c r="AD588" t="n">
        <v>8</v>
      </c>
      <c r="AE588" t="n">
        <v>10</v>
      </c>
      <c r="AF588" t="n">
        <v>1</v>
      </c>
      <c r="AG588" t="n">
        <v>3</v>
      </c>
      <c r="AH588" t="n">
        <v>2</v>
      </c>
      <c r="AI588" t="n">
        <v>2</v>
      </c>
      <c r="AJ588" t="n">
        <v>6</v>
      </c>
      <c r="AK588" t="n">
        <v>7</v>
      </c>
      <c r="AL588" t="n">
        <v>1</v>
      </c>
      <c r="AM588" t="n">
        <v>1</v>
      </c>
      <c r="AN588" t="n">
        <v>0</v>
      </c>
      <c r="AO588" t="n">
        <v>0</v>
      </c>
      <c r="AP588" t="inlineStr">
        <is>
          <t>No</t>
        </is>
      </c>
      <c r="AQ588" t="inlineStr">
        <is>
          <t>Yes</t>
        </is>
      </c>
      <c r="AR588">
        <f>HYPERLINK("http://catalog.hathitrust.org/Record/002706936","HathiTrust Record")</f>
        <v/>
      </c>
      <c r="AS588">
        <f>HYPERLINK("https://creighton-primo.hosted.exlibrisgroup.com/primo-explore/search?tab=default_tab&amp;search_scope=EVERYTHING&amp;vid=01CRU&amp;lang=en_US&amp;offset=0&amp;query=any,contains,991002196249702656","Catalog Record")</f>
        <v/>
      </c>
      <c r="AT588">
        <f>HYPERLINK("http://www.worldcat.org/oclc/28224509","WorldCat Record")</f>
        <v/>
      </c>
      <c r="AU588" t="inlineStr">
        <is>
          <t>330007:eng</t>
        </is>
      </c>
      <c r="AV588" t="inlineStr">
        <is>
          <t>28224509</t>
        </is>
      </c>
      <c r="AW588" t="inlineStr">
        <is>
          <t>991002196249702656</t>
        </is>
      </c>
      <c r="AX588" t="inlineStr">
        <is>
          <t>991002196249702656</t>
        </is>
      </c>
      <c r="AY588" t="inlineStr">
        <is>
          <t>2260698200002656</t>
        </is>
      </c>
      <c r="AZ588" t="inlineStr">
        <is>
          <t>BOOK</t>
        </is>
      </c>
      <c r="BB588" t="inlineStr">
        <is>
          <t>9780306444289</t>
        </is>
      </c>
      <c r="BC588" t="inlineStr">
        <is>
          <t>32285001831444</t>
        </is>
      </c>
      <c r="BD588" t="inlineStr">
        <is>
          <t>893703780</t>
        </is>
      </c>
    </row>
    <row r="589">
      <c r="A589" t="inlineStr">
        <is>
          <t>No</t>
        </is>
      </c>
      <c r="B589" t="inlineStr">
        <is>
          <t>RC457 .D28 1966</t>
        </is>
      </c>
      <c r="C589" t="inlineStr">
        <is>
          <t>0                      RC 0457000D  28          1966</t>
        </is>
      </c>
      <c r="D589" t="inlineStr">
        <is>
          <t>An introduction to psychopathology [by] D. Russell Davis.</t>
        </is>
      </c>
      <c r="F589" t="inlineStr">
        <is>
          <t>No</t>
        </is>
      </c>
      <c r="G589" t="inlineStr">
        <is>
          <t>1</t>
        </is>
      </c>
      <c r="H589" t="inlineStr">
        <is>
          <t>No</t>
        </is>
      </c>
      <c r="I589" t="inlineStr">
        <is>
          <t>No</t>
        </is>
      </c>
      <c r="J589" t="inlineStr">
        <is>
          <t>0</t>
        </is>
      </c>
      <c r="K589" t="inlineStr">
        <is>
          <t>Davis, Derek Russell.</t>
        </is>
      </c>
      <c r="L589" t="inlineStr">
        <is>
          <t>London, New York [etc] Oxford U. P., 1966.</t>
        </is>
      </c>
      <c r="M589" t="inlineStr">
        <is>
          <t>1966</t>
        </is>
      </c>
      <c r="N589" t="inlineStr">
        <is>
          <t>2nd ed.</t>
        </is>
      </c>
      <c r="O589" t="inlineStr">
        <is>
          <t>eng</t>
        </is>
      </c>
      <c r="P589" t="inlineStr">
        <is>
          <t>enk</t>
        </is>
      </c>
      <c r="Q589" t="inlineStr">
        <is>
          <t>Oxford medical publications</t>
        </is>
      </c>
      <c r="R589" t="inlineStr">
        <is>
          <t xml:space="preserve">RC </t>
        </is>
      </c>
      <c r="S589" t="n">
        <v>5</v>
      </c>
      <c r="T589" t="n">
        <v>5</v>
      </c>
      <c r="U589" t="inlineStr">
        <is>
          <t>1995-10-28</t>
        </is>
      </c>
      <c r="V589" t="inlineStr">
        <is>
          <t>1995-10-28</t>
        </is>
      </c>
      <c r="W589" t="inlineStr">
        <is>
          <t>1993-03-22</t>
        </is>
      </c>
      <c r="X589" t="inlineStr">
        <is>
          <t>1993-03-22</t>
        </is>
      </c>
      <c r="Y589" t="n">
        <v>166</v>
      </c>
      <c r="Z589" t="n">
        <v>127</v>
      </c>
      <c r="AA589" t="n">
        <v>318</v>
      </c>
      <c r="AB589" t="n">
        <v>1</v>
      </c>
      <c r="AC589" t="n">
        <v>3</v>
      </c>
      <c r="AD589" t="n">
        <v>1</v>
      </c>
      <c r="AE589" t="n">
        <v>8</v>
      </c>
      <c r="AF589" t="n">
        <v>0</v>
      </c>
      <c r="AG589" t="n">
        <v>1</v>
      </c>
      <c r="AH589" t="n">
        <v>1</v>
      </c>
      <c r="AI589" t="n">
        <v>2</v>
      </c>
      <c r="AJ589" t="n">
        <v>0</v>
      </c>
      <c r="AK589" t="n">
        <v>4</v>
      </c>
      <c r="AL589" t="n">
        <v>0</v>
      </c>
      <c r="AM589" t="n">
        <v>2</v>
      </c>
      <c r="AN589" t="n">
        <v>0</v>
      </c>
      <c r="AO589" t="n">
        <v>0</v>
      </c>
      <c r="AP589" t="inlineStr">
        <is>
          <t>No</t>
        </is>
      </c>
      <c r="AQ589" t="inlineStr">
        <is>
          <t>Yes</t>
        </is>
      </c>
      <c r="AR589">
        <f>HYPERLINK("http://catalog.hathitrust.org/Record/007470582","HathiTrust Record")</f>
        <v/>
      </c>
      <c r="AS589">
        <f>HYPERLINK("https://creighton-primo.hosted.exlibrisgroup.com/primo-explore/search?tab=default_tab&amp;search_scope=EVERYTHING&amp;vid=01CRU&amp;lang=en_US&amp;offset=0&amp;query=any,contains,991004039639702656","Catalog Record")</f>
        <v/>
      </c>
      <c r="AT589">
        <f>HYPERLINK("http://www.worldcat.org/oclc/14492218","WorldCat Record")</f>
        <v/>
      </c>
      <c r="AU589" t="inlineStr">
        <is>
          <t>1515093:eng</t>
        </is>
      </c>
      <c r="AV589" t="inlineStr">
        <is>
          <t>14492218</t>
        </is>
      </c>
      <c r="AW589" t="inlineStr">
        <is>
          <t>991004039639702656</t>
        </is>
      </c>
      <c r="AX589" t="inlineStr">
        <is>
          <t>991004039639702656</t>
        </is>
      </c>
      <c r="AY589" t="inlineStr">
        <is>
          <t>2261475830002656</t>
        </is>
      </c>
      <c r="AZ589" t="inlineStr">
        <is>
          <t>BOOK</t>
        </is>
      </c>
      <c r="BC589" t="inlineStr">
        <is>
          <t>32285001606069</t>
        </is>
      </c>
      <c r="BD589" t="inlineStr">
        <is>
          <t>893324864</t>
        </is>
      </c>
    </row>
    <row r="590">
      <c r="A590" t="inlineStr">
        <is>
          <t>No</t>
        </is>
      </c>
      <c r="B590" t="inlineStr">
        <is>
          <t>RC458 .A73</t>
        </is>
      </c>
      <c r="C590" t="inlineStr">
        <is>
          <t>0                      RC 0458000A  73</t>
        </is>
      </c>
      <c r="D590" t="inlineStr">
        <is>
          <t>On schizophrenia, phobias, depression, psychotherapy, and the farther shores of psychiatry : selected papers of Silvano Arieti.</t>
        </is>
      </c>
      <c r="F590" t="inlineStr">
        <is>
          <t>No</t>
        </is>
      </c>
      <c r="G590" t="inlineStr">
        <is>
          <t>1</t>
        </is>
      </c>
      <c r="H590" t="inlineStr">
        <is>
          <t>No</t>
        </is>
      </c>
      <c r="I590" t="inlineStr">
        <is>
          <t>No</t>
        </is>
      </c>
      <c r="J590" t="inlineStr">
        <is>
          <t>0</t>
        </is>
      </c>
      <c r="K590" t="inlineStr">
        <is>
          <t>Arieti, Silvano.</t>
        </is>
      </c>
      <c r="L590" t="inlineStr">
        <is>
          <t>New York : Brunner/Mazel, c1978.</t>
        </is>
      </c>
      <c r="M590" t="inlineStr">
        <is>
          <t>1978</t>
        </is>
      </c>
      <c r="O590" t="inlineStr">
        <is>
          <t>eng</t>
        </is>
      </c>
      <c r="P590" t="inlineStr">
        <is>
          <t>nyu</t>
        </is>
      </c>
      <c r="R590" t="inlineStr">
        <is>
          <t xml:space="preserve">RC </t>
        </is>
      </c>
      <c r="S590" t="n">
        <v>18</v>
      </c>
      <c r="T590" t="n">
        <v>18</v>
      </c>
      <c r="U590" t="inlineStr">
        <is>
          <t>2009-03-11</t>
        </is>
      </c>
      <c r="V590" t="inlineStr">
        <is>
          <t>2009-03-11</t>
        </is>
      </c>
      <c r="W590" t="inlineStr">
        <is>
          <t>1993-03-23</t>
        </is>
      </c>
      <c r="X590" t="inlineStr">
        <is>
          <t>1993-03-23</t>
        </is>
      </c>
      <c r="Y590" t="n">
        <v>429</v>
      </c>
      <c r="Z590" t="n">
        <v>363</v>
      </c>
      <c r="AA590" t="n">
        <v>369</v>
      </c>
      <c r="AB590" t="n">
        <v>1</v>
      </c>
      <c r="AC590" t="n">
        <v>1</v>
      </c>
      <c r="AD590" t="n">
        <v>13</v>
      </c>
      <c r="AE590" t="n">
        <v>13</v>
      </c>
      <c r="AF590" t="n">
        <v>5</v>
      </c>
      <c r="AG590" t="n">
        <v>5</v>
      </c>
      <c r="AH590" t="n">
        <v>5</v>
      </c>
      <c r="AI590" t="n">
        <v>5</v>
      </c>
      <c r="AJ590" t="n">
        <v>7</v>
      </c>
      <c r="AK590" t="n">
        <v>7</v>
      </c>
      <c r="AL590" t="n">
        <v>0</v>
      </c>
      <c r="AM590" t="n">
        <v>0</v>
      </c>
      <c r="AN590" t="n">
        <v>0</v>
      </c>
      <c r="AO590" t="n">
        <v>0</v>
      </c>
      <c r="AP590" t="inlineStr">
        <is>
          <t>No</t>
        </is>
      </c>
      <c r="AQ590" t="inlineStr">
        <is>
          <t>Yes</t>
        </is>
      </c>
      <c r="AR590">
        <f>HYPERLINK("http://catalog.hathitrust.org/Record/000149308","HathiTrust Record")</f>
        <v/>
      </c>
      <c r="AS590">
        <f>HYPERLINK("https://creighton-primo.hosted.exlibrisgroup.com/primo-explore/search?tab=default_tab&amp;search_scope=EVERYTHING&amp;vid=01CRU&amp;lang=en_US&amp;offset=0&amp;query=any,contains,991004445179702656","Catalog Record")</f>
        <v/>
      </c>
      <c r="AT590">
        <f>HYPERLINK("http://www.worldcat.org/oclc/3481175","WorldCat Record")</f>
        <v/>
      </c>
      <c r="AU590" t="inlineStr">
        <is>
          <t>285138769:eng</t>
        </is>
      </c>
      <c r="AV590" t="inlineStr">
        <is>
          <t>3481175</t>
        </is>
      </c>
      <c r="AW590" t="inlineStr">
        <is>
          <t>991004445179702656</t>
        </is>
      </c>
      <c r="AX590" t="inlineStr">
        <is>
          <t>991004445179702656</t>
        </is>
      </c>
      <c r="AY590" t="inlineStr">
        <is>
          <t>2264440740002656</t>
        </is>
      </c>
      <c r="AZ590" t="inlineStr">
        <is>
          <t>BOOK</t>
        </is>
      </c>
      <c r="BB590" t="inlineStr">
        <is>
          <t>9780876301616</t>
        </is>
      </c>
      <c r="BC590" t="inlineStr">
        <is>
          <t>32285001606077</t>
        </is>
      </c>
      <c r="BD590" t="inlineStr">
        <is>
          <t>893350004</t>
        </is>
      </c>
    </row>
    <row r="591">
      <c r="A591" t="inlineStr">
        <is>
          <t>No</t>
        </is>
      </c>
      <c r="B591" t="inlineStr">
        <is>
          <t>RC458 .N8</t>
        </is>
      </c>
      <c r="C591" t="inlineStr">
        <is>
          <t>0                      RC 0458000N  8</t>
        </is>
      </c>
      <c r="D591" t="inlineStr">
        <is>
          <t>Human values and abnormal behavior; readings in abnormal psychology [edited by] Walter D. Nunokawa.</t>
        </is>
      </c>
      <c r="F591" t="inlineStr">
        <is>
          <t>No</t>
        </is>
      </c>
      <c r="G591" t="inlineStr">
        <is>
          <t>1</t>
        </is>
      </c>
      <c r="H591" t="inlineStr">
        <is>
          <t>No</t>
        </is>
      </c>
      <c r="I591" t="inlineStr">
        <is>
          <t>No</t>
        </is>
      </c>
      <c r="J591" t="inlineStr">
        <is>
          <t>0</t>
        </is>
      </c>
      <c r="K591" t="inlineStr">
        <is>
          <t>Nunokawa, Walter D., editor.</t>
        </is>
      </c>
      <c r="L591" t="inlineStr">
        <is>
          <t>Chicago, Scott, Foresman [1965]</t>
        </is>
      </c>
      <c r="M591" t="inlineStr">
        <is>
          <t>1965</t>
        </is>
      </c>
      <c r="O591" t="inlineStr">
        <is>
          <t>eng</t>
        </is>
      </c>
      <c r="P591" t="inlineStr">
        <is>
          <t>ilu</t>
        </is>
      </c>
      <c r="R591" t="inlineStr">
        <is>
          <t xml:space="preserve">RC </t>
        </is>
      </c>
      <c r="S591" t="n">
        <v>2</v>
      </c>
      <c r="T591" t="n">
        <v>2</v>
      </c>
      <c r="U591" t="inlineStr">
        <is>
          <t>1997-09-24</t>
        </is>
      </c>
      <c r="V591" t="inlineStr">
        <is>
          <t>1997-09-24</t>
        </is>
      </c>
      <c r="W591" t="inlineStr">
        <is>
          <t>1997-08-11</t>
        </is>
      </c>
      <c r="X591" t="inlineStr">
        <is>
          <t>1997-08-11</t>
        </is>
      </c>
      <c r="Y591" t="n">
        <v>402</v>
      </c>
      <c r="Z591" t="n">
        <v>338</v>
      </c>
      <c r="AA591" t="n">
        <v>341</v>
      </c>
      <c r="AB591" t="n">
        <v>3</v>
      </c>
      <c r="AC591" t="n">
        <v>3</v>
      </c>
      <c r="AD591" t="n">
        <v>15</v>
      </c>
      <c r="AE591" t="n">
        <v>15</v>
      </c>
      <c r="AF591" t="n">
        <v>6</v>
      </c>
      <c r="AG591" t="n">
        <v>6</v>
      </c>
      <c r="AH591" t="n">
        <v>2</v>
      </c>
      <c r="AI591" t="n">
        <v>2</v>
      </c>
      <c r="AJ591" t="n">
        <v>10</v>
      </c>
      <c r="AK591" t="n">
        <v>10</v>
      </c>
      <c r="AL591" t="n">
        <v>2</v>
      </c>
      <c r="AM591" t="n">
        <v>2</v>
      </c>
      <c r="AN591" t="n">
        <v>0</v>
      </c>
      <c r="AO591" t="n">
        <v>0</v>
      </c>
      <c r="AP591" t="inlineStr">
        <is>
          <t>No</t>
        </is>
      </c>
      <c r="AQ591" t="inlineStr">
        <is>
          <t>Yes</t>
        </is>
      </c>
      <c r="AR591">
        <f>HYPERLINK("http://catalog.hathitrust.org/Record/001564189","HathiTrust Record")</f>
        <v/>
      </c>
      <c r="AS591">
        <f>HYPERLINK("https://creighton-primo.hosted.exlibrisgroup.com/primo-explore/search?tab=default_tab&amp;search_scope=EVERYTHING&amp;vid=01CRU&amp;lang=en_US&amp;offset=0&amp;query=any,contains,991001955079702656","Catalog Record")</f>
        <v/>
      </c>
      <c r="AT591">
        <f>HYPERLINK("http://www.worldcat.org/oclc/252999","WorldCat Record")</f>
        <v/>
      </c>
      <c r="AU591" t="inlineStr">
        <is>
          <t>1345019:eng</t>
        </is>
      </c>
      <c r="AV591" t="inlineStr">
        <is>
          <t>252999</t>
        </is>
      </c>
      <c r="AW591" t="inlineStr">
        <is>
          <t>991001955079702656</t>
        </is>
      </c>
      <c r="AX591" t="inlineStr">
        <is>
          <t>991001955079702656</t>
        </is>
      </c>
      <c r="AY591" t="inlineStr">
        <is>
          <t>2270096200002656</t>
        </is>
      </c>
      <c r="AZ591" t="inlineStr">
        <is>
          <t>BOOK</t>
        </is>
      </c>
      <c r="BC591" t="inlineStr">
        <is>
          <t>32285003090791</t>
        </is>
      </c>
      <c r="BD591" t="inlineStr">
        <is>
          <t>893797990</t>
        </is>
      </c>
    </row>
    <row r="592">
      <c r="A592" t="inlineStr">
        <is>
          <t>No</t>
        </is>
      </c>
      <c r="B592" t="inlineStr">
        <is>
          <t>RC458 .P75 1975</t>
        </is>
      </c>
      <c r="C592" t="inlineStr">
        <is>
          <t>0                      RC 0458000P  75          1975</t>
        </is>
      </c>
      <c r="D592" t="inlineStr">
        <is>
          <t>Psychotherapy and multiple personality : selected essays / Morton Prince ; edited with an introductory essay by Nathan G. Hale, Jr.</t>
        </is>
      </c>
      <c r="F592" t="inlineStr">
        <is>
          <t>No</t>
        </is>
      </c>
      <c r="G592" t="inlineStr">
        <is>
          <t>1</t>
        </is>
      </c>
      <c r="H592" t="inlineStr">
        <is>
          <t>No</t>
        </is>
      </c>
      <c r="I592" t="inlineStr">
        <is>
          <t>No</t>
        </is>
      </c>
      <c r="J592" t="inlineStr">
        <is>
          <t>0</t>
        </is>
      </c>
      <c r="K592" t="inlineStr">
        <is>
          <t>Prince, Morton, 1854-1929.</t>
        </is>
      </c>
      <c r="L592" t="inlineStr">
        <is>
          <t>Cambridge, Mass. : Harvard University Press, 1975.</t>
        </is>
      </c>
      <c r="M592" t="inlineStr">
        <is>
          <t>1975</t>
        </is>
      </c>
      <c r="O592" t="inlineStr">
        <is>
          <t>eng</t>
        </is>
      </c>
      <c r="P592" t="inlineStr">
        <is>
          <t>mau</t>
        </is>
      </c>
      <c r="R592" t="inlineStr">
        <is>
          <t xml:space="preserve">RC </t>
        </is>
      </c>
      <c r="S592" t="n">
        <v>20</v>
      </c>
      <c r="T592" t="n">
        <v>20</v>
      </c>
      <c r="U592" t="inlineStr">
        <is>
          <t>2002-09-24</t>
        </is>
      </c>
      <c r="V592" t="inlineStr">
        <is>
          <t>2002-09-24</t>
        </is>
      </c>
      <c r="W592" t="inlineStr">
        <is>
          <t>1990-11-30</t>
        </is>
      </c>
      <c r="X592" t="inlineStr">
        <is>
          <t>1990-11-30</t>
        </is>
      </c>
      <c r="Y592" t="n">
        <v>322</v>
      </c>
      <c r="Z592" t="n">
        <v>263</v>
      </c>
      <c r="AA592" t="n">
        <v>265</v>
      </c>
      <c r="AB592" t="n">
        <v>2</v>
      </c>
      <c r="AC592" t="n">
        <v>2</v>
      </c>
      <c r="AD592" t="n">
        <v>12</v>
      </c>
      <c r="AE592" t="n">
        <v>12</v>
      </c>
      <c r="AF592" t="n">
        <v>3</v>
      </c>
      <c r="AG592" t="n">
        <v>3</v>
      </c>
      <c r="AH592" t="n">
        <v>3</v>
      </c>
      <c r="AI592" t="n">
        <v>3</v>
      </c>
      <c r="AJ592" t="n">
        <v>8</v>
      </c>
      <c r="AK592" t="n">
        <v>8</v>
      </c>
      <c r="AL592" t="n">
        <v>1</v>
      </c>
      <c r="AM592" t="n">
        <v>1</v>
      </c>
      <c r="AN592" t="n">
        <v>0</v>
      </c>
      <c r="AO592" t="n">
        <v>0</v>
      </c>
      <c r="AP592" t="inlineStr">
        <is>
          <t>No</t>
        </is>
      </c>
      <c r="AQ592" t="inlineStr">
        <is>
          <t>Yes</t>
        </is>
      </c>
      <c r="AR592">
        <f>HYPERLINK("http://catalog.hathitrust.org/Record/001564191","HathiTrust Record")</f>
        <v/>
      </c>
      <c r="AS592">
        <f>HYPERLINK("https://creighton-primo.hosted.exlibrisgroup.com/primo-explore/search?tab=default_tab&amp;search_scope=EVERYTHING&amp;vid=01CRU&amp;lang=en_US&amp;offset=0&amp;query=any,contains,991003650479702656","Catalog Record")</f>
        <v/>
      </c>
      <c r="AT592">
        <f>HYPERLINK("http://www.worldcat.org/oclc/1254051","WorldCat Record")</f>
        <v/>
      </c>
      <c r="AU592" t="inlineStr">
        <is>
          <t>346858089:eng</t>
        </is>
      </c>
      <c r="AV592" t="inlineStr">
        <is>
          <t>1254051</t>
        </is>
      </c>
      <c r="AW592" t="inlineStr">
        <is>
          <t>991003650479702656</t>
        </is>
      </c>
      <c r="AX592" t="inlineStr">
        <is>
          <t>991003650479702656</t>
        </is>
      </c>
      <c r="AY592" t="inlineStr">
        <is>
          <t>2261498170002656</t>
        </is>
      </c>
      <c r="AZ592" t="inlineStr">
        <is>
          <t>BOOK</t>
        </is>
      </c>
      <c r="BC592" t="inlineStr">
        <is>
          <t>32285000411339</t>
        </is>
      </c>
      <c r="BD592" t="inlineStr">
        <is>
          <t>893318224</t>
        </is>
      </c>
    </row>
    <row r="593">
      <c r="A593" t="inlineStr">
        <is>
          <t>No</t>
        </is>
      </c>
      <c r="B593" t="inlineStr">
        <is>
          <t>RC458 .S23</t>
        </is>
      </c>
      <c r="C593" t="inlineStr">
        <is>
          <t>0                      RC 0458000S  23</t>
        </is>
      </c>
      <c r="D593" t="inlineStr">
        <is>
          <t>Psychopathology today : experimentation, theory and research / [by] William S. Sahakian.</t>
        </is>
      </c>
      <c r="F593" t="inlineStr">
        <is>
          <t>No</t>
        </is>
      </c>
      <c r="G593" t="inlineStr">
        <is>
          <t>1</t>
        </is>
      </c>
      <c r="H593" t="inlineStr">
        <is>
          <t>No</t>
        </is>
      </c>
      <c r="I593" t="inlineStr">
        <is>
          <t>No</t>
        </is>
      </c>
      <c r="J593" t="inlineStr">
        <is>
          <t>0</t>
        </is>
      </c>
      <c r="K593" t="inlineStr">
        <is>
          <t>Sahakian, William S., compiler.</t>
        </is>
      </c>
      <c r="L593" t="inlineStr">
        <is>
          <t>Itasca, Ill. : F. E. Peacock Publishers, [c1970], 1972 printing.</t>
        </is>
      </c>
      <c r="M593" t="inlineStr">
        <is>
          <t>1970</t>
        </is>
      </c>
      <c r="O593" t="inlineStr">
        <is>
          <t>eng</t>
        </is>
      </c>
      <c r="P593" t="inlineStr">
        <is>
          <t>ilu</t>
        </is>
      </c>
      <c r="R593" t="inlineStr">
        <is>
          <t xml:space="preserve">RC </t>
        </is>
      </c>
      <c r="S593" t="n">
        <v>5</v>
      </c>
      <c r="T593" t="n">
        <v>5</v>
      </c>
      <c r="U593" t="inlineStr">
        <is>
          <t>2000-02-07</t>
        </is>
      </c>
      <c r="V593" t="inlineStr">
        <is>
          <t>2000-02-07</t>
        </is>
      </c>
      <c r="W593" t="inlineStr">
        <is>
          <t>1992-04-09</t>
        </is>
      </c>
      <c r="X593" t="inlineStr">
        <is>
          <t>1992-04-09</t>
        </is>
      </c>
      <c r="Y593" t="n">
        <v>294</v>
      </c>
      <c r="Z593" t="n">
        <v>255</v>
      </c>
      <c r="AA593" t="n">
        <v>269</v>
      </c>
      <c r="AB593" t="n">
        <v>2</v>
      </c>
      <c r="AC593" t="n">
        <v>2</v>
      </c>
      <c r="AD593" t="n">
        <v>8</v>
      </c>
      <c r="AE593" t="n">
        <v>9</v>
      </c>
      <c r="AF593" t="n">
        <v>2</v>
      </c>
      <c r="AG593" t="n">
        <v>3</v>
      </c>
      <c r="AH593" t="n">
        <v>1</v>
      </c>
      <c r="AI593" t="n">
        <v>1</v>
      </c>
      <c r="AJ593" t="n">
        <v>5</v>
      </c>
      <c r="AK593" t="n">
        <v>5</v>
      </c>
      <c r="AL593" t="n">
        <v>1</v>
      </c>
      <c r="AM593" t="n">
        <v>1</v>
      </c>
      <c r="AN593" t="n">
        <v>0</v>
      </c>
      <c r="AO593" t="n">
        <v>0</v>
      </c>
      <c r="AP593" t="inlineStr">
        <is>
          <t>No</t>
        </is>
      </c>
      <c r="AQ593" t="inlineStr">
        <is>
          <t>Yes</t>
        </is>
      </c>
      <c r="AR593">
        <f>HYPERLINK("http://catalog.hathitrust.org/Record/001564196","HathiTrust Record")</f>
        <v/>
      </c>
      <c r="AS593">
        <f>HYPERLINK("https://creighton-primo.hosted.exlibrisgroup.com/primo-explore/search?tab=default_tab&amp;search_scope=EVERYTHING&amp;vid=01CRU&amp;lang=en_US&amp;offset=0&amp;query=any,contains,991000538869702656","Catalog Record")</f>
        <v/>
      </c>
      <c r="AT593">
        <f>HYPERLINK("http://www.worldcat.org/oclc/90112","WorldCat Record")</f>
        <v/>
      </c>
      <c r="AU593" t="inlineStr">
        <is>
          <t>198752528:eng</t>
        </is>
      </c>
      <c r="AV593" t="inlineStr">
        <is>
          <t>90112</t>
        </is>
      </c>
      <c r="AW593" t="inlineStr">
        <is>
          <t>991000538869702656</t>
        </is>
      </c>
      <c r="AX593" t="inlineStr">
        <is>
          <t>991000538869702656</t>
        </is>
      </c>
      <c r="AY593" t="inlineStr">
        <is>
          <t>2266217170002656</t>
        </is>
      </c>
      <c r="AZ593" t="inlineStr">
        <is>
          <t>BOOK</t>
        </is>
      </c>
      <c r="BC593" t="inlineStr">
        <is>
          <t>32285001056752</t>
        </is>
      </c>
      <c r="BD593" t="inlineStr">
        <is>
          <t>893771730</t>
        </is>
      </c>
    </row>
    <row r="594">
      <c r="A594" t="inlineStr">
        <is>
          <t>No</t>
        </is>
      </c>
      <c r="B594" t="inlineStr">
        <is>
          <t>RC458 .S85 1964</t>
        </is>
      </c>
      <c r="C594" t="inlineStr">
        <is>
          <t>0                      RC 0458000S  85          1964</t>
        </is>
      </c>
      <c r="D594" t="inlineStr">
        <is>
          <t>The fusion of psychiatry and social science. With introd. and commentaries by Helen Swick Perry.</t>
        </is>
      </c>
      <c r="F594" t="inlineStr">
        <is>
          <t>No</t>
        </is>
      </c>
      <c r="G594" t="inlineStr">
        <is>
          <t>1</t>
        </is>
      </c>
      <c r="H594" t="inlineStr">
        <is>
          <t>No</t>
        </is>
      </c>
      <c r="I594" t="inlineStr">
        <is>
          <t>No</t>
        </is>
      </c>
      <c r="J594" t="inlineStr">
        <is>
          <t>0</t>
        </is>
      </c>
      <c r="K594" t="inlineStr">
        <is>
          <t>Sullivan, Harry Stack, 1892-1949.</t>
        </is>
      </c>
      <c r="L594" t="inlineStr">
        <is>
          <t>New York, Norton [1964]</t>
        </is>
      </c>
      <c r="M594" t="inlineStr">
        <is>
          <t>1964</t>
        </is>
      </c>
      <c r="N594" t="inlineStr">
        <is>
          <t>[1st ed.]</t>
        </is>
      </c>
      <c r="O594" t="inlineStr">
        <is>
          <t>eng</t>
        </is>
      </c>
      <c r="P594" t="inlineStr">
        <is>
          <t>nyu</t>
        </is>
      </c>
      <c r="R594" t="inlineStr">
        <is>
          <t xml:space="preserve">RC </t>
        </is>
      </c>
      <c r="S594" t="n">
        <v>2</v>
      </c>
      <c r="T594" t="n">
        <v>2</v>
      </c>
      <c r="U594" t="inlineStr">
        <is>
          <t>1999-07-13</t>
        </is>
      </c>
      <c r="V594" t="inlineStr">
        <is>
          <t>1999-07-13</t>
        </is>
      </c>
      <c r="W594" t="inlineStr">
        <is>
          <t>1997-08-11</t>
        </is>
      </c>
      <c r="X594" t="inlineStr">
        <is>
          <t>1997-08-11</t>
        </is>
      </c>
      <c r="Y594" t="n">
        <v>614</v>
      </c>
      <c r="Z594" t="n">
        <v>543</v>
      </c>
      <c r="AA594" t="n">
        <v>606</v>
      </c>
      <c r="AB594" t="n">
        <v>3</v>
      </c>
      <c r="AC594" t="n">
        <v>3</v>
      </c>
      <c r="AD594" t="n">
        <v>19</v>
      </c>
      <c r="AE594" t="n">
        <v>19</v>
      </c>
      <c r="AF594" t="n">
        <v>9</v>
      </c>
      <c r="AG594" t="n">
        <v>9</v>
      </c>
      <c r="AH594" t="n">
        <v>3</v>
      </c>
      <c r="AI594" t="n">
        <v>3</v>
      </c>
      <c r="AJ594" t="n">
        <v>11</v>
      </c>
      <c r="AK594" t="n">
        <v>11</v>
      </c>
      <c r="AL594" t="n">
        <v>2</v>
      </c>
      <c r="AM594" t="n">
        <v>2</v>
      </c>
      <c r="AN594" t="n">
        <v>0</v>
      </c>
      <c r="AO594" t="n">
        <v>0</v>
      </c>
      <c r="AP594" t="inlineStr">
        <is>
          <t>No</t>
        </is>
      </c>
      <c r="AQ594" t="inlineStr">
        <is>
          <t>Yes</t>
        </is>
      </c>
      <c r="AR594">
        <f>HYPERLINK("http://catalog.hathitrust.org/Record/001564202","HathiTrust Record")</f>
        <v/>
      </c>
      <c r="AS594">
        <f>HYPERLINK("https://creighton-primo.hosted.exlibrisgroup.com/primo-explore/search?tab=default_tab&amp;search_scope=EVERYTHING&amp;vid=01CRU&amp;lang=en_US&amp;offset=0&amp;query=any,contains,991002903549702656","Catalog Record")</f>
        <v/>
      </c>
      <c r="AT594">
        <f>HYPERLINK("http://www.worldcat.org/oclc/518350","WorldCat Record")</f>
        <v/>
      </c>
      <c r="AU594" t="inlineStr">
        <is>
          <t>1508273:eng</t>
        </is>
      </c>
      <c r="AV594" t="inlineStr">
        <is>
          <t>518350</t>
        </is>
      </c>
      <c r="AW594" t="inlineStr">
        <is>
          <t>991002903549702656</t>
        </is>
      </c>
      <c r="AX594" t="inlineStr">
        <is>
          <t>991002903549702656</t>
        </is>
      </c>
      <c r="AY594" t="inlineStr">
        <is>
          <t>2255842610002656</t>
        </is>
      </c>
      <c r="AZ594" t="inlineStr">
        <is>
          <t>BOOK</t>
        </is>
      </c>
      <c r="BC594" t="inlineStr">
        <is>
          <t>32285003090833</t>
        </is>
      </c>
      <c r="BD594" t="inlineStr">
        <is>
          <t>893251759</t>
        </is>
      </c>
    </row>
    <row r="595">
      <c r="A595" t="inlineStr">
        <is>
          <t>No</t>
        </is>
      </c>
      <c r="B595" t="inlineStr">
        <is>
          <t>RC460 .G55 1961</t>
        </is>
      </c>
      <c r="C595" t="inlineStr">
        <is>
          <t>0                      RC 0460000G  55          1961</t>
        </is>
      </c>
      <c r="D595" t="inlineStr">
        <is>
          <t>Mental health or mental illness? : Psychiatry for practical action / by William Glasser.</t>
        </is>
      </c>
      <c r="F595" t="inlineStr">
        <is>
          <t>No</t>
        </is>
      </c>
      <c r="G595" t="inlineStr">
        <is>
          <t>1</t>
        </is>
      </c>
      <c r="H595" t="inlineStr">
        <is>
          <t>No</t>
        </is>
      </c>
      <c r="I595" t="inlineStr">
        <is>
          <t>No</t>
        </is>
      </c>
      <c r="J595" t="inlineStr">
        <is>
          <t>0</t>
        </is>
      </c>
      <c r="K595" t="inlineStr">
        <is>
          <t>Glasser, William, 1925-2013.</t>
        </is>
      </c>
      <c r="L595" t="inlineStr">
        <is>
          <t>New York : Harper, [1961, c1960]</t>
        </is>
      </c>
      <c r="M595" t="inlineStr">
        <is>
          <t>1961</t>
        </is>
      </c>
      <c r="N595" t="inlineStr">
        <is>
          <t>[1st ed.]</t>
        </is>
      </c>
      <c r="O595" t="inlineStr">
        <is>
          <t>eng</t>
        </is>
      </c>
      <c r="P595" t="inlineStr">
        <is>
          <t>nyu</t>
        </is>
      </c>
      <c r="R595" t="inlineStr">
        <is>
          <t xml:space="preserve">RC </t>
        </is>
      </c>
      <c r="S595" t="n">
        <v>7</v>
      </c>
      <c r="T595" t="n">
        <v>7</v>
      </c>
      <c r="U595" t="inlineStr">
        <is>
          <t>2001-04-08</t>
        </is>
      </c>
      <c r="V595" t="inlineStr">
        <is>
          <t>2001-04-08</t>
        </is>
      </c>
      <c r="W595" t="inlineStr">
        <is>
          <t>1992-04-15</t>
        </is>
      </c>
      <c r="X595" t="inlineStr">
        <is>
          <t>1992-04-15</t>
        </is>
      </c>
      <c r="Y595" t="n">
        <v>494</v>
      </c>
      <c r="Z595" t="n">
        <v>460</v>
      </c>
      <c r="AA595" t="n">
        <v>671</v>
      </c>
      <c r="AB595" t="n">
        <v>4</v>
      </c>
      <c r="AC595" t="n">
        <v>4</v>
      </c>
      <c r="AD595" t="n">
        <v>11</v>
      </c>
      <c r="AE595" t="n">
        <v>18</v>
      </c>
      <c r="AF595" t="n">
        <v>5</v>
      </c>
      <c r="AG595" t="n">
        <v>8</v>
      </c>
      <c r="AH595" t="n">
        <v>1</v>
      </c>
      <c r="AI595" t="n">
        <v>1</v>
      </c>
      <c r="AJ595" t="n">
        <v>4</v>
      </c>
      <c r="AK595" t="n">
        <v>10</v>
      </c>
      <c r="AL595" t="n">
        <v>2</v>
      </c>
      <c r="AM595" t="n">
        <v>2</v>
      </c>
      <c r="AN595" t="n">
        <v>0</v>
      </c>
      <c r="AO595" t="n">
        <v>0</v>
      </c>
      <c r="AP595" t="inlineStr">
        <is>
          <t>No</t>
        </is>
      </c>
      <c r="AQ595" t="inlineStr">
        <is>
          <t>Yes</t>
        </is>
      </c>
      <c r="AR595">
        <f>HYPERLINK("http://catalog.hathitrust.org/Record/001564220","HathiTrust Record")</f>
        <v/>
      </c>
      <c r="AS595">
        <f>HYPERLINK("https://creighton-primo.hosted.exlibrisgroup.com/primo-explore/search?tab=default_tab&amp;search_scope=EVERYTHING&amp;vid=01CRU&amp;lang=en_US&amp;offset=0&amp;query=any,contains,991003093129702656","Catalog Record")</f>
        <v/>
      </c>
      <c r="AT595">
        <f>HYPERLINK("http://www.worldcat.org/oclc/643397","WorldCat Record")</f>
        <v/>
      </c>
      <c r="AU595" t="inlineStr">
        <is>
          <t>1803675:eng</t>
        </is>
      </c>
      <c r="AV595" t="inlineStr">
        <is>
          <t>643397</t>
        </is>
      </c>
      <c r="AW595" t="inlineStr">
        <is>
          <t>991003093129702656</t>
        </is>
      </c>
      <c r="AX595" t="inlineStr">
        <is>
          <t>991003093129702656</t>
        </is>
      </c>
      <c r="AY595" t="inlineStr">
        <is>
          <t>2258267310002656</t>
        </is>
      </c>
      <c r="AZ595" t="inlineStr">
        <is>
          <t>BOOK</t>
        </is>
      </c>
      <c r="BC595" t="inlineStr">
        <is>
          <t>32285001060614</t>
        </is>
      </c>
      <c r="BD595" t="inlineStr">
        <is>
          <t>893805415</t>
        </is>
      </c>
    </row>
    <row r="596">
      <c r="A596" t="inlineStr">
        <is>
          <t>No</t>
        </is>
      </c>
      <c r="B596" t="inlineStr">
        <is>
          <t>RC460 .J63</t>
        </is>
      </c>
      <c r="C596" t="inlineStr">
        <is>
          <t>0                      RC 0460000J  63</t>
        </is>
      </c>
      <c r="D596" t="inlineStr">
        <is>
          <t>Mental health &amp; mental illness [by] Mabyl K. Johnston.</t>
        </is>
      </c>
      <c r="F596" t="inlineStr">
        <is>
          <t>No</t>
        </is>
      </c>
      <c r="G596" t="inlineStr">
        <is>
          <t>1</t>
        </is>
      </c>
      <c r="H596" t="inlineStr">
        <is>
          <t>No</t>
        </is>
      </c>
      <c r="I596" t="inlineStr">
        <is>
          <t>No</t>
        </is>
      </c>
      <c r="J596" t="inlineStr">
        <is>
          <t>0</t>
        </is>
      </c>
      <c r="K596" t="inlineStr">
        <is>
          <t>Johnston, Mabyl K.</t>
        </is>
      </c>
      <c r="L596" t="inlineStr">
        <is>
          <t>Philadelphia, Lippincott [1971]</t>
        </is>
      </c>
      <c r="M596" t="inlineStr">
        <is>
          <t>1971</t>
        </is>
      </c>
      <c r="O596" t="inlineStr">
        <is>
          <t>eng</t>
        </is>
      </c>
      <c r="P596" t="inlineStr">
        <is>
          <t>pau</t>
        </is>
      </c>
      <c r="R596" t="inlineStr">
        <is>
          <t xml:space="preserve">RC </t>
        </is>
      </c>
      <c r="S596" t="n">
        <v>1</v>
      </c>
      <c r="T596" t="n">
        <v>1</v>
      </c>
      <c r="U596" t="inlineStr">
        <is>
          <t>1996-04-17</t>
        </is>
      </c>
      <c r="V596" t="inlineStr">
        <is>
          <t>1996-04-17</t>
        </is>
      </c>
      <c r="W596" t="inlineStr">
        <is>
          <t>1992-04-02</t>
        </is>
      </c>
      <c r="X596" t="inlineStr">
        <is>
          <t>1992-04-02</t>
        </is>
      </c>
      <c r="Y596" t="n">
        <v>181</v>
      </c>
      <c r="Z596" t="n">
        <v>156</v>
      </c>
      <c r="AA596" t="n">
        <v>156</v>
      </c>
      <c r="AB596" t="n">
        <v>3</v>
      </c>
      <c r="AC596" t="n">
        <v>3</v>
      </c>
      <c r="AD596" t="n">
        <v>6</v>
      </c>
      <c r="AE596" t="n">
        <v>6</v>
      </c>
      <c r="AF596" t="n">
        <v>2</v>
      </c>
      <c r="AG596" t="n">
        <v>2</v>
      </c>
      <c r="AH596" t="n">
        <v>0</v>
      </c>
      <c r="AI596" t="n">
        <v>0</v>
      </c>
      <c r="AJ596" t="n">
        <v>3</v>
      </c>
      <c r="AK596" t="n">
        <v>3</v>
      </c>
      <c r="AL596" t="n">
        <v>2</v>
      </c>
      <c r="AM596" t="n">
        <v>2</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HYPERLINK("https://creighton-primo.hosted.exlibrisgroup.com/primo-explore/search?tab=default_tab&amp;search_scope=EVERYTHING&amp;vid=01CRU&amp;lang=en_US&amp;offset=0&amp;query=any,contains,991000820449702656","Catalog Record")</f>
        <v/>
      </c>
      <c r="AT596">
        <f>HYPERLINK("http://www.worldcat.org/oclc/144528","WorldCat Record")</f>
        <v/>
      </c>
      <c r="AU596" t="inlineStr">
        <is>
          <t>3768586644:eng</t>
        </is>
      </c>
      <c r="AV596" t="inlineStr">
        <is>
          <t>144528</t>
        </is>
      </c>
      <c r="AW596" t="inlineStr">
        <is>
          <t>991000820449702656</t>
        </is>
      </c>
      <c r="AX596" t="inlineStr">
        <is>
          <t>991000820449702656</t>
        </is>
      </c>
      <c r="AY596" t="inlineStr">
        <is>
          <t>2257526500002656</t>
        </is>
      </c>
      <c r="AZ596" t="inlineStr">
        <is>
          <t>BOOK</t>
        </is>
      </c>
      <c r="BC596" t="inlineStr">
        <is>
          <t>32285001050946</t>
        </is>
      </c>
      <c r="BD596" t="inlineStr">
        <is>
          <t>893683784</t>
        </is>
      </c>
    </row>
    <row r="597">
      <c r="A597" t="inlineStr">
        <is>
          <t>No</t>
        </is>
      </c>
      <c r="B597" t="inlineStr">
        <is>
          <t>RC460 .M53</t>
        </is>
      </c>
      <c r="C597" t="inlineStr">
        <is>
          <t>0                      RC 0460000M  53</t>
        </is>
      </c>
      <c r="D597" t="inlineStr">
        <is>
          <t>Your inner child of the past.</t>
        </is>
      </c>
      <c r="F597" t="inlineStr">
        <is>
          <t>No</t>
        </is>
      </c>
      <c r="G597" t="inlineStr">
        <is>
          <t>1</t>
        </is>
      </c>
      <c r="H597" t="inlineStr">
        <is>
          <t>No</t>
        </is>
      </c>
      <c r="I597" t="inlineStr">
        <is>
          <t>No</t>
        </is>
      </c>
      <c r="J597" t="inlineStr">
        <is>
          <t>0</t>
        </is>
      </c>
      <c r="K597" t="inlineStr">
        <is>
          <t>Missildine, W. Hugh (Whitney Hugh), 1915-</t>
        </is>
      </c>
      <c r="L597" t="inlineStr">
        <is>
          <t>New York : Simon and Schuster, 1963.</t>
        </is>
      </c>
      <c r="M597" t="inlineStr">
        <is>
          <t>1963</t>
        </is>
      </c>
      <c r="O597" t="inlineStr">
        <is>
          <t>eng</t>
        </is>
      </c>
      <c r="P597" t="inlineStr">
        <is>
          <t>nyu</t>
        </is>
      </c>
      <c r="R597" t="inlineStr">
        <is>
          <t xml:space="preserve">RC </t>
        </is>
      </c>
      <c r="S597" t="n">
        <v>7</v>
      </c>
      <c r="T597" t="n">
        <v>7</v>
      </c>
      <c r="U597" t="inlineStr">
        <is>
          <t>2000-08-28</t>
        </is>
      </c>
      <c r="V597" t="inlineStr">
        <is>
          <t>2000-08-28</t>
        </is>
      </c>
      <c r="W597" t="inlineStr">
        <is>
          <t>1993-04-14</t>
        </is>
      </c>
      <c r="X597" t="inlineStr">
        <is>
          <t>1993-04-14</t>
        </is>
      </c>
      <c r="Y597" t="n">
        <v>856</v>
      </c>
      <c r="Z597" t="n">
        <v>800</v>
      </c>
      <c r="AA597" t="n">
        <v>871</v>
      </c>
      <c r="AB597" t="n">
        <v>9</v>
      </c>
      <c r="AC597" t="n">
        <v>9</v>
      </c>
      <c r="AD597" t="n">
        <v>24</v>
      </c>
      <c r="AE597" t="n">
        <v>25</v>
      </c>
      <c r="AF597" t="n">
        <v>10</v>
      </c>
      <c r="AG597" t="n">
        <v>11</v>
      </c>
      <c r="AH597" t="n">
        <v>4</v>
      </c>
      <c r="AI597" t="n">
        <v>4</v>
      </c>
      <c r="AJ597" t="n">
        <v>13</v>
      </c>
      <c r="AK597" t="n">
        <v>14</v>
      </c>
      <c r="AL597" t="n">
        <v>3</v>
      </c>
      <c r="AM597" t="n">
        <v>3</v>
      </c>
      <c r="AN597" t="n">
        <v>0</v>
      </c>
      <c r="AO597" t="n">
        <v>0</v>
      </c>
      <c r="AP597" t="inlineStr">
        <is>
          <t>No</t>
        </is>
      </c>
      <c r="AQ597" t="inlineStr">
        <is>
          <t>Yes</t>
        </is>
      </c>
      <c r="AR597">
        <f>HYPERLINK("http://catalog.hathitrust.org/Record/002479170","HathiTrust Record")</f>
        <v/>
      </c>
      <c r="AS597">
        <f>HYPERLINK("https://creighton-primo.hosted.exlibrisgroup.com/primo-explore/search?tab=default_tab&amp;search_scope=EVERYTHING&amp;vid=01CRU&amp;lang=en_US&amp;offset=0&amp;query=any,contains,991005266349702656","Catalog Record")</f>
        <v/>
      </c>
      <c r="AT597">
        <f>HYPERLINK("http://www.worldcat.org/oclc/275685","WorldCat Record")</f>
        <v/>
      </c>
      <c r="AU597" t="inlineStr">
        <is>
          <t>348485287:eng</t>
        </is>
      </c>
      <c r="AV597" t="inlineStr">
        <is>
          <t>275685</t>
        </is>
      </c>
      <c r="AW597" t="inlineStr">
        <is>
          <t>991005266349702656</t>
        </is>
      </c>
      <c r="AX597" t="inlineStr">
        <is>
          <t>991005266349702656</t>
        </is>
      </c>
      <c r="AY597" t="inlineStr">
        <is>
          <t>2263409210002656</t>
        </is>
      </c>
      <c r="AZ597" t="inlineStr">
        <is>
          <t>BOOK</t>
        </is>
      </c>
      <c r="BC597" t="inlineStr">
        <is>
          <t>32285001618759</t>
        </is>
      </c>
      <c r="BD597" t="inlineStr">
        <is>
          <t>893713767</t>
        </is>
      </c>
    </row>
    <row r="598">
      <c r="A598" t="inlineStr">
        <is>
          <t>No</t>
        </is>
      </c>
      <c r="B598" t="inlineStr">
        <is>
          <t>RC461 .H812 1986</t>
        </is>
      </c>
      <c r="C598" t="inlineStr">
        <is>
          <t>0                      RC 0461000H  812         1986</t>
        </is>
      </c>
      <c r="D598" t="inlineStr">
        <is>
          <t>Dianetics, the modern science of mental health : a handbook of Dianetics procedure / L. Ron Hubbard.</t>
        </is>
      </c>
      <c r="F598" t="inlineStr">
        <is>
          <t>No</t>
        </is>
      </c>
      <c r="G598" t="inlineStr">
        <is>
          <t>1</t>
        </is>
      </c>
      <c r="H598" t="inlineStr">
        <is>
          <t>No</t>
        </is>
      </c>
      <c r="I598" t="inlineStr">
        <is>
          <t>No</t>
        </is>
      </c>
      <c r="J598" t="inlineStr">
        <is>
          <t>0</t>
        </is>
      </c>
      <c r="K598" t="inlineStr">
        <is>
          <t>Hubbard, L. Ron (La Fayette Ron), 1911-1986.</t>
        </is>
      </c>
      <c r="L598" t="inlineStr">
        <is>
          <t>Los Angeles, CA : Bridge Publications, 1986, c1985.</t>
        </is>
      </c>
      <c r="M598" t="inlineStr">
        <is>
          <t>1986</t>
        </is>
      </c>
      <c r="N598" t="inlineStr">
        <is>
          <t>2nd ed., commemorative ed.</t>
        </is>
      </c>
      <c r="O598" t="inlineStr">
        <is>
          <t>eng</t>
        </is>
      </c>
      <c r="P598" t="inlineStr">
        <is>
          <t>cau</t>
        </is>
      </c>
      <c r="R598" t="inlineStr">
        <is>
          <t xml:space="preserve">RC </t>
        </is>
      </c>
      <c r="S598" t="n">
        <v>10</v>
      </c>
      <c r="T598" t="n">
        <v>10</v>
      </c>
      <c r="U598" t="inlineStr">
        <is>
          <t>2003-11-20</t>
        </is>
      </c>
      <c r="V598" t="inlineStr">
        <is>
          <t>2003-11-20</t>
        </is>
      </c>
      <c r="W598" t="inlineStr">
        <is>
          <t>1990-03-13</t>
        </is>
      </c>
      <c r="X598" t="inlineStr">
        <is>
          <t>1990-03-13</t>
        </is>
      </c>
      <c r="Y598" t="n">
        <v>284</v>
      </c>
      <c r="Z598" t="n">
        <v>280</v>
      </c>
      <c r="AA598" t="n">
        <v>1601</v>
      </c>
      <c r="AB598" t="n">
        <v>6</v>
      </c>
      <c r="AC598" t="n">
        <v>25</v>
      </c>
      <c r="AD598" t="n">
        <v>10</v>
      </c>
      <c r="AE598" t="n">
        <v>34</v>
      </c>
      <c r="AF598" t="n">
        <v>4</v>
      </c>
      <c r="AG598" t="n">
        <v>16</v>
      </c>
      <c r="AH598" t="n">
        <v>2</v>
      </c>
      <c r="AI598" t="n">
        <v>8</v>
      </c>
      <c r="AJ598" t="n">
        <v>3</v>
      </c>
      <c r="AK598" t="n">
        <v>9</v>
      </c>
      <c r="AL598" t="n">
        <v>2</v>
      </c>
      <c r="AM598" t="n">
        <v>6</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HYPERLINK("https://creighton-primo.hosted.exlibrisgroup.com/primo-explore/search?tab=default_tab&amp;search_scope=EVERYTHING&amp;vid=01CRU&amp;lang=en_US&amp;offset=0&amp;query=any,contains,991001058329702656","Catalog Record")</f>
        <v/>
      </c>
      <c r="AT598">
        <f>HYPERLINK("http://www.worldcat.org/oclc/15709381","WorldCat Record")</f>
        <v/>
      </c>
      <c r="AU598" t="inlineStr">
        <is>
          <t>3969239710:eng</t>
        </is>
      </c>
      <c r="AV598" t="inlineStr">
        <is>
          <t>15709381</t>
        </is>
      </c>
      <c r="AW598" t="inlineStr">
        <is>
          <t>991001058329702656</t>
        </is>
      </c>
      <c r="AX598" t="inlineStr">
        <is>
          <t>991001058329702656</t>
        </is>
      </c>
      <c r="AY598" t="inlineStr">
        <is>
          <t>2255658970002656</t>
        </is>
      </c>
      <c r="AZ598" t="inlineStr">
        <is>
          <t>BOOK</t>
        </is>
      </c>
      <c r="BB598" t="inlineStr">
        <is>
          <t>9780884042693</t>
        </is>
      </c>
      <c r="BC598" t="inlineStr">
        <is>
          <t>32285000065952</t>
        </is>
      </c>
      <c r="BD598" t="inlineStr">
        <is>
          <t>893683981</t>
        </is>
      </c>
    </row>
    <row r="599">
      <c r="A599" t="inlineStr">
        <is>
          <t>No</t>
        </is>
      </c>
      <c r="B599" t="inlineStr">
        <is>
          <t>RC463 .K3</t>
        </is>
      </c>
      <c r="C599" t="inlineStr">
        <is>
          <t>0                      RC 0463000K  3</t>
        </is>
      </c>
      <c r="D599" t="inlineStr">
        <is>
          <t>The inner world of mental illness : a series of first-person accounts of what it was like.</t>
        </is>
      </c>
      <c r="F599" t="inlineStr">
        <is>
          <t>No</t>
        </is>
      </c>
      <c r="G599" t="inlineStr">
        <is>
          <t>1</t>
        </is>
      </c>
      <c r="H599" t="inlineStr">
        <is>
          <t>No</t>
        </is>
      </c>
      <c r="I599" t="inlineStr">
        <is>
          <t>No</t>
        </is>
      </c>
      <c r="J599" t="inlineStr">
        <is>
          <t>0</t>
        </is>
      </c>
      <c r="K599" t="inlineStr">
        <is>
          <t>Kaplan, Bert, 1919-2006 editor.</t>
        </is>
      </c>
      <c r="L599" t="inlineStr">
        <is>
          <t>New York : Harper and Row, [1964]</t>
        </is>
      </c>
      <c r="M599" t="inlineStr">
        <is>
          <t>1964</t>
        </is>
      </c>
      <c r="O599" t="inlineStr">
        <is>
          <t>eng</t>
        </is>
      </c>
      <c r="P599" t="inlineStr">
        <is>
          <t>nyu</t>
        </is>
      </c>
      <c r="R599" t="inlineStr">
        <is>
          <t xml:space="preserve">RC </t>
        </is>
      </c>
      <c r="S599" t="n">
        <v>6</v>
      </c>
      <c r="T599" t="n">
        <v>6</v>
      </c>
      <c r="U599" t="inlineStr">
        <is>
          <t>2008-07-22</t>
        </is>
      </c>
      <c r="V599" t="inlineStr">
        <is>
          <t>2008-07-22</t>
        </is>
      </c>
      <c r="W599" t="inlineStr">
        <is>
          <t>1990-04-10</t>
        </is>
      </c>
      <c r="X599" t="inlineStr">
        <is>
          <t>1990-04-10</t>
        </is>
      </c>
      <c r="Y599" t="n">
        <v>850</v>
      </c>
      <c r="Z599" t="n">
        <v>738</v>
      </c>
      <c r="AA599" t="n">
        <v>745</v>
      </c>
      <c r="AB599" t="n">
        <v>5</v>
      </c>
      <c r="AC599" t="n">
        <v>5</v>
      </c>
      <c r="AD599" t="n">
        <v>22</v>
      </c>
      <c r="AE599" t="n">
        <v>22</v>
      </c>
      <c r="AF599" t="n">
        <v>8</v>
      </c>
      <c r="AG599" t="n">
        <v>8</v>
      </c>
      <c r="AH599" t="n">
        <v>3</v>
      </c>
      <c r="AI599" t="n">
        <v>3</v>
      </c>
      <c r="AJ599" t="n">
        <v>12</v>
      </c>
      <c r="AK599" t="n">
        <v>12</v>
      </c>
      <c r="AL599" t="n">
        <v>3</v>
      </c>
      <c r="AM599" t="n">
        <v>3</v>
      </c>
      <c r="AN599" t="n">
        <v>0</v>
      </c>
      <c r="AO599" t="n">
        <v>0</v>
      </c>
      <c r="AP599" t="inlineStr">
        <is>
          <t>No</t>
        </is>
      </c>
      <c r="AQ599" t="inlineStr">
        <is>
          <t>Yes</t>
        </is>
      </c>
      <c r="AR599">
        <f>HYPERLINK("http://catalog.hathitrust.org/Record/001564245","HathiTrust Record")</f>
        <v/>
      </c>
      <c r="AS599">
        <f>HYPERLINK("https://creighton-primo.hosted.exlibrisgroup.com/primo-explore/search?tab=default_tab&amp;search_scope=EVERYTHING&amp;vid=01CRU&amp;lang=en_US&amp;offset=0&amp;query=any,contains,991002168769702656","Catalog Record")</f>
        <v/>
      </c>
      <c r="AT599">
        <f>HYPERLINK("http://www.worldcat.org/oclc/276211","WorldCat Record")</f>
        <v/>
      </c>
      <c r="AU599" t="inlineStr">
        <is>
          <t>403593:eng</t>
        </is>
      </c>
      <c r="AV599" t="inlineStr">
        <is>
          <t>276211</t>
        </is>
      </c>
      <c r="AW599" t="inlineStr">
        <is>
          <t>991002168769702656</t>
        </is>
      </c>
      <c r="AX599" t="inlineStr">
        <is>
          <t>991002168769702656</t>
        </is>
      </c>
      <c r="AY599" t="inlineStr">
        <is>
          <t>2261812560002656</t>
        </is>
      </c>
      <c r="AZ599" t="inlineStr">
        <is>
          <t>BOOK</t>
        </is>
      </c>
      <c r="BC599" t="inlineStr">
        <is>
          <t>32285000104553</t>
        </is>
      </c>
      <c r="BD599" t="inlineStr">
        <is>
          <t>893322635</t>
        </is>
      </c>
    </row>
    <row r="600">
      <c r="A600" t="inlineStr">
        <is>
          <t>No</t>
        </is>
      </c>
      <c r="B600" t="inlineStr">
        <is>
          <t>RC463 .K7 1961</t>
        </is>
      </c>
      <c r="C600" t="inlineStr">
        <is>
          <t>0                      RC 0463000K  7           1961</t>
        </is>
      </c>
      <c r="D600" t="inlineStr">
        <is>
          <t>My fight for sanity / by Judith Kruger.</t>
        </is>
      </c>
      <c r="F600" t="inlineStr">
        <is>
          <t>No</t>
        </is>
      </c>
      <c r="G600" t="inlineStr">
        <is>
          <t>1</t>
        </is>
      </c>
      <c r="H600" t="inlineStr">
        <is>
          <t>No</t>
        </is>
      </c>
      <c r="I600" t="inlineStr">
        <is>
          <t>No</t>
        </is>
      </c>
      <c r="J600" t="inlineStr">
        <is>
          <t>0</t>
        </is>
      </c>
      <c r="K600" t="inlineStr">
        <is>
          <t>Kruger, Judith.</t>
        </is>
      </c>
      <c r="L600" t="inlineStr">
        <is>
          <t>London : Hammond, Hammond, 1961, c1959.</t>
        </is>
      </c>
      <c r="M600" t="inlineStr">
        <is>
          <t>1961</t>
        </is>
      </c>
      <c r="O600" t="inlineStr">
        <is>
          <t>eng</t>
        </is>
      </c>
      <c r="P600" t="inlineStr">
        <is>
          <t>enk</t>
        </is>
      </c>
      <c r="R600" t="inlineStr">
        <is>
          <t xml:space="preserve">RC </t>
        </is>
      </c>
      <c r="S600" t="n">
        <v>7</v>
      </c>
      <c r="T600" t="n">
        <v>7</v>
      </c>
      <c r="U600" t="inlineStr">
        <is>
          <t>2001-06-05</t>
        </is>
      </c>
      <c r="V600" t="inlineStr">
        <is>
          <t>2001-06-05</t>
        </is>
      </c>
      <c r="W600" t="inlineStr">
        <is>
          <t>1990-04-10</t>
        </is>
      </c>
      <c r="X600" t="inlineStr">
        <is>
          <t>1990-04-10</t>
        </is>
      </c>
      <c r="Y600" t="n">
        <v>28</v>
      </c>
      <c r="Z600" t="n">
        <v>17</v>
      </c>
      <c r="AA600" t="n">
        <v>156</v>
      </c>
      <c r="AB600" t="n">
        <v>1</v>
      </c>
      <c r="AC600" t="n">
        <v>2</v>
      </c>
      <c r="AD600" t="n">
        <v>1</v>
      </c>
      <c r="AE600" t="n">
        <v>5</v>
      </c>
      <c r="AF600" t="n">
        <v>0</v>
      </c>
      <c r="AG600" t="n">
        <v>2</v>
      </c>
      <c r="AH600" t="n">
        <v>0</v>
      </c>
      <c r="AI600" t="n">
        <v>0</v>
      </c>
      <c r="AJ600" t="n">
        <v>1</v>
      </c>
      <c r="AK600" t="n">
        <v>4</v>
      </c>
      <c r="AL600" t="n">
        <v>0</v>
      </c>
      <c r="AM600" t="n">
        <v>0</v>
      </c>
      <c r="AN600" t="n">
        <v>0</v>
      </c>
      <c r="AO600" t="n">
        <v>0</v>
      </c>
      <c r="AP600" t="inlineStr">
        <is>
          <t>No</t>
        </is>
      </c>
      <c r="AQ600" t="inlineStr">
        <is>
          <t>Yes</t>
        </is>
      </c>
      <c r="AR600">
        <f>HYPERLINK("http://catalog.hathitrust.org/Record/009915443","HathiTrust Record")</f>
        <v/>
      </c>
      <c r="AS600">
        <f>HYPERLINK("https://creighton-primo.hosted.exlibrisgroup.com/primo-explore/search?tab=default_tab&amp;search_scope=EVERYTHING&amp;vid=01CRU&amp;lang=en_US&amp;offset=0&amp;query=any,contains,991004810429702656","Catalog Record")</f>
        <v/>
      </c>
      <c r="AT600">
        <f>HYPERLINK("http://www.worldcat.org/oclc/5271968","WorldCat Record")</f>
        <v/>
      </c>
      <c r="AU600" t="inlineStr">
        <is>
          <t>2242549:eng</t>
        </is>
      </c>
      <c r="AV600" t="inlineStr">
        <is>
          <t>5271968</t>
        </is>
      </c>
      <c r="AW600" t="inlineStr">
        <is>
          <t>991004810429702656</t>
        </is>
      </c>
      <c r="AX600" t="inlineStr">
        <is>
          <t>991004810429702656</t>
        </is>
      </c>
      <c r="AY600" t="inlineStr">
        <is>
          <t>2271223210002656</t>
        </is>
      </c>
      <c r="AZ600" t="inlineStr">
        <is>
          <t>BOOK</t>
        </is>
      </c>
      <c r="BC600" t="inlineStr">
        <is>
          <t>32285000104546</t>
        </is>
      </c>
      <c r="BD600" t="inlineStr">
        <is>
          <t>893248011</t>
        </is>
      </c>
    </row>
    <row r="601">
      <c r="A601" t="inlineStr">
        <is>
          <t>No</t>
        </is>
      </c>
      <c r="B601" t="inlineStr">
        <is>
          <t>RC464.R4 A33</t>
        </is>
      </c>
      <c r="C601" t="inlineStr">
        <is>
          <t>0                      RC 0464000R  4                  A  33</t>
        </is>
      </c>
      <c r="D601" t="inlineStr">
        <is>
          <t>Anna / by David Reed.</t>
        </is>
      </c>
      <c r="F601" t="inlineStr">
        <is>
          <t>No</t>
        </is>
      </c>
      <c r="G601" t="inlineStr">
        <is>
          <t>1</t>
        </is>
      </c>
      <c r="H601" t="inlineStr">
        <is>
          <t>No</t>
        </is>
      </c>
      <c r="I601" t="inlineStr">
        <is>
          <t>No</t>
        </is>
      </c>
      <c r="J601" t="inlineStr">
        <is>
          <t>0</t>
        </is>
      </c>
      <c r="K601" t="inlineStr">
        <is>
          <t>Reed, David, 1944-</t>
        </is>
      </c>
      <c r="L601" t="inlineStr">
        <is>
          <t>New York : Basic Books, c1976.</t>
        </is>
      </c>
      <c r="M601" t="inlineStr">
        <is>
          <t>1976</t>
        </is>
      </c>
      <c r="O601" t="inlineStr">
        <is>
          <t>eng</t>
        </is>
      </c>
      <c r="P601" t="inlineStr">
        <is>
          <t>nyu</t>
        </is>
      </c>
      <c r="R601" t="inlineStr">
        <is>
          <t xml:space="preserve">RC </t>
        </is>
      </c>
      <c r="S601" t="n">
        <v>1</v>
      </c>
      <c r="T601" t="n">
        <v>1</v>
      </c>
      <c r="U601" t="inlineStr">
        <is>
          <t>2001-06-05</t>
        </is>
      </c>
      <c r="V601" t="inlineStr">
        <is>
          <t>2001-06-05</t>
        </is>
      </c>
      <c r="W601" t="inlineStr">
        <is>
          <t>1992-11-05</t>
        </is>
      </c>
      <c r="X601" t="inlineStr">
        <is>
          <t>1992-11-05</t>
        </is>
      </c>
      <c r="Y601" t="n">
        <v>398</v>
      </c>
      <c r="Z601" t="n">
        <v>383</v>
      </c>
      <c r="AA601" t="n">
        <v>440</v>
      </c>
      <c r="AB601" t="n">
        <v>4</v>
      </c>
      <c r="AC601" t="n">
        <v>4</v>
      </c>
      <c r="AD601" t="n">
        <v>6</v>
      </c>
      <c r="AE601" t="n">
        <v>6</v>
      </c>
      <c r="AF601" t="n">
        <v>1</v>
      </c>
      <c r="AG601" t="n">
        <v>1</v>
      </c>
      <c r="AH601" t="n">
        <v>2</v>
      </c>
      <c r="AI601" t="n">
        <v>2</v>
      </c>
      <c r="AJ601" t="n">
        <v>2</v>
      </c>
      <c r="AK601" t="n">
        <v>2</v>
      </c>
      <c r="AL601" t="n">
        <v>1</v>
      </c>
      <c r="AM601" t="n">
        <v>1</v>
      </c>
      <c r="AN601" t="n">
        <v>0</v>
      </c>
      <c r="AO601" t="n">
        <v>0</v>
      </c>
      <c r="AP601" t="inlineStr">
        <is>
          <t>No</t>
        </is>
      </c>
      <c r="AQ601" t="inlineStr">
        <is>
          <t>Yes</t>
        </is>
      </c>
      <c r="AR601">
        <f>HYPERLINK("http://catalog.hathitrust.org/Record/000692953","HathiTrust Record")</f>
        <v/>
      </c>
      <c r="AS601">
        <f>HYPERLINK("https://creighton-primo.hosted.exlibrisgroup.com/primo-explore/search?tab=default_tab&amp;search_scope=EVERYTHING&amp;vid=01CRU&amp;lang=en_US&amp;offset=0&amp;query=any,contains,991003968799702656","Catalog Record")</f>
        <v/>
      </c>
      <c r="AT601">
        <f>HYPERLINK("http://www.worldcat.org/oclc/1991093","WorldCat Record")</f>
        <v/>
      </c>
      <c r="AU601" t="inlineStr">
        <is>
          <t>188371:eng</t>
        </is>
      </c>
      <c r="AV601" t="inlineStr">
        <is>
          <t>1991093</t>
        </is>
      </c>
      <c r="AW601" t="inlineStr">
        <is>
          <t>991003968799702656</t>
        </is>
      </c>
      <c r="AX601" t="inlineStr">
        <is>
          <t>991003968799702656</t>
        </is>
      </c>
      <c r="AY601" t="inlineStr">
        <is>
          <t>2264098640002656</t>
        </is>
      </c>
      <c r="AZ601" t="inlineStr">
        <is>
          <t>BOOK</t>
        </is>
      </c>
      <c r="BB601" t="inlineStr">
        <is>
          <t>9780465003310</t>
        </is>
      </c>
      <c r="BC601" t="inlineStr">
        <is>
          <t>32285001381028</t>
        </is>
      </c>
      <c r="BD601" t="inlineStr">
        <is>
          <t>893318646</t>
        </is>
      </c>
    </row>
    <row r="602">
      <c r="A602" t="inlineStr">
        <is>
          <t>No</t>
        </is>
      </c>
      <c r="B602" t="inlineStr">
        <is>
          <t>RC465 .E55 1989</t>
        </is>
      </c>
      <c r="C602" t="inlineStr">
        <is>
          <t>0                      RC 0465000E  55          1989</t>
        </is>
      </c>
      <c r="D602" t="inlineStr">
        <is>
          <t>Institutionalizing madness : families, therapy, and society / Joel Elizur, Salvador Minuchin ; with a chapter by Mordecai Kaffman.</t>
        </is>
      </c>
      <c r="F602" t="inlineStr">
        <is>
          <t>No</t>
        </is>
      </c>
      <c r="G602" t="inlineStr">
        <is>
          <t>1</t>
        </is>
      </c>
      <c r="H602" t="inlineStr">
        <is>
          <t>No</t>
        </is>
      </c>
      <c r="I602" t="inlineStr">
        <is>
          <t>No</t>
        </is>
      </c>
      <c r="J602" t="inlineStr">
        <is>
          <t>0</t>
        </is>
      </c>
      <c r="K602" t="inlineStr">
        <is>
          <t>Elizur, Joel, 1952-</t>
        </is>
      </c>
      <c r="L602" t="inlineStr">
        <is>
          <t>New York : BasicBooks, [1989]</t>
        </is>
      </c>
      <c r="M602" t="inlineStr">
        <is>
          <t>1989</t>
        </is>
      </c>
      <c r="O602" t="inlineStr">
        <is>
          <t>eng</t>
        </is>
      </c>
      <c r="P602" t="inlineStr">
        <is>
          <t>nyu</t>
        </is>
      </c>
      <c r="R602" t="inlineStr">
        <is>
          <t xml:space="preserve">RC </t>
        </is>
      </c>
      <c r="S602" t="n">
        <v>2</v>
      </c>
      <c r="T602" t="n">
        <v>2</v>
      </c>
      <c r="U602" t="inlineStr">
        <is>
          <t>1993-04-14</t>
        </is>
      </c>
      <c r="V602" t="inlineStr">
        <is>
          <t>1993-04-14</t>
        </is>
      </c>
      <c r="W602" t="inlineStr">
        <is>
          <t>1992-07-28</t>
        </is>
      </c>
      <c r="X602" t="inlineStr">
        <is>
          <t>1992-07-28</t>
        </is>
      </c>
      <c r="Y602" t="n">
        <v>424</v>
      </c>
      <c r="Z602" t="n">
        <v>360</v>
      </c>
      <c r="AA602" t="n">
        <v>367</v>
      </c>
      <c r="AB602" t="n">
        <v>2</v>
      </c>
      <c r="AC602" t="n">
        <v>2</v>
      </c>
      <c r="AD602" t="n">
        <v>20</v>
      </c>
      <c r="AE602" t="n">
        <v>20</v>
      </c>
      <c r="AF602" t="n">
        <v>5</v>
      </c>
      <c r="AG602" t="n">
        <v>5</v>
      </c>
      <c r="AH602" t="n">
        <v>6</v>
      </c>
      <c r="AI602" t="n">
        <v>6</v>
      </c>
      <c r="AJ602" t="n">
        <v>12</v>
      </c>
      <c r="AK602" t="n">
        <v>12</v>
      </c>
      <c r="AL602" t="n">
        <v>1</v>
      </c>
      <c r="AM602" t="n">
        <v>1</v>
      </c>
      <c r="AN602" t="n">
        <v>0</v>
      </c>
      <c r="AO602" t="n">
        <v>0</v>
      </c>
      <c r="AP602" t="inlineStr">
        <is>
          <t>No</t>
        </is>
      </c>
      <c r="AQ602" t="inlineStr">
        <is>
          <t>Yes</t>
        </is>
      </c>
      <c r="AR602">
        <f>HYPERLINK("http://catalog.hathitrust.org/Record/001830882","HathiTrust Record")</f>
        <v/>
      </c>
      <c r="AS602">
        <f>HYPERLINK("https://creighton-primo.hosted.exlibrisgroup.com/primo-explore/search?tab=default_tab&amp;search_scope=EVERYTHING&amp;vid=01CRU&amp;lang=en_US&amp;offset=0&amp;query=any,contains,991001553029702656","Catalog Record")</f>
        <v/>
      </c>
      <c r="AT602">
        <f>HYPERLINK("http://www.worldcat.org/oclc/20258909","WorldCat Record")</f>
        <v/>
      </c>
      <c r="AU602" t="inlineStr">
        <is>
          <t>22029648:eng</t>
        </is>
      </c>
      <c r="AV602" t="inlineStr">
        <is>
          <t>20258909</t>
        </is>
      </c>
      <c r="AW602" t="inlineStr">
        <is>
          <t>991001553029702656</t>
        </is>
      </c>
      <c r="AX602" t="inlineStr">
        <is>
          <t>991001553029702656</t>
        </is>
      </c>
      <c r="AY602" t="inlineStr">
        <is>
          <t>2262579580002656</t>
        </is>
      </c>
      <c r="AZ602" t="inlineStr">
        <is>
          <t>BOOK</t>
        </is>
      </c>
      <c r="BB602" t="inlineStr">
        <is>
          <t>9780465033225</t>
        </is>
      </c>
      <c r="BC602" t="inlineStr">
        <is>
          <t>32285001195253</t>
        </is>
      </c>
      <c r="BD602" t="inlineStr">
        <is>
          <t>893791505</t>
        </is>
      </c>
    </row>
    <row r="603">
      <c r="A603" t="inlineStr">
        <is>
          <t>No</t>
        </is>
      </c>
      <c r="B603" t="inlineStr">
        <is>
          <t>RC465 .L3 1965b</t>
        </is>
      </c>
      <c r="C603" t="inlineStr">
        <is>
          <t>0                      RC 0465000L  3           1965b</t>
        </is>
      </c>
      <c r="D603" t="inlineStr">
        <is>
          <t>The divided self : an existential study in sanity and madness / R. D. Laing.</t>
        </is>
      </c>
      <c r="F603" t="inlineStr">
        <is>
          <t>No</t>
        </is>
      </c>
      <c r="G603" t="inlineStr">
        <is>
          <t>1</t>
        </is>
      </c>
      <c r="H603" t="inlineStr">
        <is>
          <t>No</t>
        </is>
      </c>
      <c r="I603" t="inlineStr">
        <is>
          <t>No</t>
        </is>
      </c>
      <c r="J603" t="inlineStr">
        <is>
          <t>0</t>
        </is>
      </c>
      <c r="K603" t="inlineStr">
        <is>
          <t>Laing, R. D. (Ronald David), 1927-1989.</t>
        </is>
      </c>
      <c r="L603" t="inlineStr">
        <is>
          <t>Harmondsworth, Middlesex ; Baltimore : Penguin Books, 1965.</t>
        </is>
      </c>
      <c r="M603" t="inlineStr">
        <is>
          <t>1965</t>
        </is>
      </c>
      <c r="O603" t="inlineStr">
        <is>
          <t>eng</t>
        </is>
      </c>
      <c r="P603" t="inlineStr">
        <is>
          <t>enk</t>
        </is>
      </c>
      <c r="Q603" t="inlineStr">
        <is>
          <t>Pelican book ; A734</t>
        </is>
      </c>
      <c r="R603" t="inlineStr">
        <is>
          <t xml:space="preserve">RC </t>
        </is>
      </c>
      <c r="S603" t="n">
        <v>3</v>
      </c>
      <c r="T603" t="n">
        <v>3</v>
      </c>
      <c r="U603" t="inlineStr">
        <is>
          <t>2008-10-07</t>
        </is>
      </c>
      <c r="V603" t="inlineStr">
        <is>
          <t>2008-10-07</t>
        </is>
      </c>
      <c r="W603" t="inlineStr">
        <is>
          <t>1992-08-31</t>
        </is>
      </c>
      <c r="X603" t="inlineStr">
        <is>
          <t>1992-08-31</t>
        </is>
      </c>
      <c r="Y603" t="n">
        <v>434</v>
      </c>
      <c r="Z603" t="n">
        <v>242</v>
      </c>
      <c r="AA603" t="n">
        <v>673</v>
      </c>
      <c r="AB603" t="n">
        <v>2</v>
      </c>
      <c r="AC603" t="n">
        <v>6</v>
      </c>
      <c r="AD603" t="n">
        <v>7</v>
      </c>
      <c r="AE603" t="n">
        <v>17</v>
      </c>
      <c r="AF603" t="n">
        <v>3</v>
      </c>
      <c r="AG603" t="n">
        <v>6</v>
      </c>
      <c r="AH603" t="n">
        <v>2</v>
      </c>
      <c r="AI603" t="n">
        <v>4</v>
      </c>
      <c r="AJ603" t="n">
        <v>4</v>
      </c>
      <c r="AK603" t="n">
        <v>6</v>
      </c>
      <c r="AL603" t="n">
        <v>1</v>
      </c>
      <c r="AM603" t="n">
        <v>5</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HYPERLINK("https://creighton-primo.hosted.exlibrisgroup.com/primo-explore/search?tab=default_tab&amp;search_scope=EVERYTHING&amp;vid=01CRU&amp;lang=en_US&amp;offset=0&amp;query=any,contains,991004800439702656","Catalog Record")</f>
        <v/>
      </c>
      <c r="AT603">
        <f>HYPERLINK("http://www.worldcat.org/oclc/5212085","WorldCat Record")</f>
        <v/>
      </c>
      <c r="AU603" t="inlineStr">
        <is>
          <t>196594298:eng</t>
        </is>
      </c>
      <c r="AV603" t="inlineStr">
        <is>
          <t>5212085</t>
        </is>
      </c>
      <c r="AW603" t="inlineStr">
        <is>
          <t>991004800439702656</t>
        </is>
      </c>
      <c r="AX603" t="inlineStr">
        <is>
          <t>991004800439702656</t>
        </is>
      </c>
      <c r="AY603" t="inlineStr">
        <is>
          <t>2269547510002656</t>
        </is>
      </c>
      <c r="AZ603" t="inlineStr">
        <is>
          <t>BOOK</t>
        </is>
      </c>
      <c r="BB603" t="inlineStr">
        <is>
          <t>9780140207347</t>
        </is>
      </c>
      <c r="BC603" t="inlineStr">
        <is>
          <t>32285001275212</t>
        </is>
      </c>
      <c r="BD603" t="inlineStr">
        <is>
          <t>893229850</t>
        </is>
      </c>
    </row>
    <row r="604">
      <c r="A604" t="inlineStr">
        <is>
          <t>No</t>
        </is>
      </c>
      <c r="B604" t="inlineStr">
        <is>
          <t>RC465 .L44 1977</t>
        </is>
      </c>
      <c r="C604" t="inlineStr">
        <is>
          <t>0                      RC 0465000L  44          1977</t>
        </is>
      </c>
      <c r="D604" t="inlineStr">
        <is>
          <t>Case histories of deviant behavior : an interactional perspective / by Gloria Rakita Leon.</t>
        </is>
      </c>
      <c r="F604" t="inlineStr">
        <is>
          <t>No</t>
        </is>
      </c>
      <c r="G604" t="inlineStr">
        <is>
          <t>1</t>
        </is>
      </c>
      <c r="H604" t="inlineStr">
        <is>
          <t>No</t>
        </is>
      </c>
      <c r="I604" t="inlineStr">
        <is>
          <t>No</t>
        </is>
      </c>
      <c r="J604" t="inlineStr">
        <is>
          <t>0</t>
        </is>
      </c>
      <c r="K604" t="inlineStr">
        <is>
          <t>Leon, Gloria Rakita.</t>
        </is>
      </c>
      <c r="L604" t="inlineStr">
        <is>
          <t>Boston : Allyn and Bacon, c1977, 1978 printing.</t>
        </is>
      </c>
      <c r="M604" t="inlineStr">
        <is>
          <t>1977</t>
        </is>
      </c>
      <c r="N604" t="inlineStr">
        <is>
          <t>2d ed.</t>
        </is>
      </c>
      <c r="O604" t="inlineStr">
        <is>
          <t>eng</t>
        </is>
      </c>
      <c r="P604" t="inlineStr">
        <is>
          <t>mau</t>
        </is>
      </c>
      <c r="R604" t="inlineStr">
        <is>
          <t xml:space="preserve">RC </t>
        </is>
      </c>
      <c r="S604" t="n">
        <v>1</v>
      </c>
      <c r="T604" t="n">
        <v>1</v>
      </c>
      <c r="U604" t="inlineStr">
        <is>
          <t>2007-08-28</t>
        </is>
      </c>
      <c r="V604" t="inlineStr">
        <is>
          <t>2007-08-28</t>
        </is>
      </c>
      <c r="W604" t="inlineStr">
        <is>
          <t>1993-03-23</t>
        </is>
      </c>
      <c r="X604" t="inlineStr">
        <is>
          <t>1993-03-23</t>
        </is>
      </c>
      <c r="Y604" t="n">
        <v>168</v>
      </c>
      <c r="Z604" t="n">
        <v>149</v>
      </c>
      <c r="AA604" t="n">
        <v>263</v>
      </c>
      <c r="AB604" t="n">
        <v>2</v>
      </c>
      <c r="AC604" t="n">
        <v>2</v>
      </c>
      <c r="AD604" t="n">
        <v>8</v>
      </c>
      <c r="AE604" t="n">
        <v>9</v>
      </c>
      <c r="AF604" t="n">
        <v>3</v>
      </c>
      <c r="AG604" t="n">
        <v>4</v>
      </c>
      <c r="AH604" t="n">
        <v>2</v>
      </c>
      <c r="AI604" t="n">
        <v>2</v>
      </c>
      <c r="AJ604" t="n">
        <v>4</v>
      </c>
      <c r="AK604" t="n">
        <v>5</v>
      </c>
      <c r="AL604" t="n">
        <v>1</v>
      </c>
      <c r="AM604" t="n">
        <v>1</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HYPERLINK("https://creighton-primo.hosted.exlibrisgroup.com/primo-explore/search?tab=default_tab&amp;search_scope=EVERYTHING&amp;vid=01CRU&amp;lang=en_US&amp;offset=0&amp;query=any,contains,991004314529702656","Catalog Record")</f>
        <v/>
      </c>
      <c r="AT604">
        <f>HYPERLINK("http://www.worldcat.org/oclc/3003150","WorldCat Record")</f>
        <v/>
      </c>
      <c r="AU604" t="inlineStr">
        <is>
          <t>2260832344:eng</t>
        </is>
      </c>
      <c r="AV604" t="inlineStr">
        <is>
          <t>3003150</t>
        </is>
      </c>
      <c r="AW604" t="inlineStr">
        <is>
          <t>991004314529702656</t>
        </is>
      </c>
      <c r="AX604" t="inlineStr">
        <is>
          <t>991004314529702656</t>
        </is>
      </c>
      <c r="AY604" t="inlineStr">
        <is>
          <t>2270961040002656</t>
        </is>
      </c>
      <c r="AZ604" t="inlineStr">
        <is>
          <t>BOOK</t>
        </is>
      </c>
      <c r="BB604" t="inlineStr">
        <is>
          <t>9780205058471</t>
        </is>
      </c>
      <c r="BC604" t="inlineStr">
        <is>
          <t>32285004805304</t>
        </is>
      </c>
      <c r="BD604" t="inlineStr">
        <is>
          <t>893624586</t>
        </is>
      </c>
    </row>
    <row r="605">
      <c r="A605" t="inlineStr">
        <is>
          <t>No</t>
        </is>
      </c>
      <c r="B605" t="inlineStr">
        <is>
          <t>RC465 .R63</t>
        </is>
      </c>
      <c r="C605" t="inlineStr">
        <is>
          <t>0                      RC 0465000R  63</t>
        </is>
      </c>
      <c r="D605" t="inlineStr">
        <is>
          <t>The three Christs of Ypsilanti; a psychological study.</t>
        </is>
      </c>
      <c r="F605" t="inlineStr">
        <is>
          <t>No</t>
        </is>
      </c>
      <c r="G605" t="inlineStr">
        <is>
          <t>1</t>
        </is>
      </c>
      <c r="H605" t="inlineStr">
        <is>
          <t>No</t>
        </is>
      </c>
      <c r="I605" t="inlineStr">
        <is>
          <t>No</t>
        </is>
      </c>
      <c r="J605" t="inlineStr">
        <is>
          <t>0</t>
        </is>
      </c>
      <c r="K605" t="inlineStr">
        <is>
          <t>Rokeach, Milton.</t>
        </is>
      </c>
      <c r="L605" t="inlineStr">
        <is>
          <t>New York, Knopf, 1964.</t>
        </is>
      </c>
      <c r="M605" t="inlineStr">
        <is>
          <t>1964</t>
        </is>
      </c>
      <c r="N605" t="inlineStr">
        <is>
          <t>[1st ed.]</t>
        </is>
      </c>
      <c r="O605" t="inlineStr">
        <is>
          <t>eng</t>
        </is>
      </c>
      <c r="P605" t="inlineStr">
        <is>
          <t>nyu</t>
        </is>
      </c>
      <c r="R605" t="inlineStr">
        <is>
          <t xml:space="preserve">RC </t>
        </is>
      </c>
      <c r="S605" t="n">
        <v>3</v>
      </c>
      <c r="T605" t="n">
        <v>3</v>
      </c>
      <c r="U605" t="inlineStr">
        <is>
          <t>2005-10-10</t>
        </is>
      </c>
      <c r="V605" t="inlineStr">
        <is>
          <t>2005-10-10</t>
        </is>
      </c>
      <c r="W605" t="inlineStr">
        <is>
          <t>1997-08-11</t>
        </is>
      </c>
      <c r="X605" t="inlineStr">
        <is>
          <t>1997-08-11</t>
        </is>
      </c>
      <c r="Y605" t="n">
        <v>663</v>
      </c>
      <c r="Z605" t="n">
        <v>615</v>
      </c>
      <c r="AA605" t="n">
        <v>951</v>
      </c>
      <c r="AB605" t="n">
        <v>5</v>
      </c>
      <c r="AC605" t="n">
        <v>7</v>
      </c>
      <c r="AD605" t="n">
        <v>23</v>
      </c>
      <c r="AE605" t="n">
        <v>35</v>
      </c>
      <c r="AF605" t="n">
        <v>8</v>
      </c>
      <c r="AG605" t="n">
        <v>14</v>
      </c>
      <c r="AH605" t="n">
        <v>2</v>
      </c>
      <c r="AI605" t="n">
        <v>3</v>
      </c>
      <c r="AJ605" t="n">
        <v>14</v>
      </c>
      <c r="AK605" t="n">
        <v>19</v>
      </c>
      <c r="AL605" t="n">
        <v>4</v>
      </c>
      <c r="AM605" t="n">
        <v>5</v>
      </c>
      <c r="AN605" t="n">
        <v>0</v>
      </c>
      <c r="AO605" t="n">
        <v>0</v>
      </c>
      <c r="AP605" t="inlineStr">
        <is>
          <t>No</t>
        </is>
      </c>
      <c r="AQ605" t="inlineStr">
        <is>
          <t>Yes</t>
        </is>
      </c>
      <c r="AR605">
        <f>HYPERLINK("http://catalog.hathitrust.org/Record/001564288","HathiTrust Record")</f>
        <v/>
      </c>
      <c r="AS605">
        <f>HYPERLINK("https://creighton-primo.hosted.exlibrisgroup.com/primo-explore/search?tab=default_tab&amp;search_scope=EVERYTHING&amp;vid=01CRU&amp;lang=en_US&amp;offset=0&amp;query=any,contains,991000995709702656","Catalog Record")</f>
        <v/>
      </c>
      <c r="AT605">
        <f>HYPERLINK("http://www.worldcat.org/oclc/171349","WorldCat Record")</f>
        <v/>
      </c>
      <c r="AU605" t="inlineStr">
        <is>
          <t>420439:eng</t>
        </is>
      </c>
      <c r="AV605" t="inlineStr">
        <is>
          <t>171349</t>
        </is>
      </c>
      <c r="AW605" t="inlineStr">
        <is>
          <t>991000995709702656</t>
        </is>
      </c>
      <c r="AX605" t="inlineStr">
        <is>
          <t>991000995709702656</t>
        </is>
      </c>
      <c r="AY605" t="inlineStr">
        <is>
          <t>2267232250002656</t>
        </is>
      </c>
      <c r="AZ605" t="inlineStr">
        <is>
          <t>BOOK</t>
        </is>
      </c>
      <c r="BC605" t="inlineStr">
        <is>
          <t>32285003090890</t>
        </is>
      </c>
      <c r="BD605" t="inlineStr">
        <is>
          <t>893419963</t>
        </is>
      </c>
    </row>
    <row r="606">
      <c r="A606" t="inlineStr">
        <is>
          <t>No</t>
        </is>
      </c>
      <c r="B606" t="inlineStr">
        <is>
          <t>RC465 .T48 1990</t>
        </is>
      </c>
      <c r="C606" t="inlineStr">
        <is>
          <t>0                      RC 0465000T  48          1990</t>
        </is>
      </c>
      <c r="D606" t="inlineStr">
        <is>
          <t>Therapy wars : contention and convergence in differing clinical approaches / Nolan Saltzman and John C. Norcross, editors.</t>
        </is>
      </c>
      <c r="F606" t="inlineStr">
        <is>
          <t>No</t>
        </is>
      </c>
      <c r="G606" t="inlineStr">
        <is>
          <t>1</t>
        </is>
      </c>
      <c r="H606" t="inlineStr">
        <is>
          <t>No</t>
        </is>
      </c>
      <c r="I606" t="inlineStr">
        <is>
          <t>No</t>
        </is>
      </c>
      <c r="J606" t="inlineStr">
        <is>
          <t>0</t>
        </is>
      </c>
      <c r="L606" t="inlineStr">
        <is>
          <t>San Francisco : Jossey-Brass, c1990.</t>
        </is>
      </c>
      <c r="M606" t="inlineStr">
        <is>
          <t>1990</t>
        </is>
      </c>
      <c r="N606" t="inlineStr">
        <is>
          <t>1st ed.</t>
        </is>
      </c>
      <c r="O606" t="inlineStr">
        <is>
          <t>eng</t>
        </is>
      </c>
      <c r="P606" t="inlineStr">
        <is>
          <t>cau</t>
        </is>
      </c>
      <c r="Q606" t="inlineStr">
        <is>
          <t>The Jossey-Bass social and behavioral science series</t>
        </is>
      </c>
      <c r="R606" t="inlineStr">
        <is>
          <t xml:space="preserve">RC </t>
        </is>
      </c>
      <c r="S606" t="n">
        <v>4</v>
      </c>
      <c r="T606" t="n">
        <v>4</v>
      </c>
      <c r="U606" t="inlineStr">
        <is>
          <t>1999-04-17</t>
        </is>
      </c>
      <c r="V606" t="inlineStr">
        <is>
          <t>1999-04-17</t>
        </is>
      </c>
      <c r="W606" t="inlineStr">
        <is>
          <t>1991-04-03</t>
        </is>
      </c>
      <c r="X606" t="inlineStr">
        <is>
          <t>1991-04-03</t>
        </is>
      </c>
      <c r="Y606" t="n">
        <v>319</v>
      </c>
      <c r="Z606" t="n">
        <v>262</v>
      </c>
      <c r="AA606" t="n">
        <v>279</v>
      </c>
      <c r="AB606" t="n">
        <v>3</v>
      </c>
      <c r="AC606" t="n">
        <v>3</v>
      </c>
      <c r="AD606" t="n">
        <v>13</v>
      </c>
      <c r="AE606" t="n">
        <v>15</v>
      </c>
      <c r="AF606" t="n">
        <v>3</v>
      </c>
      <c r="AG606" t="n">
        <v>4</v>
      </c>
      <c r="AH606" t="n">
        <v>2</v>
      </c>
      <c r="AI606" t="n">
        <v>3</v>
      </c>
      <c r="AJ606" t="n">
        <v>9</v>
      </c>
      <c r="AK606" t="n">
        <v>9</v>
      </c>
      <c r="AL606" t="n">
        <v>2</v>
      </c>
      <c r="AM606" t="n">
        <v>2</v>
      </c>
      <c r="AN606" t="n">
        <v>0</v>
      </c>
      <c r="AO606" t="n">
        <v>0</v>
      </c>
      <c r="AP606" t="inlineStr">
        <is>
          <t>No</t>
        </is>
      </c>
      <c r="AQ606" t="inlineStr">
        <is>
          <t>Yes</t>
        </is>
      </c>
      <c r="AR606">
        <f>HYPERLINK("http://catalog.hathitrust.org/Record/002215514","HathiTrust Record")</f>
        <v/>
      </c>
      <c r="AS606">
        <f>HYPERLINK("https://creighton-primo.hosted.exlibrisgroup.com/primo-explore/search?tab=default_tab&amp;search_scope=EVERYTHING&amp;vid=01CRU&amp;lang=en_US&amp;offset=0&amp;query=any,contains,991001701439702656","Catalog Record")</f>
        <v/>
      </c>
      <c r="AT606">
        <f>HYPERLINK("http://www.worldcat.org/oclc/21524160","WorldCat Record")</f>
        <v/>
      </c>
      <c r="AU606" t="inlineStr">
        <is>
          <t>894396121:eng</t>
        </is>
      </c>
      <c r="AV606" t="inlineStr">
        <is>
          <t>21524160</t>
        </is>
      </c>
      <c r="AW606" t="inlineStr">
        <is>
          <t>991001701439702656</t>
        </is>
      </c>
      <c r="AX606" t="inlineStr">
        <is>
          <t>991001701439702656</t>
        </is>
      </c>
      <c r="AY606" t="inlineStr">
        <is>
          <t>2256836870002656</t>
        </is>
      </c>
      <c r="AZ606" t="inlineStr">
        <is>
          <t>BOOK</t>
        </is>
      </c>
      <c r="BB606" t="inlineStr">
        <is>
          <t>9781555422592</t>
        </is>
      </c>
      <c r="BC606" t="inlineStr">
        <is>
          <t>32285000565225</t>
        </is>
      </c>
      <c r="BD606" t="inlineStr">
        <is>
          <t>893791634</t>
        </is>
      </c>
    </row>
    <row r="607">
      <c r="A607" t="inlineStr">
        <is>
          <t>No</t>
        </is>
      </c>
      <c r="B607" t="inlineStr">
        <is>
          <t>RC465.5 .W57 1995</t>
        </is>
      </c>
      <c r="C607" t="inlineStr">
        <is>
          <t>0                      RC 0465500W  57          1995</t>
        </is>
      </c>
      <c r="D607" t="inlineStr">
        <is>
          <t>Psychiatry, the ultimate betrayal / by Bruce Wiseman.</t>
        </is>
      </c>
      <c r="F607" t="inlineStr">
        <is>
          <t>No</t>
        </is>
      </c>
      <c r="G607" t="inlineStr">
        <is>
          <t>1</t>
        </is>
      </c>
      <c r="H607" t="inlineStr">
        <is>
          <t>No</t>
        </is>
      </c>
      <c r="I607" t="inlineStr">
        <is>
          <t>No</t>
        </is>
      </c>
      <c r="J607" t="inlineStr">
        <is>
          <t>0</t>
        </is>
      </c>
      <c r="K607" t="inlineStr">
        <is>
          <t>Wiseman, Bruce.</t>
        </is>
      </c>
      <c r="L607" t="inlineStr">
        <is>
          <t>Los Angeles : Freedom Pub., c1995.</t>
        </is>
      </c>
      <c r="M607" t="inlineStr">
        <is>
          <t>1995</t>
        </is>
      </c>
      <c r="N607" t="inlineStr">
        <is>
          <t>1st ed.</t>
        </is>
      </c>
      <c r="O607" t="inlineStr">
        <is>
          <t>eng</t>
        </is>
      </c>
      <c r="P607" t="inlineStr">
        <is>
          <t>cau</t>
        </is>
      </c>
      <c r="R607" t="inlineStr">
        <is>
          <t xml:space="preserve">RC </t>
        </is>
      </c>
      <c r="S607" t="n">
        <v>2</v>
      </c>
      <c r="T607" t="n">
        <v>2</v>
      </c>
      <c r="U607" t="inlineStr">
        <is>
          <t>2007-05-14</t>
        </is>
      </c>
      <c r="V607" t="inlineStr">
        <is>
          <t>2007-05-14</t>
        </is>
      </c>
      <c r="W607" t="inlineStr">
        <is>
          <t>2007-05-14</t>
        </is>
      </c>
      <c r="X607" t="inlineStr">
        <is>
          <t>2007-05-14</t>
        </is>
      </c>
      <c r="Y607" t="n">
        <v>172</v>
      </c>
      <c r="Z607" t="n">
        <v>122</v>
      </c>
      <c r="AA607" t="n">
        <v>124</v>
      </c>
      <c r="AB607" t="n">
        <v>1</v>
      </c>
      <c r="AC607" t="n">
        <v>1</v>
      </c>
      <c r="AD607" t="n">
        <v>2</v>
      </c>
      <c r="AE607" t="n">
        <v>2</v>
      </c>
      <c r="AF607" t="n">
        <v>1</v>
      </c>
      <c r="AG607" t="n">
        <v>1</v>
      </c>
      <c r="AH607" t="n">
        <v>0</v>
      </c>
      <c r="AI607" t="n">
        <v>0</v>
      </c>
      <c r="AJ607" t="n">
        <v>0</v>
      </c>
      <c r="AK607" t="n">
        <v>0</v>
      </c>
      <c r="AL607" t="n">
        <v>0</v>
      </c>
      <c r="AM607" t="n">
        <v>0</v>
      </c>
      <c r="AN607" t="n">
        <v>1</v>
      </c>
      <c r="AO607" t="n">
        <v>1</v>
      </c>
      <c r="AP607" t="inlineStr">
        <is>
          <t>No</t>
        </is>
      </c>
      <c r="AQ607" t="inlineStr">
        <is>
          <t>Yes</t>
        </is>
      </c>
      <c r="AR607">
        <f>HYPERLINK("http://catalog.hathitrust.org/Record/012275795","HathiTrust Record")</f>
        <v/>
      </c>
      <c r="AS607">
        <f>HYPERLINK("https://creighton-primo.hosted.exlibrisgroup.com/primo-explore/search?tab=default_tab&amp;search_scope=EVERYTHING&amp;vid=01CRU&amp;lang=en_US&amp;offset=0&amp;query=any,contains,991005080869702656","Catalog Record")</f>
        <v/>
      </c>
      <c r="AT607">
        <f>HYPERLINK("http://www.worldcat.org/oclc/34497836","WorldCat Record")</f>
        <v/>
      </c>
      <c r="AU607" t="inlineStr">
        <is>
          <t>40709896:eng</t>
        </is>
      </c>
      <c r="AV607" t="inlineStr">
        <is>
          <t>34497836</t>
        </is>
      </c>
      <c r="AW607" t="inlineStr">
        <is>
          <t>991005080869702656</t>
        </is>
      </c>
      <c r="AX607" t="inlineStr">
        <is>
          <t>991005080869702656</t>
        </is>
      </c>
      <c r="AY607" t="inlineStr">
        <is>
          <t>2270114250002656</t>
        </is>
      </c>
      <c r="AZ607" t="inlineStr">
        <is>
          <t>BOOK</t>
        </is>
      </c>
      <c r="BB607" t="inlineStr">
        <is>
          <t>9780964890909</t>
        </is>
      </c>
      <c r="BC607" t="inlineStr">
        <is>
          <t>32285005311955</t>
        </is>
      </c>
      <c r="BD607" t="inlineStr">
        <is>
          <t>893533127</t>
        </is>
      </c>
    </row>
    <row r="608">
      <c r="A608" t="inlineStr">
        <is>
          <t>No</t>
        </is>
      </c>
      <c r="B608" t="inlineStr">
        <is>
          <t>RC465.6 .M36 1999</t>
        </is>
      </c>
      <c r="C608" t="inlineStr">
        <is>
          <t>0                      RC 0465600M  36          1999</t>
        </is>
      </c>
      <c r="D608" t="inlineStr">
        <is>
          <t>Managed care in human services / edited by Stephen P. Wernet.</t>
        </is>
      </c>
      <c r="F608" t="inlineStr">
        <is>
          <t>No</t>
        </is>
      </c>
      <c r="G608" t="inlineStr">
        <is>
          <t>1</t>
        </is>
      </c>
      <c r="H608" t="inlineStr">
        <is>
          <t>No</t>
        </is>
      </c>
      <c r="I608" t="inlineStr">
        <is>
          <t>No</t>
        </is>
      </c>
      <c r="J608" t="inlineStr">
        <is>
          <t>0</t>
        </is>
      </c>
      <c r="L608" t="inlineStr">
        <is>
          <t>Chicago, Ill : Lyceum Books, c1999.</t>
        </is>
      </c>
      <c r="M608" t="inlineStr">
        <is>
          <t>1999</t>
        </is>
      </c>
      <c r="O608" t="inlineStr">
        <is>
          <t>eng</t>
        </is>
      </c>
      <c r="P608" t="inlineStr">
        <is>
          <t>ilu</t>
        </is>
      </c>
      <c r="R608" t="inlineStr">
        <is>
          <t xml:space="preserve">RC </t>
        </is>
      </c>
      <c r="S608" t="n">
        <v>1</v>
      </c>
      <c r="T608" t="n">
        <v>1</v>
      </c>
      <c r="U608" t="inlineStr">
        <is>
          <t>2000-12-26</t>
        </is>
      </c>
      <c r="V608" t="inlineStr">
        <is>
          <t>2000-12-26</t>
        </is>
      </c>
      <c r="W608" t="inlineStr">
        <is>
          <t>2000-12-26</t>
        </is>
      </c>
      <c r="X608" t="inlineStr">
        <is>
          <t>2000-12-26</t>
        </is>
      </c>
      <c r="Y608" t="n">
        <v>125</v>
      </c>
      <c r="Z608" t="n">
        <v>116</v>
      </c>
      <c r="AA608" t="n">
        <v>118</v>
      </c>
      <c r="AB608" t="n">
        <v>1</v>
      </c>
      <c r="AC608" t="n">
        <v>1</v>
      </c>
      <c r="AD608" t="n">
        <v>4</v>
      </c>
      <c r="AE608" t="n">
        <v>4</v>
      </c>
      <c r="AF608" t="n">
        <v>0</v>
      </c>
      <c r="AG608" t="n">
        <v>0</v>
      </c>
      <c r="AH608" t="n">
        <v>1</v>
      </c>
      <c r="AI608" t="n">
        <v>1</v>
      </c>
      <c r="AJ608" t="n">
        <v>4</v>
      </c>
      <c r="AK608" t="n">
        <v>4</v>
      </c>
      <c r="AL608" t="n">
        <v>0</v>
      </c>
      <c r="AM608" t="n">
        <v>0</v>
      </c>
      <c r="AN608" t="n">
        <v>0</v>
      </c>
      <c r="AO608" t="n">
        <v>0</v>
      </c>
      <c r="AP608" t="inlineStr">
        <is>
          <t>No</t>
        </is>
      </c>
      <c r="AQ608" t="inlineStr">
        <is>
          <t>Yes</t>
        </is>
      </c>
      <c r="AR608">
        <f>HYPERLINK("http://catalog.hathitrust.org/Record/004031220","HathiTrust Record")</f>
        <v/>
      </c>
      <c r="AS608">
        <f>HYPERLINK("https://creighton-primo.hosted.exlibrisgroup.com/primo-explore/search?tab=default_tab&amp;search_scope=EVERYTHING&amp;vid=01CRU&amp;lang=en_US&amp;offset=0&amp;query=any,contains,991003330129702656","Catalog Record")</f>
        <v/>
      </c>
      <c r="AT608">
        <f>HYPERLINK("http://www.worldcat.org/oclc/40830280","WorldCat Record")</f>
        <v/>
      </c>
      <c r="AU608" t="inlineStr">
        <is>
          <t>987233:eng</t>
        </is>
      </c>
      <c r="AV608" t="inlineStr">
        <is>
          <t>40830280</t>
        </is>
      </c>
      <c r="AW608" t="inlineStr">
        <is>
          <t>991003330129702656</t>
        </is>
      </c>
      <c r="AX608" t="inlineStr">
        <is>
          <t>991003330129702656</t>
        </is>
      </c>
      <c r="AY608" t="inlineStr">
        <is>
          <t>2254869720002656</t>
        </is>
      </c>
      <c r="AZ608" t="inlineStr">
        <is>
          <t>BOOK</t>
        </is>
      </c>
      <c r="BB608" t="inlineStr">
        <is>
          <t>9780925065308</t>
        </is>
      </c>
      <c r="BC608" t="inlineStr">
        <is>
          <t>32285004278619</t>
        </is>
      </c>
      <c r="BD608" t="inlineStr">
        <is>
          <t>893868307</t>
        </is>
      </c>
    </row>
    <row r="609">
      <c r="A609" t="inlineStr">
        <is>
          <t>No</t>
        </is>
      </c>
      <c r="B609" t="inlineStr">
        <is>
          <t>RC466 .B76 1998</t>
        </is>
      </c>
      <c r="C609" t="inlineStr">
        <is>
          <t>0                      RC 0466000B  76          1998</t>
        </is>
      </c>
      <c r="D609" t="inlineStr">
        <is>
          <t>Psychoeducational groups / Nina W. Brown.</t>
        </is>
      </c>
      <c r="F609" t="inlineStr">
        <is>
          <t>No</t>
        </is>
      </c>
      <c r="G609" t="inlineStr">
        <is>
          <t>1</t>
        </is>
      </c>
      <c r="H609" t="inlineStr">
        <is>
          <t>No</t>
        </is>
      </c>
      <c r="I609" t="inlineStr">
        <is>
          <t>No</t>
        </is>
      </c>
      <c r="J609" t="inlineStr">
        <is>
          <t>0</t>
        </is>
      </c>
      <c r="K609" t="inlineStr">
        <is>
          <t>Brown, Nina W.</t>
        </is>
      </c>
      <c r="L609" t="inlineStr">
        <is>
          <t>Philadelphia, PA : Accelerated Development, c1998.</t>
        </is>
      </c>
      <c r="M609" t="inlineStr">
        <is>
          <t>1998</t>
        </is>
      </c>
      <c r="O609" t="inlineStr">
        <is>
          <t>eng</t>
        </is>
      </c>
      <c r="P609" t="inlineStr">
        <is>
          <t>pau</t>
        </is>
      </c>
      <c r="R609" t="inlineStr">
        <is>
          <t xml:space="preserve">RC </t>
        </is>
      </c>
      <c r="S609" t="n">
        <v>1</v>
      </c>
      <c r="T609" t="n">
        <v>1</v>
      </c>
      <c r="U609" t="inlineStr">
        <is>
          <t>2001-01-08</t>
        </is>
      </c>
      <c r="V609" t="inlineStr">
        <is>
          <t>2001-01-08</t>
        </is>
      </c>
      <c r="W609" t="inlineStr">
        <is>
          <t>2001-01-08</t>
        </is>
      </c>
      <c r="X609" t="inlineStr">
        <is>
          <t>2001-01-08</t>
        </is>
      </c>
      <c r="Y609" t="n">
        <v>99</v>
      </c>
      <c r="Z609" t="n">
        <v>76</v>
      </c>
      <c r="AA609" t="n">
        <v>310</v>
      </c>
      <c r="AB609" t="n">
        <v>1</v>
      </c>
      <c r="AC609" t="n">
        <v>1</v>
      </c>
      <c r="AD609" t="n">
        <v>7</v>
      </c>
      <c r="AE609" t="n">
        <v>13</v>
      </c>
      <c r="AF609" t="n">
        <v>3</v>
      </c>
      <c r="AG609" t="n">
        <v>6</v>
      </c>
      <c r="AH609" t="n">
        <v>1</v>
      </c>
      <c r="AI609" t="n">
        <v>2</v>
      </c>
      <c r="AJ609" t="n">
        <v>5</v>
      </c>
      <c r="AK609" t="n">
        <v>10</v>
      </c>
      <c r="AL609" t="n">
        <v>0</v>
      </c>
      <c r="AM609" t="n">
        <v>0</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HYPERLINK("https://creighton-primo.hosted.exlibrisgroup.com/primo-explore/search?tab=default_tab&amp;search_scope=EVERYTHING&amp;vid=01CRU&amp;lang=en_US&amp;offset=0&amp;query=any,contains,991003330069702656","Catalog Record")</f>
        <v/>
      </c>
      <c r="AT609">
        <f>HYPERLINK("http://www.worldcat.org/oclc/38010546","WorldCat Record")</f>
        <v/>
      </c>
      <c r="AU609" t="inlineStr">
        <is>
          <t>796116128:eng</t>
        </is>
      </c>
      <c r="AV609" t="inlineStr">
        <is>
          <t>38010546</t>
        </is>
      </c>
      <c r="AW609" t="inlineStr">
        <is>
          <t>991003330069702656</t>
        </is>
      </c>
      <c r="AX609" t="inlineStr">
        <is>
          <t>991003330069702656</t>
        </is>
      </c>
      <c r="AY609" t="inlineStr">
        <is>
          <t>2261066360002656</t>
        </is>
      </c>
      <c r="AZ609" t="inlineStr">
        <is>
          <t>BOOK</t>
        </is>
      </c>
      <c r="BB609" t="inlineStr">
        <is>
          <t>9781560326762</t>
        </is>
      </c>
      <c r="BC609" t="inlineStr">
        <is>
          <t>32285004280755</t>
        </is>
      </c>
      <c r="BD609" t="inlineStr">
        <is>
          <t>893617237</t>
        </is>
      </c>
    </row>
    <row r="610">
      <c r="A610" t="inlineStr">
        <is>
          <t>No</t>
        </is>
      </c>
      <c r="B610" t="inlineStr">
        <is>
          <t>RC466.8 .H57 1991, v...</t>
        </is>
      </c>
      <c r="C610" t="inlineStr">
        <is>
          <t>0                      RC 0466800H  57          1991                                        v...</t>
        </is>
      </c>
      <c r="D610" t="inlineStr">
        <is>
          <t>The History of clinical psychology in autobiography / edited by C. Eugene Walker.</t>
        </is>
      </c>
      <c r="E610" t="inlineStr">
        <is>
          <t>V.1</t>
        </is>
      </c>
      <c r="F610" t="inlineStr">
        <is>
          <t>No</t>
        </is>
      </c>
      <c r="G610" t="inlineStr">
        <is>
          <t>1</t>
        </is>
      </c>
      <c r="H610" t="inlineStr">
        <is>
          <t>No</t>
        </is>
      </c>
      <c r="I610" t="inlineStr">
        <is>
          <t>No</t>
        </is>
      </c>
      <c r="J610" t="inlineStr">
        <is>
          <t>0</t>
        </is>
      </c>
      <c r="L610" t="inlineStr">
        <is>
          <t>Pacific Grove, Calif. : Brooks/Cole Pub. Co., c1991-</t>
        </is>
      </c>
      <c r="M610" t="inlineStr">
        <is>
          <t>1991</t>
        </is>
      </c>
      <c r="O610" t="inlineStr">
        <is>
          <t>eng</t>
        </is>
      </c>
      <c r="P610" t="inlineStr">
        <is>
          <t>cau</t>
        </is>
      </c>
      <c r="Q610" t="inlineStr">
        <is>
          <t>Brooks/Cole professional books</t>
        </is>
      </c>
      <c r="R610" t="inlineStr">
        <is>
          <t xml:space="preserve">RC </t>
        </is>
      </c>
      <c r="S610" t="n">
        <v>4</v>
      </c>
      <c r="T610" t="n">
        <v>4</v>
      </c>
      <c r="U610" t="inlineStr">
        <is>
          <t>1996-11-04</t>
        </is>
      </c>
      <c r="V610" t="inlineStr">
        <is>
          <t>1996-11-04</t>
        </is>
      </c>
      <c r="W610" t="inlineStr">
        <is>
          <t>1992-07-28</t>
        </is>
      </c>
      <c r="X610" t="inlineStr">
        <is>
          <t>1992-07-28</t>
        </is>
      </c>
      <c r="Y610" t="n">
        <v>201</v>
      </c>
      <c r="Z610" t="n">
        <v>170</v>
      </c>
      <c r="AA610" t="n">
        <v>173</v>
      </c>
      <c r="AB610" t="n">
        <v>1</v>
      </c>
      <c r="AC610" t="n">
        <v>1</v>
      </c>
      <c r="AD610" t="n">
        <v>15</v>
      </c>
      <c r="AE610" t="n">
        <v>15</v>
      </c>
      <c r="AF610" t="n">
        <v>2</v>
      </c>
      <c r="AG610" t="n">
        <v>2</v>
      </c>
      <c r="AH610" t="n">
        <v>4</v>
      </c>
      <c r="AI610" t="n">
        <v>4</v>
      </c>
      <c r="AJ610" t="n">
        <v>11</v>
      </c>
      <c r="AK610" t="n">
        <v>11</v>
      </c>
      <c r="AL610" t="n">
        <v>0</v>
      </c>
      <c r="AM610" t="n">
        <v>0</v>
      </c>
      <c r="AN610" t="n">
        <v>0</v>
      </c>
      <c r="AO610" t="n">
        <v>0</v>
      </c>
      <c r="AP610" t="inlineStr">
        <is>
          <t>No</t>
        </is>
      </c>
      <c r="AQ610" t="inlineStr">
        <is>
          <t>Yes</t>
        </is>
      </c>
      <c r="AR610">
        <f>HYPERLINK("http://catalog.hathitrust.org/Record/002424257","HathiTrust Record")</f>
        <v/>
      </c>
      <c r="AS610">
        <f>HYPERLINK("https://creighton-primo.hosted.exlibrisgroup.com/primo-explore/search?tab=default_tab&amp;search_scope=EVERYTHING&amp;vid=01CRU&amp;lang=en_US&amp;offset=0&amp;query=any,contains,991001720329702656","Catalog Record")</f>
        <v/>
      </c>
      <c r="AT610">
        <f>HYPERLINK("http://www.worldcat.org/oclc/21678919","WorldCat Record")</f>
        <v/>
      </c>
      <c r="AU610" t="inlineStr">
        <is>
          <t>9565570619:eng</t>
        </is>
      </c>
      <c r="AV610" t="inlineStr">
        <is>
          <t>21678919</t>
        </is>
      </c>
      <c r="AW610" t="inlineStr">
        <is>
          <t>991001720329702656</t>
        </is>
      </c>
      <c r="AX610" t="inlineStr">
        <is>
          <t>991001720329702656</t>
        </is>
      </c>
      <c r="AY610" t="inlineStr">
        <is>
          <t>2255620170002656</t>
        </is>
      </c>
      <c r="AZ610" t="inlineStr">
        <is>
          <t>BOOK</t>
        </is>
      </c>
      <c r="BB610" t="inlineStr">
        <is>
          <t>9780534144364</t>
        </is>
      </c>
      <c r="BC610" t="inlineStr">
        <is>
          <t>32285001195576</t>
        </is>
      </c>
      <c r="BD610" t="inlineStr">
        <is>
          <t>893256442</t>
        </is>
      </c>
    </row>
    <row r="611">
      <c r="A611" t="inlineStr">
        <is>
          <t>No</t>
        </is>
      </c>
      <c r="B611" t="inlineStr">
        <is>
          <t>RC467 .C46</t>
        </is>
      </c>
      <c r="C611" t="inlineStr">
        <is>
          <t>0                      RC 0467000C  46</t>
        </is>
      </c>
      <c r="D611" t="inlineStr">
        <is>
          <t>Manual for clinical psychology practicums / James Choca.</t>
        </is>
      </c>
      <c r="F611" t="inlineStr">
        <is>
          <t>No</t>
        </is>
      </c>
      <c r="G611" t="inlineStr">
        <is>
          <t>1</t>
        </is>
      </c>
      <c r="H611" t="inlineStr">
        <is>
          <t>No</t>
        </is>
      </c>
      <c r="I611" t="inlineStr">
        <is>
          <t>No</t>
        </is>
      </c>
      <c r="J611" t="inlineStr">
        <is>
          <t>0</t>
        </is>
      </c>
      <c r="K611" t="inlineStr">
        <is>
          <t>Choca, James, 1945-</t>
        </is>
      </c>
      <c r="L611" t="inlineStr">
        <is>
          <t>Larchmont, N.Y. : Brunner/Mazel, c1980.</t>
        </is>
      </c>
      <c r="M611" t="inlineStr">
        <is>
          <t>1980</t>
        </is>
      </c>
      <c r="O611" t="inlineStr">
        <is>
          <t>eng</t>
        </is>
      </c>
      <c r="P611" t="inlineStr">
        <is>
          <t>nyu</t>
        </is>
      </c>
      <c r="R611" t="inlineStr">
        <is>
          <t xml:space="preserve">RC </t>
        </is>
      </c>
      <c r="S611" t="n">
        <v>3</v>
      </c>
      <c r="T611" t="n">
        <v>3</v>
      </c>
      <c r="U611" t="inlineStr">
        <is>
          <t>2007-08-28</t>
        </is>
      </c>
      <c r="V611" t="inlineStr">
        <is>
          <t>2007-08-28</t>
        </is>
      </c>
      <c r="W611" t="inlineStr">
        <is>
          <t>1993-03-23</t>
        </is>
      </c>
      <c r="X611" t="inlineStr">
        <is>
          <t>1993-03-23</t>
        </is>
      </c>
      <c r="Y611" t="n">
        <v>234</v>
      </c>
      <c r="Z611" t="n">
        <v>187</v>
      </c>
      <c r="AA611" t="n">
        <v>190</v>
      </c>
      <c r="AB611" t="n">
        <v>2</v>
      </c>
      <c r="AC611" t="n">
        <v>2</v>
      </c>
      <c r="AD611" t="n">
        <v>7</v>
      </c>
      <c r="AE611" t="n">
        <v>7</v>
      </c>
      <c r="AF611" t="n">
        <v>2</v>
      </c>
      <c r="AG611" t="n">
        <v>2</v>
      </c>
      <c r="AH611" t="n">
        <v>1</v>
      </c>
      <c r="AI611" t="n">
        <v>1</v>
      </c>
      <c r="AJ611" t="n">
        <v>4</v>
      </c>
      <c r="AK611" t="n">
        <v>4</v>
      </c>
      <c r="AL611" t="n">
        <v>1</v>
      </c>
      <c r="AM611" t="n">
        <v>1</v>
      </c>
      <c r="AN611" t="n">
        <v>0</v>
      </c>
      <c r="AO611" t="n">
        <v>0</v>
      </c>
      <c r="AP611" t="inlineStr">
        <is>
          <t>No</t>
        </is>
      </c>
      <c r="AQ611" t="inlineStr">
        <is>
          <t>Yes</t>
        </is>
      </c>
      <c r="AR611">
        <f>HYPERLINK("http://catalog.hathitrust.org/Record/000431800","HathiTrust Record")</f>
        <v/>
      </c>
      <c r="AS611">
        <f>HYPERLINK("https://creighton-primo.hosted.exlibrisgroup.com/primo-explore/search?tab=default_tab&amp;search_scope=EVERYTHING&amp;vid=01CRU&amp;lang=en_US&amp;offset=0&amp;query=any,contains,991004998209702656","Catalog Record")</f>
        <v/>
      </c>
      <c r="AT611">
        <f>HYPERLINK("http://www.worldcat.org/oclc/6532309","WorldCat Record")</f>
        <v/>
      </c>
      <c r="AU611" t="inlineStr">
        <is>
          <t>533870:eng</t>
        </is>
      </c>
      <c r="AV611" t="inlineStr">
        <is>
          <t>6532309</t>
        </is>
      </c>
      <c r="AW611" t="inlineStr">
        <is>
          <t>991004998209702656</t>
        </is>
      </c>
      <c r="AX611" t="inlineStr">
        <is>
          <t>991004998209702656</t>
        </is>
      </c>
      <c r="AY611" t="inlineStr">
        <is>
          <t>2262008300002656</t>
        </is>
      </c>
      <c r="AZ611" t="inlineStr">
        <is>
          <t>BOOK</t>
        </is>
      </c>
      <c r="BB611" t="inlineStr">
        <is>
          <t>9780876302408</t>
        </is>
      </c>
      <c r="BC611" t="inlineStr">
        <is>
          <t>32285001606176</t>
        </is>
      </c>
      <c r="BD611" t="inlineStr">
        <is>
          <t>893332258</t>
        </is>
      </c>
    </row>
    <row r="612">
      <c r="A612" t="inlineStr">
        <is>
          <t>No</t>
        </is>
      </c>
      <c r="B612" t="inlineStr">
        <is>
          <t>RC467 .P3</t>
        </is>
      </c>
      <c r="C612" t="inlineStr">
        <is>
          <t>0                      RC 0467000P  3</t>
        </is>
      </c>
      <c r="D612" t="inlineStr">
        <is>
          <t>The psychological assessment of children / [by] James O. Palmer.</t>
        </is>
      </c>
      <c r="F612" t="inlineStr">
        <is>
          <t>No</t>
        </is>
      </c>
      <c r="G612" t="inlineStr">
        <is>
          <t>1</t>
        </is>
      </c>
      <c r="H612" t="inlineStr">
        <is>
          <t>No</t>
        </is>
      </c>
      <c r="I612" t="inlineStr">
        <is>
          <t>Yes</t>
        </is>
      </c>
      <c r="J612" t="inlineStr">
        <is>
          <t>0</t>
        </is>
      </c>
      <c r="K612" t="inlineStr">
        <is>
          <t>Palmer, James O.</t>
        </is>
      </c>
      <c r="L612" t="inlineStr">
        <is>
          <t>New York : Wiley, [1970]</t>
        </is>
      </c>
      <c r="M612" t="inlineStr">
        <is>
          <t>1970</t>
        </is>
      </c>
      <c r="O612" t="inlineStr">
        <is>
          <t>eng</t>
        </is>
      </c>
      <c r="P612" t="inlineStr">
        <is>
          <t>nyu</t>
        </is>
      </c>
      <c r="R612" t="inlineStr">
        <is>
          <t xml:space="preserve">RC </t>
        </is>
      </c>
      <c r="S612" t="n">
        <v>4</v>
      </c>
      <c r="T612" t="n">
        <v>4</v>
      </c>
      <c r="U612" t="inlineStr">
        <is>
          <t>1999-10-29</t>
        </is>
      </c>
      <c r="V612" t="inlineStr">
        <is>
          <t>1999-10-29</t>
        </is>
      </c>
      <c r="W612" t="inlineStr">
        <is>
          <t>1995-04-03</t>
        </is>
      </c>
      <c r="X612" t="inlineStr">
        <is>
          <t>1995-04-03</t>
        </is>
      </c>
      <c r="Y612" t="n">
        <v>574</v>
      </c>
      <c r="Z612" t="n">
        <v>443</v>
      </c>
      <c r="AA612" t="n">
        <v>639</v>
      </c>
      <c r="AB612" t="n">
        <v>5</v>
      </c>
      <c r="AC612" t="n">
        <v>6</v>
      </c>
      <c r="AD612" t="n">
        <v>17</v>
      </c>
      <c r="AE612" t="n">
        <v>23</v>
      </c>
      <c r="AF612" t="n">
        <v>5</v>
      </c>
      <c r="AG612" t="n">
        <v>7</v>
      </c>
      <c r="AH612" t="n">
        <v>4</v>
      </c>
      <c r="AI612" t="n">
        <v>6</v>
      </c>
      <c r="AJ612" t="n">
        <v>8</v>
      </c>
      <c r="AK612" t="n">
        <v>10</v>
      </c>
      <c r="AL612" t="n">
        <v>4</v>
      </c>
      <c r="AM612" t="n">
        <v>5</v>
      </c>
      <c r="AN612" t="n">
        <v>0</v>
      </c>
      <c r="AO612" t="n">
        <v>0</v>
      </c>
      <c r="AP612" t="inlineStr">
        <is>
          <t>No</t>
        </is>
      </c>
      <c r="AQ612" t="inlineStr">
        <is>
          <t>Yes</t>
        </is>
      </c>
      <c r="AR612">
        <f>HYPERLINK("http://catalog.hathitrust.org/Record/001564328","HathiTrust Record")</f>
        <v/>
      </c>
      <c r="AS612">
        <f>HYPERLINK("https://creighton-primo.hosted.exlibrisgroup.com/primo-explore/search?tab=default_tab&amp;search_scope=EVERYTHING&amp;vid=01CRU&amp;lang=en_US&amp;offset=0&amp;query=any,contains,991000401689702656","Catalog Record")</f>
        <v/>
      </c>
      <c r="AT612">
        <f>HYPERLINK("http://www.worldcat.org/oclc/73529","WorldCat Record")</f>
        <v/>
      </c>
      <c r="AU612" t="inlineStr">
        <is>
          <t>1244871:eng</t>
        </is>
      </c>
      <c r="AV612" t="inlineStr">
        <is>
          <t>73529</t>
        </is>
      </c>
      <c r="AW612" t="inlineStr">
        <is>
          <t>991000401689702656</t>
        </is>
      </c>
      <c r="AX612" t="inlineStr">
        <is>
          <t>991000401689702656</t>
        </is>
      </c>
      <c r="AY612" t="inlineStr">
        <is>
          <t>2269912780002656</t>
        </is>
      </c>
      <c r="AZ612" t="inlineStr">
        <is>
          <t>BOOK</t>
        </is>
      </c>
      <c r="BB612" t="inlineStr">
        <is>
          <t>9780471657729</t>
        </is>
      </c>
      <c r="BC612" t="inlineStr">
        <is>
          <t>32285002014685</t>
        </is>
      </c>
      <c r="BD612" t="inlineStr">
        <is>
          <t>893224952</t>
        </is>
      </c>
    </row>
    <row r="613">
      <c r="A613" t="inlineStr">
        <is>
          <t>No</t>
        </is>
      </c>
      <c r="B613" t="inlineStr">
        <is>
          <t>RC467 .S58 1988</t>
        </is>
      </c>
      <c r="C613" t="inlineStr">
        <is>
          <t>0                      RC 0467000S  58          1988</t>
        </is>
      </c>
      <c r="D613" t="inlineStr">
        <is>
          <t>Social cognition and clinical psychology : a synthesis / edited by Lyn Y. Abramson.</t>
        </is>
      </c>
      <c r="F613" t="inlineStr">
        <is>
          <t>No</t>
        </is>
      </c>
      <c r="G613" t="inlineStr">
        <is>
          <t>1</t>
        </is>
      </c>
      <c r="H613" t="inlineStr">
        <is>
          <t>Yes</t>
        </is>
      </c>
      <c r="I613" t="inlineStr">
        <is>
          <t>No</t>
        </is>
      </c>
      <c r="J613" t="inlineStr">
        <is>
          <t>0</t>
        </is>
      </c>
      <c r="L613" t="inlineStr">
        <is>
          <t>New York : Guilford Press, c1988.</t>
        </is>
      </c>
      <c r="M613" t="inlineStr">
        <is>
          <t>1988</t>
        </is>
      </c>
      <c r="O613" t="inlineStr">
        <is>
          <t>eng</t>
        </is>
      </c>
      <c r="P613" t="inlineStr">
        <is>
          <t>nyu</t>
        </is>
      </c>
      <c r="R613" t="inlineStr">
        <is>
          <t xml:space="preserve">RC </t>
        </is>
      </c>
      <c r="S613" t="n">
        <v>11</v>
      </c>
      <c r="T613" t="n">
        <v>16</v>
      </c>
      <c r="U613" t="inlineStr">
        <is>
          <t>2006-02-21</t>
        </is>
      </c>
      <c r="V613" t="inlineStr">
        <is>
          <t>2006-02-21</t>
        </is>
      </c>
      <c r="W613" t="inlineStr">
        <is>
          <t>1991-01-04</t>
        </is>
      </c>
      <c r="X613" t="inlineStr">
        <is>
          <t>1992-04-02</t>
        </is>
      </c>
      <c r="Y613" t="n">
        <v>370</v>
      </c>
      <c r="Z613" t="n">
        <v>284</v>
      </c>
      <c r="AA613" t="n">
        <v>284</v>
      </c>
      <c r="AB613" t="n">
        <v>4</v>
      </c>
      <c r="AC613" t="n">
        <v>4</v>
      </c>
      <c r="AD613" t="n">
        <v>21</v>
      </c>
      <c r="AE613" t="n">
        <v>21</v>
      </c>
      <c r="AF613" t="n">
        <v>8</v>
      </c>
      <c r="AG613" t="n">
        <v>8</v>
      </c>
      <c r="AH613" t="n">
        <v>5</v>
      </c>
      <c r="AI613" t="n">
        <v>5</v>
      </c>
      <c r="AJ613" t="n">
        <v>13</v>
      </c>
      <c r="AK613" t="n">
        <v>13</v>
      </c>
      <c r="AL613" t="n">
        <v>2</v>
      </c>
      <c r="AM613" t="n">
        <v>2</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HYPERLINK("https://creighton-primo.hosted.exlibrisgroup.com/primo-explore/search?tab=default_tab&amp;search_scope=EVERYTHING&amp;vid=01CRU&amp;lang=en_US&amp;offset=0&amp;query=any,contains,991001793779702656","Catalog Record")</f>
        <v/>
      </c>
      <c r="AT613">
        <f>HYPERLINK("http://www.worldcat.org/oclc/14003274","WorldCat Record")</f>
        <v/>
      </c>
      <c r="AU613" t="inlineStr">
        <is>
          <t>54846365:eng</t>
        </is>
      </c>
      <c r="AV613" t="inlineStr">
        <is>
          <t>14003274</t>
        </is>
      </c>
      <c r="AW613" t="inlineStr">
        <is>
          <t>991001793779702656</t>
        </is>
      </c>
      <c r="AX613" t="inlineStr">
        <is>
          <t>991001793779702656</t>
        </is>
      </c>
      <c r="AY613" t="inlineStr">
        <is>
          <t>2255926650002656</t>
        </is>
      </c>
      <c r="AZ613" t="inlineStr">
        <is>
          <t>BOOK</t>
        </is>
      </c>
      <c r="BB613" t="inlineStr">
        <is>
          <t>9780898620115</t>
        </is>
      </c>
      <c r="BC613" t="inlineStr">
        <is>
          <t>32285000407691</t>
        </is>
      </c>
      <c r="BD613" t="inlineStr">
        <is>
          <t>893316073</t>
        </is>
      </c>
    </row>
    <row r="614">
      <c r="A614" t="inlineStr">
        <is>
          <t>No</t>
        </is>
      </c>
      <c r="B614" t="inlineStr">
        <is>
          <t>RC467 .W6</t>
        </is>
      </c>
      <c r="C614" t="inlineStr">
        <is>
          <t>0                      RC 0467000W  6</t>
        </is>
      </c>
      <c r="D614" t="inlineStr">
        <is>
          <t>Handbook of clinical psychology / edited by Benjamin B. Wolman with consulting editors Gordon F. Derner [and others]</t>
        </is>
      </c>
      <c r="F614" t="inlineStr">
        <is>
          <t>No</t>
        </is>
      </c>
      <c r="G614" t="inlineStr">
        <is>
          <t>1</t>
        </is>
      </c>
      <c r="H614" t="inlineStr">
        <is>
          <t>Yes</t>
        </is>
      </c>
      <c r="I614" t="inlineStr">
        <is>
          <t>No</t>
        </is>
      </c>
      <c r="J614" t="inlineStr">
        <is>
          <t>0</t>
        </is>
      </c>
      <c r="K614" t="inlineStr">
        <is>
          <t>Wolman, Benjamin B. editor.</t>
        </is>
      </c>
      <c r="L614" t="inlineStr">
        <is>
          <t>New York : McGraw-Hill, [1965]</t>
        </is>
      </c>
      <c r="M614" t="inlineStr">
        <is>
          <t>1965</t>
        </is>
      </c>
      <c r="O614" t="inlineStr">
        <is>
          <t>eng</t>
        </is>
      </c>
      <c r="P614" t="inlineStr">
        <is>
          <t>nyu</t>
        </is>
      </c>
      <c r="R614" t="inlineStr">
        <is>
          <t xml:space="preserve">RC </t>
        </is>
      </c>
      <c r="S614" t="n">
        <v>2</v>
      </c>
      <c r="T614" t="n">
        <v>3</v>
      </c>
      <c r="V614" t="inlineStr">
        <is>
          <t>2000-03-20</t>
        </is>
      </c>
      <c r="W614" t="inlineStr">
        <is>
          <t>2000-02-02</t>
        </is>
      </c>
      <c r="X614" t="inlineStr">
        <is>
          <t>2000-02-02</t>
        </is>
      </c>
      <c r="Y614" t="n">
        <v>684</v>
      </c>
      <c r="Z614" t="n">
        <v>525</v>
      </c>
      <c r="AA614" t="n">
        <v>533</v>
      </c>
      <c r="AB614" t="n">
        <v>6</v>
      </c>
      <c r="AC614" t="n">
        <v>6</v>
      </c>
      <c r="AD614" t="n">
        <v>21</v>
      </c>
      <c r="AE614" t="n">
        <v>21</v>
      </c>
      <c r="AF614" t="n">
        <v>4</v>
      </c>
      <c r="AG614" t="n">
        <v>4</v>
      </c>
      <c r="AH614" t="n">
        <v>5</v>
      </c>
      <c r="AI614" t="n">
        <v>5</v>
      </c>
      <c r="AJ614" t="n">
        <v>12</v>
      </c>
      <c r="AK614" t="n">
        <v>12</v>
      </c>
      <c r="AL614" t="n">
        <v>4</v>
      </c>
      <c r="AM614" t="n">
        <v>4</v>
      </c>
      <c r="AN614" t="n">
        <v>0</v>
      </c>
      <c r="AO614" t="n">
        <v>0</v>
      </c>
      <c r="AP614" t="inlineStr">
        <is>
          <t>No</t>
        </is>
      </c>
      <c r="AQ614" t="inlineStr">
        <is>
          <t>Yes</t>
        </is>
      </c>
      <c r="AR614">
        <f>HYPERLINK("http://catalog.hathitrust.org/Record/001564350","HathiTrust Record")</f>
        <v/>
      </c>
      <c r="AS614">
        <f>HYPERLINK("https://creighton-primo.hosted.exlibrisgroup.com/primo-explore/search?tab=default_tab&amp;search_scope=EVERYTHING&amp;vid=01CRU&amp;lang=en_US&amp;offset=0&amp;query=any,contains,991001779379702656","Catalog Record")</f>
        <v/>
      </c>
      <c r="AT614">
        <f>HYPERLINK("http://www.worldcat.org/oclc/241975","WorldCat Record")</f>
        <v/>
      </c>
      <c r="AU614" t="inlineStr">
        <is>
          <t>346594301:eng</t>
        </is>
      </c>
      <c r="AV614" t="inlineStr">
        <is>
          <t>241975</t>
        </is>
      </c>
      <c r="AW614" t="inlineStr">
        <is>
          <t>991001779379702656</t>
        </is>
      </c>
      <c r="AX614" t="inlineStr">
        <is>
          <t>991001779379702656</t>
        </is>
      </c>
      <c r="AY614" t="inlineStr">
        <is>
          <t>2271721760002656</t>
        </is>
      </c>
      <c r="AZ614" t="inlineStr">
        <is>
          <t>BOOK</t>
        </is>
      </c>
      <c r="BC614" t="inlineStr">
        <is>
          <t>32285003658506</t>
        </is>
      </c>
      <c r="BD614" t="inlineStr">
        <is>
          <t>893615374</t>
        </is>
      </c>
    </row>
    <row r="615">
      <c r="A615" t="inlineStr">
        <is>
          <t>No</t>
        </is>
      </c>
      <c r="B615" t="inlineStr">
        <is>
          <t>RC467.7 .I58 1987</t>
        </is>
      </c>
      <c r="C615" t="inlineStr">
        <is>
          <t>0                      RC 0467700I  58          1987</t>
        </is>
      </c>
      <c r="D615" t="inlineStr">
        <is>
          <t>Internship training in professional psychology / edited by Richard H. Dana, W. Theodore May.</t>
        </is>
      </c>
      <c r="F615" t="inlineStr">
        <is>
          <t>No</t>
        </is>
      </c>
      <c r="G615" t="inlineStr">
        <is>
          <t>1</t>
        </is>
      </c>
      <c r="H615" t="inlineStr">
        <is>
          <t>No</t>
        </is>
      </c>
      <c r="I615" t="inlineStr">
        <is>
          <t>No</t>
        </is>
      </c>
      <c r="J615" t="inlineStr">
        <is>
          <t>0</t>
        </is>
      </c>
      <c r="L615" t="inlineStr">
        <is>
          <t>Washington : Hemisphere Pub. Corp., c1987.</t>
        </is>
      </c>
      <c r="M615" t="inlineStr">
        <is>
          <t>1987</t>
        </is>
      </c>
      <c r="O615" t="inlineStr">
        <is>
          <t>eng</t>
        </is>
      </c>
      <c r="P615" t="inlineStr">
        <is>
          <t>dcu</t>
        </is>
      </c>
      <c r="Q615" t="inlineStr">
        <is>
          <t>The Series in clinical and community psychology, 0146-0846</t>
        </is>
      </c>
      <c r="R615" t="inlineStr">
        <is>
          <t xml:space="preserve">RC </t>
        </is>
      </c>
      <c r="S615" t="n">
        <v>2</v>
      </c>
      <c r="T615" t="n">
        <v>2</v>
      </c>
      <c r="U615" t="inlineStr">
        <is>
          <t>2006-09-05</t>
        </is>
      </c>
      <c r="V615" t="inlineStr">
        <is>
          <t>2006-09-05</t>
        </is>
      </c>
      <c r="W615" t="inlineStr">
        <is>
          <t>1992-10-06</t>
        </is>
      </c>
      <c r="X615" t="inlineStr">
        <is>
          <t>1992-10-06</t>
        </is>
      </c>
      <c r="Y615" t="n">
        <v>200</v>
      </c>
      <c r="Z615" t="n">
        <v>158</v>
      </c>
      <c r="AA615" t="n">
        <v>158</v>
      </c>
      <c r="AB615" t="n">
        <v>3</v>
      </c>
      <c r="AC615" t="n">
        <v>3</v>
      </c>
      <c r="AD615" t="n">
        <v>9</v>
      </c>
      <c r="AE615" t="n">
        <v>9</v>
      </c>
      <c r="AF615" t="n">
        <v>1</v>
      </c>
      <c r="AG615" t="n">
        <v>1</v>
      </c>
      <c r="AH615" t="n">
        <v>2</v>
      </c>
      <c r="AI615" t="n">
        <v>2</v>
      </c>
      <c r="AJ615" t="n">
        <v>6</v>
      </c>
      <c r="AK615" t="n">
        <v>6</v>
      </c>
      <c r="AL615" t="n">
        <v>2</v>
      </c>
      <c r="AM615" t="n">
        <v>2</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HYPERLINK("https://creighton-primo.hosted.exlibrisgroup.com/primo-explore/search?tab=default_tab&amp;search_scope=EVERYTHING&amp;vid=01CRU&amp;lang=en_US&amp;offset=0&amp;query=any,contains,991000902259702656","Catalog Record")</f>
        <v/>
      </c>
      <c r="AT615">
        <f>HYPERLINK("http://www.worldcat.org/oclc/14068424","WorldCat Record")</f>
        <v/>
      </c>
      <c r="AU615" t="inlineStr">
        <is>
          <t>351752130:eng</t>
        </is>
      </c>
      <c r="AV615" t="inlineStr">
        <is>
          <t>14068424</t>
        </is>
      </c>
      <c r="AW615" t="inlineStr">
        <is>
          <t>991000902259702656</t>
        </is>
      </c>
      <c r="AX615" t="inlineStr">
        <is>
          <t>991000902259702656</t>
        </is>
      </c>
      <c r="AY615" t="inlineStr">
        <is>
          <t>2256755770002656</t>
        </is>
      </c>
      <c r="AZ615" t="inlineStr">
        <is>
          <t>BOOK</t>
        </is>
      </c>
      <c r="BB615" t="inlineStr">
        <is>
          <t>9780891167730</t>
        </is>
      </c>
      <c r="BC615" t="inlineStr">
        <is>
          <t>32285001326684</t>
        </is>
      </c>
      <c r="BD615" t="inlineStr">
        <is>
          <t>893432410</t>
        </is>
      </c>
    </row>
    <row r="616">
      <c r="A616" t="inlineStr">
        <is>
          <t>No</t>
        </is>
      </c>
      <c r="B616" t="inlineStr">
        <is>
          <t>RC467.97 .P745 2003</t>
        </is>
      </c>
      <c r="C616" t="inlineStr">
        <is>
          <t>0                      RC 0467970P  745         2003</t>
        </is>
      </c>
      <c r="D616" t="inlineStr">
        <is>
          <t>Prescriptive authority for psychologists : a history and guide / edited by Morgan T. Sammons, Ronald F. Levant, and Ruth Ullmann Paige.</t>
        </is>
      </c>
      <c r="F616" t="inlineStr">
        <is>
          <t>No</t>
        </is>
      </c>
      <c r="G616" t="inlineStr">
        <is>
          <t>1</t>
        </is>
      </c>
      <c r="H616" t="inlineStr">
        <is>
          <t>No</t>
        </is>
      </c>
      <c r="I616" t="inlineStr">
        <is>
          <t>No</t>
        </is>
      </c>
      <c r="J616" t="inlineStr">
        <is>
          <t>0</t>
        </is>
      </c>
      <c r="L616" t="inlineStr">
        <is>
          <t>Washington, DC : American Psychological Association, c2003.</t>
        </is>
      </c>
      <c r="M616" t="inlineStr">
        <is>
          <t>2003</t>
        </is>
      </c>
      <c r="N616" t="inlineStr">
        <is>
          <t>1st ed.</t>
        </is>
      </c>
      <c r="O616" t="inlineStr">
        <is>
          <t>eng</t>
        </is>
      </c>
      <c r="P616" t="inlineStr">
        <is>
          <t>dcu</t>
        </is>
      </c>
      <c r="R616" t="inlineStr">
        <is>
          <t xml:space="preserve">RC </t>
        </is>
      </c>
      <c r="S616" t="n">
        <v>1</v>
      </c>
      <c r="T616" t="n">
        <v>1</v>
      </c>
      <c r="U616" t="inlineStr">
        <is>
          <t>2006-11-13</t>
        </is>
      </c>
      <c r="V616" t="inlineStr">
        <is>
          <t>2006-11-13</t>
        </is>
      </c>
      <c r="W616" t="inlineStr">
        <is>
          <t>2003-02-03</t>
        </is>
      </c>
      <c r="X616" t="inlineStr">
        <is>
          <t>2003-02-03</t>
        </is>
      </c>
      <c r="Y616" t="n">
        <v>203</v>
      </c>
      <c r="Z616" t="n">
        <v>170</v>
      </c>
      <c r="AA616" t="n">
        <v>256</v>
      </c>
      <c r="AB616" t="n">
        <v>2</v>
      </c>
      <c r="AC616" t="n">
        <v>3</v>
      </c>
      <c r="AD616" t="n">
        <v>6</v>
      </c>
      <c r="AE616" t="n">
        <v>13</v>
      </c>
      <c r="AF616" t="n">
        <v>1</v>
      </c>
      <c r="AG616" t="n">
        <v>3</v>
      </c>
      <c r="AH616" t="n">
        <v>2</v>
      </c>
      <c r="AI616" t="n">
        <v>2</v>
      </c>
      <c r="AJ616" t="n">
        <v>4</v>
      </c>
      <c r="AK616" t="n">
        <v>8</v>
      </c>
      <c r="AL616" t="n">
        <v>1</v>
      </c>
      <c r="AM616" t="n">
        <v>2</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HYPERLINK("https://creighton-primo.hosted.exlibrisgroup.com/primo-explore/search?tab=default_tab&amp;search_scope=EVERYTHING&amp;vid=01CRU&amp;lang=en_US&amp;offset=0&amp;query=any,contains,991003977869702656","Catalog Record")</f>
        <v/>
      </c>
      <c r="AT616">
        <f>HYPERLINK("http://www.worldcat.org/oclc/50725481","WorldCat Record")</f>
        <v/>
      </c>
      <c r="AU616" t="inlineStr">
        <is>
          <t>2863434713:eng</t>
        </is>
      </c>
      <c r="AV616" t="inlineStr">
        <is>
          <t>50725481</t>
        </is>
      </c>
      <c r="AW616" t="inlineStr">
        <is>
          <t>991003977869702656</t>
        </is>
      </c>
      <c r="AX616" t="inlineStr">
        <is>
          <t>991003977869702656</t>
        </is>
      </c>
      <c r="AY616" t="inlineStr">
        <is>
          <t>2258372360002656</t>
        </is>
      </c>
      <c r="AZ616" t="inlineStr">
        <is>
          <t>BOOK</t>
        </is>
      </c>
      <c r="BB616" t="inlineStr">
        <is>
          <t>9781557989772</t>
        </is>
      </c>
      <c r="BC616" t="inlineStr">
        <is>
          <t>32285004696836</t>
        </is>
      </c>
      <c r="BD616" t="inlineStr">
        <is>
          <t>893875540</t>
        </is>
      </c>
    </row>
    <row r="617">
      <c r="A617" t="inlineStr">
        <is>
          <t>No</t>
        </is>
      </c>
      <c r="B617" t="inlineStr">
        <is>
          <t>RC469 . R58 2000</t>
        </is>
      </c>
      <c r="C617" t="inlineStr">
        <is>
          <t>0                      RC 0469000R  58          2000</t>
        </is>
      </c>
      <c r="D617" t="inlineStr">
        <is>
          <t>Conducting insanity evaluations / Richard Rogers, Daniel W. Shuman.</t>
        </is>
      </c>
      <c r="F617" t="inlineStr">
        <is>
          <t>No</t>
        </is>
      </c>
      <c r="G617" t="inlineStr">
        <is>
          <t>1</t>
        </is>
      </c>
      <c r="H617" t="inlineStr">
        <is>
          <t>No</t>
        </is>
      </c>
      <c r="I617" t="inlineStr">
        <is>
          <t>No</t>
        </is>
      </c>
      <c r="J617" t="inlineStr">
        <is>
          <t>0</t>
        </is>
      </c>
      <c r="K617" t="inlineStr">
        <is>
          <t>Rogers, Richard, 1950-</t>
        </is>
      </c>
      <c r="L617" t="inlineStr">
        <is>
          <t>New York : Guilford Press, c2000.</t>
        </is>
      </c>
      <c r="M617" t="inlineStr">
        <is>
          <t>2000</t>
        </is>
      </c>
      <c r="N617" t="inlineStr">
        <is>
          <t>2nd ed.</t>
        </is>
      </c>
      <c r="O617" t="inlineStr">
        <is>
          <t>eng</t>
        </is>
      </c>
      <c r="P617" t="inlineStr">
        <is>
          <t>nyu</t>
        </is>
      </c>
      <c r="R617" t="inlineStr">
        <is>
          <t xml:space="preserve">RC </t>
        </is>
      </c>
      <c r="S617" t="n">
        <v>4</v>
      </c>
      <c r="T617" t="n">
        <v>4</v>
      </c>
      <c r="U617" t="inlineStr">
        <is>
          <t>2007-02-28</t>
        </is>
      </c>
      <c r="V617" t="inlineStr">
        <is>
          <t>2007-02-28</t>
        </is>
      </c>
      <c r="W617" t="inlineStr">
        <is>
          <t>2005-04-04</t>
        </is>
      </c>
      <c r="X617" t="inlineStr">
        <is>
          <t>2005-04-04</t>
        </is>
      </c>
      <c r="Y617" t="n">
        <v>315</v>
      </c>
      <c r="Z617" t="n">
        <v>279</v>
      </c>
      <c r="AA617" t="n">
        <v>524</v>
      </c>
      <c r="AB617" t="n">
        <v>2</v>
      </c>
      <c r="AC617" t="n">
        <v>3</v>
      </c>
      <c r="AD617" t="n">
        <v>22</v>
      </c>
      <c r="AE617" t="n">
        <v>35</v>
      </c>
      <c r="AF617" t="n">
        <v>6</v>
      </c>
      <c r="AG617" t="n">
        <v>11</v>
      </c>
      <c r="AH617" t="n">
        <v>2</v>
      </c>
      <c r="AI617" t="n">
        <v>7</v>
      </c>
      <c r="AJ617" t="n">
        <v>9</v>
      </c>
      <c r="AK617" t="n">
        <v>14</v>
      </c>
      <c r="AL617" t="n">
        <v>1</v>
      </c>
      <c r="AM617" t="n">
        <v>2</v>
      </c>
      <c r="AN617" t="n">
        <v>8</v>
      </c>
      <c r="AO617" t="n">
        <v>9</v>
      </c>
      <c r="AP617" t="inlineStr">
        <is>
          <t>No</t>
        </is>
      </c>
      <c r="AQ617" t="inlineStr">
        <is>
          <t>No</t>
        </is>
      </c>
      <c r="AS617">
        <f>HYPERLINK("https://creighton-primo.hosted.exlibrisgroup.com/primo-explore/search?tab=default_tab&amp;search_scope=EVERYTHING&amp;vid=01CRU&amp;lang=en_US&amp;offset=0&amp;query=any,contains,991004511069702656","Catalog Record")</f>
        <v/>
      </c>
      <c r="AT617">
        <f>HYPERLINK("http://www.worldcat.org/oclc/42683386","WorldCat Record")</f>
        <v/>
      </c>
      <c r="AU617" t="inlineStr">
        <is>
          <t>109390:eng</t>
        </is>
      </c>
      <c r="AV617" t="inlineStr">
        <is>
          <t>42683386</t>
        </is>
      </c>
      <c r="AW617" t="inlineStr">
        <is>
          <t>991004511069702656</t>
        </is>
      </c>
      <c r="AX617" t="inlineStr">
        <is>
          <t>991004511069702656</t>
        </is>
      </c>
      <c r="AY617" t="inlineStr">
        <is>
          <t>2263528030002656</t>
        </is>
      </c>
      <c r="AZ617" t="inlineStr">
        <is>
          <t>BOOK</t>
        </is>
      </c>
      <c r="BB617" t="inlineStr">
        <is>
          <t>9781572305212</t>
        </is>
      </c>
      <c r="BC617" t="inlineStr">
        <is>
          <t>32285005047468</t>
        </is>
      </c>
      <c r="BD617" t="inlineStr">
        <is>
          <t>893687817</t>
        </is>
      </c>
    </row>
    <row r="618">
      <c r="A618" t="inlineStr">
        <is>
          <t>No</t>
        </is>
      </c>
      <c r="B618" t="inlineStr">
        <is>
          <t>RC469 .A8</t>
        </is>
      </c>
      <c r="C618" t="inlineStr">
        <is>
          <t>0                      RC 0469000A  8</t>
        </is>
      </c>
      <c r="D618" t="inlineStr">
        <is>
          <t>Assessment strategies for cognitive-behavioral interventions / edited by Philip C. Kendall, Steven D. Hollon.</t>
        </is>
      </c>
      <c r="F618" t="inlineStr">
        <is>
          <t>No</t>
        </is>
      </c>
      <c r="G618" t="inlineStr">
        <is>
          <t>1</t>
        </is>
      </c>
      <c r="H618" t="inlineStr">
        <is>
          <t>No</t>
        </is>
      </c>
      <c r="I618" t="inlineStr">
        <is>
          <t>No</t>
        </is>
      </c>
      <c r="J618" t="inlineStr">
        <is>
          <t>0</t>
        </is>
      </c>
      <c r="L618" t="inlineStr">
        <is>
          <t>New York : Academic Press, c1981.</t>
        </is>
      </c>
      <c r="M618" t="inlineStr">
        <is>
          <t>1981</t>
        </is>
      </c>
      <c r="O618" t="inlineStr">
        <is>
          <t>eng</t>
        </is>
      </c>
      <c r="P618" t="inlineStr">
        <is>
          <t>nyu</t>
        </is>
      </c>
      <c r="Q618" t="inlineStr">
        <is>
          <t>Personality and psychopathology</t>
        </is>
      </c>
      <c r="R618" t="inlineStr">
        <is>
          <t xml:space="preserve">RC </t>
        </is>
      </c>
      <c r="S618" t="n">
        <v>10</v>
      </c>
      <c r="T618" t="n">
        <v>10</v>
      </c>
      <c r="U618" t="inlineStr">
        <is>
          <t>1999-11-07</t>
        </is>
      </c>
      <c r="V618" t="inlineStr">
        <is>
          <t>1999-11-07</t>
        </is>
      </c>
      <c r="W618" t="inlineStr">
        <is>
          <t>1990-06-29</t>
        </is>
      </c>
      <c r="X618" t="inlineStr">
        <is>
          <t>1990-06-29</t>
        </is>
      </c>
      <c r="Y618" t="n">
        <v>412</v>
      </c>
      <c r="Z618" t="n">
        <v>286</v>
      </c>
      <c r="AA618" t="n">
        <v>328</v>
      </c>
      <c r="AB618" t="n">
        <v>3</v>
      </c>
      <c r="AC618" t="n">
        <v>3</v>
      </c>
      <c r="AD618" t="n">
        <v>18</v>
      </c>
      <c r="AE618" t="n">
        <v>21</v>
      </c>
      <c r="AF618" t="n">
        <v>8</v>
      </c>
      <c r="AG618" t="n">
        <v>10</v>
      </c>
      <c r="AH618" t="n">
        <v>3</v>
      </c>
      <c r="AI618" t="n">
        <v>5</v>
      </c>
      <c r="AJ618" t="n">
        <v>11</v>
      </c>
      <c r="AK618" t="n">
        <v>11</v>
      </c>
      <c r="AL618" t="n">
        <v>2</v>
      </c>
      <c r="AM618" t="n">
        <v>2</v>
      </c>
      <c r="AN618" t="n">
        <v>0</v>
      </c>
      <c r="AO618" t="n">
        <v>0</v>
      </c>
      <c r="AP618" t="inlineStr">
        <is>
          <t>No</t>
        </is>
      </c>
      <c r="AQ618" t="inlineStr">
        <is>
          <t>Yes</t>
        </is>
      </c>
      <c r="AR618">
        <f>HYPERLINK("http://catalog.hathitrust.org/Record/000098247","HathiTrust Record")</f>
        <v/>
      </c>
      <c r="AS618">
        <f>HYPERLINK("https://creighton-primo.hosted.exlibrisgroup.com/primo-explore/search?tab=default_tab&amp;search_scope=EVERYTHING&amp;vid=01CRU&amp;lang=en_US&amp;offset=0&amp;query=any,contains,991005055149702656","Catalog Record")</f>
        <v/>
      </c>
      <c r="AT618">
        <f>HYPERLINK("http://www.worldcat.org/oclc/6891128","WorldCat Record")</f>
        <v/>
      </c>
      <c r="AU618" t="inlineStr">
        <is>
          <t>351751716:eng</t>
        </is>
      </c>
      <c r="AV618" t="inlineStr">
        <is>
          <t>6891128</t>
        </is>
      </c>
      <c r="AW618" t="inlineStr">
        <is>
          <t>991005055149702656</t>
        </is>
      </c>
      <c r="AX618" t="inlineStr">
        <is>
          <t>991005055149702656</t>
        </is>
      </c>
      <c r="AY618" t="inlineStr">
        <is>
          <t>2261976610002656</t>
        </is>
      </c>
      <c r="AZ618" t="inlineStr">
        <is>
          <t>BOOK</t>
        </is>
      </c>
      <c r="BB618" t="inlineStr">
        <is>
          <t>9780124044609</t>
        </is>
      </c>
      <c r="BC618" t="inlineStr">
        <is>
          <t>32285000217538</t>
        </is>
      </c>
      <c r="BD618" t="inlineStr">
        <is>
          <t>893694682</t>
        </is>
      </c>
    </row>
    <row r="619">
      <c r="A619" t="inlineStr">
        <is>
          <t>No</t>
        </is>
      </c>
      <c r="B619" t="inlineStr">
        <is>
          <t>RC469 .B56 1997</t>
        </is>
      </c>
      <c r="C619" t="inlineStr">
        <is>
          <t>0                      RC 0469000B  56          1997</t>
        </is>
      </c>
      <c r="D619" t="inlineStr">
        <is>
          <t>Understanding troubled minds : a guide to mental illness and its treatment / Sidney Bloch and Bruce S. Singh.</t>
        </is>
      </c>
      <c r="F619" t="inlineStr">
        <is>
          <t>No</t>
        </is>
      </c>
      <c r="G619" t="inlineStr">
        <is>
          <t>1</t>
        </is>
      </c>
      <c r="H619" t="inlineStr">
        <is>
          <t>No</t>
        </is>
      </c>
      <c r="I619" t="inlineStr">
        <is>
          <t>No</t>
        </is>
      </c>
      <c r="J619" t="inlineStr">
        <is>
          <t>0</t>
        </is>
      </c>
      <c r="K619" t="inlineStr">
        <is>
          <t>Bloch, Sidney.</t>
        </is>
      </c>
      <c r="L619" t="inlineStr">
        <is>
          <t>Carlton South, Vic. : Melbourne University Press, 1997.</t>
        </is>
      </c>
      <c r="M619" t="inlineStr">
        <is>
          <t>1997</t>
        </is>
      </c>
      <c r="O619" t="inlineStr">
        <is>
          <t>eng</t>
        </is>
      </c>
      <c r="P619" t="inlineStr">
        <is>
          <t xml:space="preserve">at </t>
        </is>
      </c>
      <c r="R619" t="inlineStr">
        <is>
          <t xml:space="preserve">RC </t>
        </is>
      </c>
      <c r="S619" t="n">
        <v>13</v>
      </c>
      <c r="T619" t="n">
        <v>13</v>
      </c>
      <c r="U619" t="inlineStr">
        <is>
          <t>2006-11-01</t>
        </is>
      </c>
      <c r="V619" t="inlineStr">
        <is>
          <t>2006-11-01</t>
        </is>
      </c>
      <c r="W619" t="inlineStr">
        <is>
          <t>1998-08-27</t>
        </is>
      </c>
      <c r="X619" t="inlineStr">
        <is>
          <t>1998-08-27</t>
        </is>
      </c>
      <c r="Y619" t="n">
        <v>123</v>
      </c>
      <c r="Z619" t="n">
        <v>15</v>
      </c>
      <c r="AA619" t="n">
        <v>245</v>
      </c>
      <c r="AB619" t="n">
        <v>1</v>
      </c>
      <c r="AC619" t="n">
        <v>1</v>
      </c>
      <c r="AD619" t="n">
        <v>0</v>
      </c>
      <c r="AE619" t="n">
        <v>7</v>
      </c>
      <c r="AF619" t="n">
        <v>0</v>
      </c>
      <c r="AG619" t="n">
        <v>3</v>
      </c>
      <c r="AH619" t="n">
        <v>0</v>
      </c>
      <c r="AI619" t="n">
        <v>1</v>
      </c>
      <c r="AJ619" t="n">
        <v>0</v>
      </c>
      <c r="AK619" t="n">
        <v>4</v>
      </c>
      <c r="AL619" t="n">
        <v>0</v>
      </c>
      <c r="AM619" t="n">
        <v>0</v>
      </c>
      <c r="AN619" t="n">
        <v>0</v>
      </c>
      <c r="AO619" t="n">
        <v>1</v>
      </c>
      <c r="AP619" t="inlineStr">
        <is>
          <t>No</t>
        </is>
      </c>
      <c r="AQ619" t="inlineStr">
        <is>
          <t>No</t>
        </is>
      </c>
      <c r="AS619">
        <f>HYPERLINK("https://creighton-primo.hosted.exlibrisgroup.com/primo-explore/search?tab=default_tab&amp;search_scope=EVERYTHING&amp;vid=01CRU&amp;lang=en_US&amp;offset=0&amp;query=any,contains,991002874469702656","Catalog Record")</f>
        <v/>
      </c>
      <c r="AT619">
        <f>HYPERLINK("http://www.worldcat.org/oclc/37879019","WorldCat Record")</f>
        <v/>
      </c>
      <c r="AU619" t="inlineStr">
        <is>
          <t>866236965:eng</t>
        </is>
      </c>
      <c r="AV619" t="inlineStr">
        <is>
          <t>37879019</t>
        </is>
      </c>
      <c r="AW619" t="inlineStr">
        <is>
          <t>991002874469702656</t>
        </is>
      </c>
      <c r="AX619" t="inlineStr">
        <is>
          <t>991002874469702656</t>
        </is>
      </c>
      <c r="AY619" t="inlineStr">
        <is>
          <t>2264398060002656</t>
        </is>
      </c>
      <c r="AZ619" t="inlineStr">
        <is>
          <t>BOOK</t>
        </is>
      </c>
      <c r="BC619" t="inlineStr">
        <is>
          <t>32285003463246</t>
        </is>
      </c>
      <c r="BD619" t="inlineStr">
        <is>
          <t>893535232</t>
        </is>
      </c>
    </row>
    <row r="620">
      <c r="A620" t="inlineStr">
        <is>
          <t>No</t>
        </is>
      </c>
      <c r="B620" t="inlineStr">
        <is>
          <t>RC469 .D3</t>
        </is>
      </c>
      <c r="C620" t="inlineStr">
        <is>
          <t>0                      RC 0469000D  3</t>
        </is>
      </c>
      <c r="D620" t="inlineStr">
        <is>
          <t>An MMPI handbook; a guide to use in clinical practice and research, by W. Grant Dahlstrom and George Schlager Welsh.</t>
        </is>
      </c>
      <c r="F620" t="inlineStr">
        <is>
          <t>No</t>
        </is>
      </c>
      <c r="G620" t="inlineStr">
        <is>
          <t>1</t>
        </is>
      </c>
      <c r="H620" t="inlineStr">
        <is>
          <t>No</t>
        </is>
      </c>
      <c r="I620" t="inlineStr">
        <is>
          <t>No</t>
        </is>
      </c>
      <c r="J620" t="inlineStr">
        <is>
          <t>0</t>
        </is>
      </c>
      <c r="K620" t="inlineStr">
        <is>
          <t>Dahlstrom, W. Grant (William Grant)</t>
        </is>
      </c>
      <c r="L620" t="inlineStr">
        <is>
          <t>Minneapolis, Univ. of Minnesota Press [c1960]</t>
        </is>
      </c>
      <c r="M620" t="inlineStr">
        <is>
          <t>1960</t>
        </is>
      </c>
      <c r="O620" t="inlineStr">
        <is>
          <t>eng</t>
        </is>
      </c>
      <c r="P620" t="inlineStr">
        <is>
          <t xml:space="preserve">xx </t>
        </is>
      </c>
      <c r="R620" t="inlineStr">
        <is>
          <t xml:space="preserve">RC </t>
        </is>
      </c>
      <c r="S620" t="n">
        <v>3</v>
      </c>
      <c r="T620" t="n">
        <v>3</v>
      </c>
      <c r="U620" t="inlineStr">
        <is>
          <t>2006-10-27</t>
        </is>
      </c>
      <c r="V620" t="inlineStr">
        <is>
          <t>2006-10-27</t>
        </is>
      </c>
      <c r="W620" t="inlineStr">
        <is>
          <t>1997-08-11</t>
        </is>
      </c>
      <c r="X620" t="inlineStr">
        <is>
          <t>1997-08-11</t>
        </is>
      </c>
      <c r="Y620" t="n">
        <v>358</v>
      </c>
      <c r="Z620" t="n">
        <v>299</v>
      </c>
      <c r="AA620" t="n">
        <v>308</v>
      </c>
      <c r="AB620" t="n">
        <v>5</v>
      </c>
      <c r="AC620" t="n">
        <v>5</v>
      </c>
      <c r="AD620" t="n">
        <v>15</v>
      </c>
      <c r="AE620" t="n">
        <v>15</v>
      </c>
      <c r="AF620" t="n">
        <v>2</v>
      </c>
      <c r="AG620" t="n">
        <v>2</v>
      </c>
      <c r="AH620" t="n">
        <v>5</v>
      </c>
      <c r="AI620" t="n">
        <v>5</v>
      </c>
      <c r="AJ620" t="n">
        <v>9</v>
      </c>
      <c r="AK620" t="n">
        <v>9</v>
      </c>
      <c r="AL620" t="n">
        <v>3</v>
      </c>
      <c r="AM620" t="n">
        <v>3</v>
      </c>
      <c r="AN620" t="n">
        <v>0</v>
      </c>
      <c r="AO620" t="n">
        <v>0</v>
      </c>
      <c r="AP620" t="inlineStr">
        <is>
          <t>No</t>
        </is>
      </c>
      <c r="AQ620" t="inlineStr">
        <is>
          <t>Yes</t>
        </is>
      </c>
      <c r="AR620">
        <f>HYPERLINK("http://catalog.hathitrust.org/Record/001564353","HathiTrust Record")</f>
        <v/>
      </c>
      <c r="AS620">
        <f>HYPERLINK("https://creighton-primo.hosted.exlibrisgroup.com/primo-explore/search?tab=default_tab&amp;search_scope=EVERYTHING&amp;vid=01CRU&amp;lang=en_US&amp;offset=0&amp;query=any,contains,991000949279702656","Catalog Record")</f>
        <v/>
      </c>
      <c r="AT620">
        <f>HYPERLINK("http://www.worldcat.org/oclc/14616866","WorldCat Record")</f>
        <v/>
      </c>
      <c r="AU620" t="inlineStr">
        <is>
          <t>2829625495:eng</t>
        </is>
      </c>
      <c r="AV620" t="inlineStr">
        <is>
          <t>14616866</t>
        </is>
      </c>
      <c r="AW620" t="inlineStr">
        <is>
          <t>991000949279702656</t>
        </is>
      </c>
      <c r="AX620" t="inlineStr">
        <is>
          <t>991000949279702656</t>
        </is>
      </c>
      <c r="AY620" t="inlineStr">
        <is>
          <t>2268043280002656</t>
        </is>
      </c>
      <c r="AZ620" t="inlineStr">
        <is>
          <t>BOOK</t>
        </is>
      </c>
      <c r="BC620" t="inlineStr">
        <is>
          <t>32285003090973</t>
        </is>
      </c>
      <c r="BD620" t="inlineStr">
        <is>
          <t>893808884</t>
        </is>
      </c>
    </row>
    <row r="621">
      <c r="A621" t="inlineStr">
        <is>
          <t>No</t>
        </is>
      </c>
      <c r="B621" t="inlineStr">
        <is>
          <t>RC469 .M35</t>
        </is>
      </c>
      <c r="C621" t="inlineStr">
        <is>
          <t>0                      RC 0469000M  35</t>
        </is>
      </c>
      <c r="D621" t="inlineStr">
        <is>
          <t>Psychological assessment : a conceptual approach / Michael P. Maloney, Michael P. Ward.</t>
        </is>
      </c>
      <c r="F621" t="inlineStr">
        <is>
          <t>No</t>
        </is>
      </c>
      <c r="G621" t="inlineStr">
        <is>
          <t>1</t>
        </is>
      </c>
      <c r="H621" t="inlineStr">
        <is>
          <t>No</t>
        </is>
      </c>
      <c r="I621" t="inlineStr">
        <is>
          <t>No</t>
        </is>
      </c>
      <c r="J621" t="inlineStr">
        <is>
          <t>0</t>
        </is>
      </c>
      <c r="K621" t="inlineStr">
        <is>
          <t>Maloney, Michael P.</t>
        </is>
      </c>
      <c r="L621" t="inlineStr">
        <is>
          <t>New York : Oxford University Press, 1976.</t>
        </is>
      </c>
      <c r="M621" t="inlineStr">
        <is>
          <t>1976</t>
        </is>
      </c>
      <c r="O621" t="inlineStr">
        <is>
          <t>eng</t>
        </is>
      </c>
      <c r="P621" t="inlineStr">
        <is>
          <t>nyu</t>
        </is>
      </c>
      <c r="R621" t="inlineStr">
        <is>
          <t xml:space="preserve">RC </t>
        </is>
      </c>
      <c r="S621" t="n">
        <v>14</v>
      </c>
      <c r="T621" t="n">
        <v>14</v>
      </c>
      <c r="U621" t="inlineStr">
        <is>
          <t>2008-12-04</t>
        </is>
      </c>
      <c r="V621" t="inlineStr">
        <is>
          <t>2008-12-04</t>
        </is>
      </c>
      <c r="W621" t="inlineStr">
        <is>
          <t>1992-12-15</t>
        </is>
      </c>
      <c r="X621" t="inlineStr">
        <is>
          <t>1992-12-15</t>
        </is>
      </c>
      <c r="Y621" t="n">
        <v>573</v>
      </c>
      <c r="Z621" t="n">
        <v>437</v>
      </c>
      <c r="AA621" t="n">
        <v>440</v>
      </c>
      <c r="AB621" t="n">
        <v>5</v>
      </c>
      <c r="AC621" t="n">
        <v>5</v>
      </c>
      <c r="AD621" t="n">
        <v>25</v>
      </c>
      <c r="AE621" t="n">
        <v>25</v>
      </c>
      <c r="AF621" t="n">
        <v>8</v>
      </c>
      <c r="AG621" t="n">
        <v>8</v>
      </c>
      <c r="AH621" t="n">
        <v>6</v>
      </c>
      <c r="AI621" t="n">
        <v>6</v>
      </c>
      <c r="AJ621" t="n">
        <v>14</v>
      </c>
      <c r="AK621" t="n">
        <v>14</v>
      </c>
      <c r="AL621" t="n">
        <v>4</v>
      </c>
      <c r="AM621" t="n">
        <v>4</v>
      </c>
      <c r="AN621" t="n">
        <v>0</v>
      </c>
      <c r="AO621" t="n">
        <v>0</v>
      </c>
      <c r="AP621" t="inlineStr">
        <is>
          <t>No</t>
        </is>
      </c>
      <c r="AQ621" t="inlineStr">
        <is>
          <t>Yes</t>
        </is>
      </c>
      <c r="AR621">
        <f>HYPERLINK("http://catalog.hathitrust.org/Record/000736619","HathiTrust Record")</f>
        <v/>
      </c>
      <c r="AS621">
        <f>HYPERLINK("https://creighton-primo.hosted.exlibrisgroup.com/primo-explore/search?tab=default_tab&amp;search_scope=EVERYTHING&amp;vid=01CRU&amp;lang=en_US&amp;offset=0&amp;query=any,contains,991004080889702656","Catalog Record")</f>
        <v/>
      </c>
      <c r="AT621">
        <f>HYPERLINK("http://www.worldcat.org/oclc/2328511","WorldCat Record")</f>
        <v/>
      </c>
      <c r="AU621" t="inlineStr">
        <is>
          <t>196543176:eng</t>
        </is>
      </c>
      <c r="AV621" t="inlineStr">
        <is>
          <t>2328511</t>
        </is>
      </c>
      <c r="AW621" t="inlineStr">
        <is>
          <t>991004080889702656</t>
        </is>
      </c>
      <c r="AX621" t="inlineStr">
        <is>
          <t>991004080889702656</t>
        </is>
      </c>
      <c r="AY621" t="inlineStr">
        <is>
          <t>2262324900002656</t>
        </is>
      </c>
      <c r="AZ621" t="inlineStr">
        <is>
          <t>BOOK</t>
        </is>
      </c>
      <c r="BB621" t="inlineStr">
        <is>
          <t>9780195020274</t>
        </is>
      </c>
      <c r="BC621" t="inlineStr">
        <is>
          <t>32285001441236</t>
        </is>
      </c>
      <c r="BD621" t="inlineStr">
        <is>
          <t>893605601</t>
        </is>
      </c>
    </row>
    <row r="622">
      <c r="A622" t="inlineStr">
        <is>
          <t>No</t>
        </is>
      </c>
      <c r="B622" t="inlineStr">
        <is>
          <t>RC469 .T47 1985</t>
        </is>
      </c>
      <c r="C622" t="inlineStr">
        <is>
          <t>0                      RC 0469000T  47          1985</t>
        </is>
      </c>
      <c r="D622" t="inlineStr">
        <is>
          <t>Testing adults : a reference guide for special psychodiagnostic assessments / Dennis P. Swiercinsky, general editor.</t>
        </is>
      </c>
      <c r="F622" t="inlineStr">
        <is>
          <t>No</t>
        </is>
      </c>
      <c r="G622" t="inlineStr">
        <is>
          <t>1</t>
        </is>
      </c>
      <c r="H622" t="inlineStr">
        <is>
          <t>Yes</t>
        </is>
      </c>
      <c r="I622" t="inlineStr">
        <is>
          <t>No</t>
        </is>
      </c>
      <c r="J622" t="inlineStr">
        <is>
          <t>0</t>
        </is>
      </c>
      <c r="L622" t="inlineStr">
        <is>
          <t>Kansas City, MO : Test Corporation of America, 1985.</t>
        </is>
      </c>
      <c r="M622" t="inlineStr">
        <is>
          <t>1985</t>
        </is>
      </c>
      <c r="O622" t="inlineStr">
        <is>
          <t>eng</t>
        </is>
      </c>
      <c r="P622" t="inlineStr">
        <is>
          <t>mou</t>
        </is>
      </c>
      <c r="R622" t="inlineStr">
        <is>
          <t xml:space="preserve">RC </t>
        </is>
      </c>
      <c r="S622" t="n">
        <v>6</v>
      </c>
      <c r="T622" t="n">
        <v>8</v>
      </c>
      <c r="U622" t="inlineStr">
        <is>
          <t>1996-10-24</t>
        </is>
      </c>
      <c r="V622" t="inlineStr">
        <is>
          <t>2001-12-03</t>
        </is>
      </c>
      <c r="W622" t="inlineStr">
        <is>
          <t>1992-12-11</t>
        </is>
      </c>
      <c r="X622" t="inlineStr">
        <is>
          <t>1992-12-11</t>
        </is>
      </c>
      <c r="Y622" t="n">
        <v>389</v>
      </c>
      <c r="Z622" t="n">
        <v>348</v>
      </c>
      <c r="AA622" t="n">
        <v>355</v>
      </c>
      <c r="AB622" t="n">
        <v>3</v>
      </c>
      <c r="AC622" t="n">
        <v>3</v>
      </c>
      <c r="AD622" t="n">
        <v>21</v>
      </c>
      <c r="AE622" t="n">
        <v>22</v>
      </c>
      <c r="AF622" t="n">
        <v>8</v>
      </c>
      <c r="AG622" t="n">
        <v>9</v>
      </c>
      <c r="AH622" t="n">
        <v>6</v>
      </c>
      <c r="AI622" t="n">
        <v>6</v>
      </c>
      <c r="AJ622" t="n">
        <v>12</v>
      </c>
      <c r="AK622" t="n">
        <v>13</v>
      </c>
      <c r="AL622" t="n">
        <v>1</v>
      </c>
      <c r="AM622" t="n">
        <v>1</v>
      </c>
      <c r="AN622" t="n">
        <v>0</v>
      </c>
      <c r="AO622" t="n">
        <v>0</v>
      </c>
      <c r="AP622" t="inlineStr">
        <is>
          <t>No</t>
        </is>
      </c>
      <c r="AQ622" t="inlineStr">
        <is>
          <t>Yes</t>
        </is>
      </c>
      <c r="AR622">
        <f>HYPERLINK("http://catalog.hathitrust.org/Record/000385808","HathiTrust Record")</f>
        <v/>
      </c>
      <c r="AS622">
        <f>HYPERLINK("https://creighton-primo.hosted.exlibrisgroup.com/primo-explore/search?tab=default_tab&amp;search_scope=EVERYTHING&amp;vid=01CRU&amp;lang=en_US&amp;offset=0&amp;query=any,contains,991001792729702656","Catalog Record")</f>
        <v/>
      </c>
      <c r="AT622">
        <f>HYPERLINK("http://www.worldcat.org/oclc/12420832","WorldCat Record")</f>
        <v/>
      </c>
      <c r="AU622" t="inlineStr">
        <is>
          <t>54742463:eng</t>
        </is>
      </c>
      <c r="AV622" t="inlineStr">
        <is>
          <t>12420832</t>
        </is>
      </c>
      <c r="AW622" t="inlineStr">
        <is>
          <t>991001792729702656</t>
        </is>
      </c>
      <c r="AX622" t="inlineStr">
        <is>
          <t>991001792729702656</t>
        </is>
      </c>
      <c r="AY622" t="inlineStr">
        <is>
          <t>2254776810002656</t>
        </is>
      </c>
      <c r="AZ622" t="inlineStr">
        <is>
          <t>BOOK</t>
        </is>
      </c>
      <c r="BB622" t="inlineStr">
        <is>
          <t>9780961128692</t>
        </is>
      </c>
      <c r="BC622" t="inlineStr">
        <is>
          <t>32285001441228</t>
        </is>
      </c>
      <c r="BD622" t="inlineStr">
        <is>
          <t>893779086</t>
        </is>
      </c>
    </row>
    <row r="623">
      <c r="A623" t="inlineStr">
        <is>
          <t>No</t>
        </is>
      </c>
      <c r="B623" t="inlineStr">
        <is>
          <t>RC471 .E33 1988</t>
        </is>
      </c>
      <c r="C623" t="inlineStr">
        <is>
          <t>0                      RC 0471000E  33          1988</t>
        </is>
      </c>
      <c r="D623" t="inlineStr">
        <is>
          <t>The EEG of mental activities / editors, D. Giannitrapani, L. Murri.</t>
        </is>
      </c>
      <c r="F623" t="inlineStr">
        <is>
          <t>No</t>
        </is>
      </c>
      <c r="G623" t="inlineStr">
        <is>
          <t>1</t>
        </is>
      </c>
      <c r="H623" t="inlineStr">
        <is>
          <t>Yes</t>
        </is>
      </c>
      <c r="I623" t="inlineStr">
        <is>
          <t>No</t>
        </is>
      </c>
      <c r="J623" t="inlineStr">
        <is>
          <t>0</t>
        </is>
      </c>
      <c r="L623" t="inlineStr">
        <is>
          <t>Basel, Switzerland ; New York : Karger, 1988.</t>
        </is>
      </c>
      <c r="M623" t="inlineStr">
        <is>
          <t>1988</t>
        </is>
      </c>
      <c r="O623" t="inlineStr">
        <is>
          <t>eng</t>
        </is>
      </c>
      <c r="P623" t="inlineStr">
        <is>
          <t xml:space="preserve">sz </t>
        </is>
      </c>
      <c r="R623" t="inlineStr">
        <is>
          <t xml:space="preserve">RC </t>
        </is>
      </c>
      <c r="S623" t="n">
        <v>7</v>
      </c>
      <c r="T623" t="n">
        <v>7</v>
      </c>
      <c r="U623" t="inlineStr">
        <is>
          <t>1999-04-08</t>
        </is>
      </c>
      <c r="V623" t="inlineStr">
        <is>
          <t>1999-04-08</t>
        </is>
      </c>
      <c r="W623" t="inlineStr">
        <is>
          <t>1991-07-03</t>
        </is>
      </c>
      <c r="X623" t="inlineStr">
        <is>
          <t>1991-07-03</t>
        </is>
      </c>
      <c r="Y623" t="n">
        <v>99</v>
      </c>
      <c r="Z623" t="n">
        <v>64</v>
      </c>
      <c r="AA623" t="n">
        <v>76</v>
      </c>
      <c r="AB623" t="n">
        <v>2</v>
      </c>
      <c r="AC623" t="n">
        <v>2</v>
      </c>
      <c r="AD623" t="n">
        <v>3</v>
      </c>
      <c r="AE623" t="n">
        <v>3</v>
      </c>
      <c r="AF623" t="n">
        <v>2</v>
      </c>
      <c r="AG623" t="n">
        <v>2</v>
      </c>
      <c r="AH623" t="n">
        <v>0</v>
      </c>
      <c r="AI623" t="n">
        <v>0</v>
      </c>
      <c r="AJ623" t="n">
        <v>2</v>
      </c>
      <c r="AK623" t="n">
        <v>2</v>
      </c>
      <c r="AL623" t="n">
        <v>0</v>
      </c>
      <c r="AM623" t="n">
        <v>0</v>
      </c>
      <c r="AN623" t="n">
        <v>0</v>
      </c>
      <c r="AO623" t="n">
        <v>0</v>
      </c>
      <c r="AP623" t="inlineStr">
        <is>
          <t>No</t>
        </is>
      </c>
      <c r="AQ623" t="inlineStr">
        <is>
          <t>Yes</t>
        </is>
      </c>
      <c r="AR623">
        <f>HYPERLINK("http://catalog.hathitrust.org/Record/001080627","HathiTrust Record")</f>
        <v/>
      </c>
      <c r="AS623">
        <f>HYPERLINK("https://creighton-primo.hosted.exlibrisgroup.com/primo-explore/search?tab=default_tab&amp;search_scope=EVERYTHING&amp;vid=01CRU&amp;lang=en_US&amp;offset=0&amp;query=any,contains,991001333279702656","Catalog Record")</f>
        <v/>
      </c>
      <c r="AT623">
        <f>HYPERLINK("http://www.worldcat.org/oclc/18327356","WorldCat Record")</f>
        <v/>
      </c>
      <c r="AU623" t="inlineStr">
        <is>
          <t>346229643:eng</t>
        </is>
      </c>
      <c r="AV623" t="inlineStr">
        <is>
          <t>18327356</t>
        </is>
      </c>
      <c r="AW623" t="inlineStr">
        <is>
          <t>991001333279702656</t>
        </is>
      </c>
      <c r="AX623" t="inlineStr">
        <is>
          <t>991001333279702656</t>
        </is>
      </c>
      <c r="AY623" t="inlineStr">
        <is>
          <t>2260586560002656</t>
        </is>
      </c>
      <c r="AZ623" t="inlineStr">
        <is>
          <t>BOOK</t>
        </is>
      </c>
      <c r="BB623" t="inlineStr">
        <is>
          <t>9783805548120</t>
        </is>
      </c>
      <c r="BC623" t="inlineStr">
        <is>
          <t>32285000659713</t>
        </is>
      </c>
      <c r="BD623" t="inlineStr">
        <is>
          <t>893891500</t>
        </is>
      </c>
    </row>
    <row r="624">
      <c r="A624" t="inlineStr">
        <is>
          <t>No</t>
        </is>
      </c>
      <c r="B624" t="inlineStr">
        <is>
          <t>RC473.B7 N477 1999</t>
        </is>
      </c>
      <c r="C624" t="inlineStr">
        <is>
          <t>0                      RC 0473000B  7                  N  477         1999</t>
        </is>
      </c>
      <c r="D624" t="inlineStr">
        <is>
          <t>Neuroimaging and memory / edited by Jonathan K. Foster.</t>
        </is>
      </c>
      <c r="F624" t="inlineStr">
        <is>
          <t>No</t>
        </is>
      </c>
      <c r="G624" t="inlineStr">
        <is>
          <t>1</t>
        </is>
      </c>
      <c r="H624" t="inlineStr">
        <is>
          <t>No</t>
        </is>
      </c>
      <c r="I624" t="inlineStr">
        <is>
          <t>No</t>
        </is>
      </c>
      <c r="J624" t="inlineStr">
        <is>
          <t>0</t>
        </is>
      </c>
      <c r="L624" t="inlineStr">
        <is>
          <t>Hove : Psychology Press, c1999.</t>
        </is>
      </c>
      <c r="M624" t="inlineStr">
        <is>
          <t>1999</t>
        </is>
      </c>
      <c r="O624" t="inlineStr">
        <is>
          <t>eng</t>
        </is>
      </c>
      <c r="P624" t="inlineStr">
        <is>
          <t>enk</t>
        </is>
      </c>
      <c r="R624" t="inlineStr">
        <is>
          <t xml:space="preserve">RC </t>
        </is>
      </c>
      <c r="S624" t="n">
        <v>2</v>
      </c>
      <c r="T624" t="n">
        <v>2</v>
      </c>
      <c r="U624" t="inlineStr">
        <is>
          <t>2002-11-07</t>
        </is>
      </c>
      <c r="V624" t="inlineStr">
        <is>
          <t>2002-11-07</t>
        </is>
      </c>
      <c r="W624" t="inlineStr">
        <is>
          <t>2002-11-07</t>
        </is>
      </c>
      <c r="X624" t="inlineStr">
        <is>
          <t>2002-11-07</t>
        </is>
      </c>
      <c r="Y624" t="n">
        <v>55</v>
      </c>
      <c r="Z624" t="n">
        <v>19</v>
      </c>
      <c r="AA624" t="n">
        <v>19</v>
      </c>
      <c r="AB624" t="n">
        <v>1</v>
      </c>
      <c r="AC624" t="n">
        <v>1</v>
      </c>
      <c r="AD624" t="n">
        <v>0</v>
      </c>
      <c r="AE624" t="n">
        <v>0</v>
      </c>
      <c r="AF624" t="n">
        <v>0</v>
      </c>
      <c r="AG624" t="n">
        <v>0</v>
      </c>
      <c r="AH624" t="n">
        <v>0</v>
      </c>
      <c r="AI624" t="n">
        <v>0</v>
      </c>
      <c r="AJ624" t="n">
        <v>0</v>
      </c>
      <c r="AK624" t="n">
        <v>0</v>
      </c>
      <c r="AL624" t="n">
        <v>0</v>
      </c>
      <c r="AM624" t="n">
        <v>0</v>
      </c>
      <c r="AN624" t="n">
        <v>0</v>
      </c>
      <c r="AO624" t="n">
        <v>0</v>
      </c>
      <c r="AP624" t="inlineStr">
        <is>
          <t>No</t>
        </is>
      </c>
      <c r="AQ624" t="inlineStr">
        <is>
          <t>No</t>
        </is>
      </c>
      <c r="AS624">
        <f>HYPERLINK("https://creighton-primo.hosted.exlibrisgroup.com/primo-explore/search?tab=default_tab&amp;search_scope=EVERYTHING&amp;vid=01CRU&amp;lang=en_US&amp;offset=0&amp;query=any,contains,991003910009702656","Catalog Record")</f>
        <v/>
      </c>
      <c r="AT624">
        <f>HYPERLINK("http://www.worldcat.org/oclc/43378220","WorldCat Record")</f>
        <v/>
      </c>
      <c r="AU624" t="inlineStr">
        <is>
          <t>44950069:eng</t>
        </is>
      </c>
      <c r="AV624" t="inlineStr">
        <is>
          <t>43378220</t>
        </is>
      </c>
      <c r="AW624" t="inlineStr">
        <is>
          <t>991003910009702656</t>
        </is>
      </c>
      <c r="AX624" t="inlineStr">
        <is>
          <t>991003910009702656</t>
        </is>
      </c>
      <c r="AY624" t="inlineStr">
        <is>
          <t>2257466940002656</t>
        </is>
      </c>
      <c r="AZ624" t="inlineStr">
        <is>
          <t>BOOK</t>
        </is>
      </c>
      <c r="BB624" t="inlineStr">
        <is>
          <t>9780863776564</t>
        </is>
      </c>
      <c r="BC624" t="inlineStr">
        <is>
          <t>32285004661855</t>
        </is>
      </c>
      <c r="BD624" t="inlineStr">
        <is>
          <t>893794254</t>
        </is>
      </c>
    </row>
    <row r="625">
      <c r="A625" t="inlineStr">
        <is>
          <t>No</t>
        </is>
      </c>
      <c r="B625" t="inlineStr">
        <is>
          <t>RC473.M47 C48 2004</t>
        </is>
      </c>
      <c r="C625" t="inlineStr">
        <is>
          <t>0                      RC 0473000M  47                 C  48          2004</t>
        </is>
      </c>
      <c r="D625" t="inlineStr">
        <is>
          <t>Interpretive guide to the Millon Clinical Multiaxial Inventory / James P. Choca.</t>
        </is>
      </c>
      <c r="F625" t="inlineStr">
        <is>
          <t>No</t>
        </is>
      </c>
      <c r="G625" t="inlineStr">
        <is>
          <t>1</t>
        </is>
      </c>
      <c r="H625" t="inlineStr">
        <is>
          <t>No</t>
        </is>
      </c>
      <c r="I625" t="inlineStr">
        <is>
          <t>No</t>
        </is>
      </c>
      <c r="J625" t="inlineStr">
        <is>
          <t>0</t>
        </is>
      </c>
      <c r="K625" t="inlineStr">
        <is>
          <t>Choca, James, 1945-</t>
        </is>
      </c>
      <c r="L625" t="inlineStr">
        <is>
          <t>Washington, DC : American Psychological Association, c2004.</t>
        </is>
      </c>
      <c r="M625" t="inlineStr">
        <is>
          <t>2004</t>
        </is>
      </c>
      <c r="N625" t="inlineStr">
        <is>
          <t>3rd ed.</t>
        </is>
      </c>
      <c r="O625" t="inlineStr">
        <is>
          <t>eng</t>
        </is>
      </c>
      <c r="P625" t="inlineStr">
        <is>
          <t>dcu</t>
        </is>
      </c>
      <c r="R625" t="inlineStr">
        <is>
          <t xml:space="preserve">RC </t>
        </is>
      </c>
      <c r="S625" t="n">
        <v>7</v>
      </c>
      <c r="T625" t="n">
        <v>7</v>
      </c>
      <c r="U625" t="inlineStr">
        <is>
          <t>2008-11-20</t>
        </is>
      </c>
      <c r="V625" t="inlineStr">
        <is>
          <t>2008-11-20</t>
        </is>
      </c>
      <c r="W625" t="inlineStr">
        <is>
          <t>2004-05-19</t>
        </is>
      </c>
      <c r="X625" t="inlineStr">
        <is>
          <t>2004-05-19</t>
        </is>
      </c>
      <c r="Y625" t="n">
        <v>63</v>
      </c>
      <c r="Z625" t="n">
        <v>38</v>
      </c>
      <c r="AA625" t="n">
        <v>439</v>
      </c>
      <c r="AB625" t="n">
        <v>1</v>
      </c>
      <c r="AC625" t="n">
        <v>3</v>
      </c>
      <c r="AD625" t="n">
        <v>2</v>
      </c>
      <c r="AE625" t="n">
        <v>23</v>
      </c>
      <c r="AF625" t="n">
        <v>1</v>
      </c>
      <c r="AG625" t="n">
        <v>9</v>
      </c>
      <c r="AH625" t="n">
        <v>0</v>
      </c>
      <c r="AI625" t="n">
        <v>5</v>
      </c>
      <c r="AJ625" t="n">
        <v>1</v>
      </c>
      <c r="AK625" t="n">
        <v>13</v>
      </c>
      <c r="AL625" t="n">
        <v>0</v>
      </c>
      <c r="AM625" t="n">
        <v>2</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HYPERLINK("https://creighton-primo.hosted.exlibrisgroup.com/primo-explore/search?tab=default_tab&amp;search_scope=EVERYTHING&amp;vid=01CRU&amp;lang=en_US&amp;offset=0&amp;query=any,contains,991004265369702656","Catalog Record")</f>
        <v/>
      </c>
      <c r="AT625">
        <f>HYPERLINK("http://www.worldcat.org/oclc/54029393","WorldCat Record")</f>
        <v/>
      </c>
      <c r="AU625" t="inlineStr">
        <is>
          <t>4919208034:eng</t>
        </is>
      </c>
      <c r="AV625" t="inlineStr">
        <is>
          <t>54029393</t>
        </is>
      </c>
      <c r="AW625" t="inlineStr">
        <is>
          <t>991004265369702656</t>
        </is>
      </c>
      <c r="AX625" t="inlineStr">
        <is>
          <t>991004265369702656</t>
        </is>
      </c>
      <c r="AY625" t="inlineStr">
        <is>
          <t>2271618720002656</t>
        </is>
      </c>
      <c r="AZ625" t="inlineStr">
        <is>
          <t>BOOK</t>
        </is>
      </c>
      <c r="BB625" t="inlineStr">
        <is>
          <t>9781591470403</t>
        </is>
      </c>
      <c r="BC625" t="inlineStr">
        <is>
          <t>32285004906573</t>
        </is>
      </c>
      <c r="BD625" t="inlineStr">
        <is>
          <t>893535888</t>
        </is>
      </c>
    </row>
    <row r="626">
      <c r="A626" t="inlineStr">
        <is>
          <t>No</t>
        </is>
      </c>
      <c r="B626" t="inlineStr">
        <is>
          <t>RC473.M47 J36 2002</t>
        </is>
      </c>
      <c r="C626" t="inlineStr">
        <is>
          <t>0                      RC 0473000M  47                 J  36          2002</t>
        </is>
      </c>
      <c r="D626" t="inlineStr">
        <is>
          <t>A beginner's guide to the MCMI-III / Dan Jankowski ; foreword by Theodore Millon.</t>
        </is>
      </c>
      <c r="F626" t="inlineStr">
        <is>
          <t>No</t>
        </is>
      </c>
      <c r="G626" t="inlineStr">
        <is>
          <t>1</t>
        </is>
      </c>
      <c r="H626" t="inlineStr">
        <is>
          <t>No</t>
        </is>
      </c>
      <c r="I626" t="inlineStr">
        <is>
          <t>No</t>
        </is>
      </c>
      <c r="J626" t="inlineStr">
        <is>
          <t>0</t>
        </is>
      </c>
      <c r="K626" t="inlineStr">
        <is>
          <t>Jankowski, Dan.</t>
        </is>
      </c>
      <c r="L626" t="inlineStr">
        <is>
          <t>Washington, DC : American Psychological Association, c2002.</t>
        </is>
      </c>
      <c r="M626" t="inlineStr">
        <is>
          <t>2002</t>
        </is>
      </c>
      <c r="O626" t="inlineStr">
        <is>
          <t>eng</t>
        </is>
      </c>
      <c r="P626" t="inlineStr">
        <is>
          <t>dcu</t>
        </is>
      </c>
      <c r="R626" t="inlineStr">
        <is>
          <t xml:space="preserve">RC </t>
        </is>
      </c>
      <c r="S626" t="n">
        <v>8</v>
      </c>
      <c r="T626" t="n">
        <v>8</v>
      </c>
      <c r="U626" t="inlineStr">
        <is>
          <t>2008-11-08</t>
        </is>
      </c>
      <c r="V626" t="inlineStr">
        <is>
          <t>2008-11-08</t>
        </is>
      </c>
      <c r="W626" t="inlineStr">
        <is>
          <t>2003-03-18</t>
        </is>
      </c>
      <c r="X626" t="inlineStr">
        <is>
          <t>2003-03-18</t>
        </is>
      </c>
      <c r="Y626" t="n">
        <v>317</v>
      </c>
      <c r="Z626" t="n">
        <v>270</v>
      </c>
      <c r="AA626" t="n">
        <v>350</v>
      </c>
      <c r="AB626" t="n">
        <v>3</v>
      </c>
      <c r="AC626" t="n">
        <v>4</v>
      </c>
      <c r="AD626" t="n">
        <v>10</v>
      </c>
      <c r="AE626" t="n">
        <v>16</v>
      </c>
      <c r="AF626" t="n">
        <v>5</v>
      </c>
      <c r="AG626" t="n">
        <v>7</v>
      </c>
      <c r="AH626" t="n">
        <v>2</v>
      </c>
      <c r="AI626" t="n">
        <v>2</v>
      </c>
      <c r="AJ626" t="n">
        <v>5</v>
      </c>
      <c r="AK626" t="n">
        <v>8</v>
      </c>
      <c r="AL626" t="n">
        <v>1</v>
      </c>
      <c r="AM626" t="n">
        <v>2</v>
      </c>
      <c r="AN626" t="n">
        <v>0</v>
      </c>
      <c r="AO626" t="n">
        <v>0</v>
      </c>
      <c r="AP626" t="inlineStr">
        <is>
          <t>No</t>
        </is>
      </c>
      <c r="AQ626" t="inlineStr">
        <is>
          <t>No</t>
        </is>
      </c>
      <c r="AS626">
        <f>HYPERLINK("https://creighton-primo.hosted.exlibrisgroup.com/primo-explore/search?tab=default_tab&amp;search_scope=EVERYTHING&amp;vid=01CRU&amp;lang=en_US&amp;offset=0&amp;query=any,contains,991003978109702656","Catalog Record")</f>
        <v/>
      </c>
      <c r="AT626">
        <f>HYPERLINK("http://www.worldcat.org/oclc/47690535","WorldCat Record")</f>
        <v/>
      </c>
      <c r="AU626" t="inlineStr">
        <is>
          <t>1085540:eng</t>
        </is>
      </c>
      <c r="AV626" t="inlineStr">
        <is>
          <t>47690535</t>
        </is>
      </c>
      <c r="AW626" t="inlineStr">
        <is>
          <t>991003978109702656</t>
        </is>
      </c>
      <c r="AX626" t="inlineStr">
        <is>
          <t>991003978109702656</t>
        </is>
      </c>
      <c r="AY626" t="inlineStr">
        <is>
          <t>2269743050002656</t>
        </is>
      </c>
      <c r="AZ626" t="inlineStr">
        <is>
          <t>BOOK</t>
        </is>
      </c>
      <c r="BB626" t="inlineStr">
        <is>
          <t>9781557988430</t>
        </is>
      </c>
      <c r="BC626" t="inlineStr">
        <is>
          <t>32285004684675</t>
        </is>
      </c>
      <c r="BD626" t="inlineStr">
        <is>
          <t>893506227</t>
        </is>
      </c>
    </row>
    <row r="627">
      <c r="A627" t="inlineStr">
        <is>
          <t>No</t>
        </is>
      </c>
      <c r="B627" t="inlineStr">
        <is>
          <t>RC473.M5 B87 1990</t>
        </is>
      </c>
      <c r="C627" t="inlineStr">
        <is>
          <t>0                      RC 0473000M  5                  B  87          1990</t>
        </is>
      </c>
      <c r="D627" t="inlineStr">
        <is>
          <t>The MMPI-2 in psychological treatment / James Neal Butcher.</t>
        </is>
      </c>
      <c r="F627" t="inlineStr">
        <is>
          <t>No</t>
        </is>
      </c>
      <c r="G627" t="inlineStr">
        <is>
          <t>1</t>
        </is>
      </c>
      <c r="H627" t="inlineStr">
        <is>
          <t>No</t>
        </is>
      </c>
      <c r="I627" t="inlineStr">
        <is>
          <t>No</t>
        </is>
      </c>
      <c r="J627" t="inlineStr">
        <is>
          <t>0</t>
        </is>
      </c>
      <c r="K627" t="inlineStr">
        <is>
          <t>Butcher, James Neal, 1933-</t>
        </is>
      </c>
      <c r="L627" t="inlineStr">
        <is>
          <t>New York : Oxford University Press, 1990.</t>
        </is>
      </c>
      <c r="M627" t="inlineStr">
        <is>
          <t>1990</t>
        </is>
      </c>
      <c r="O627" t="inlineStr">
        <is>
          <t>eng</t>
        </is>
      </c>
      <c r="P627" t="inlineStr">
        <is>
          <t>nyu</t>
        </is>
      </c>
      <c r="R627" t="inlineStr">
        <is>
          <t xml:space="preserve">RC </t>
        </is>
      </c>
      <c r="S627" t="n">
        <v>1</v>
      </c>
      <c r="T627" t="n">
        <v>1</v>
      </c>
      <c r="U627" t="inlineStr">
        <is>
          <t>2009-04-02</t>
        </is>
      </c>
      <c r="V627" t="inlineStr">
        <is>
          <t>2009-04-02</t>
        </is>
      </c>
      <c r="W627" t="inlineStr">
        <is>
          <t>2009-04-02</t>
        </is>
      </c>
      <c r="X627" t="inlineStr">
        <is>
          <t>2009-04-02</t>
        </is>
      </c>
      <c r="Y627" t="n">
        <v>641</v>
      </c>
      <c r="Z627" t="n">
        <v>546</v>
      </c>
      <c r="AA627" t="n">
        <v>551</v>
      </c>
      <c r="AB627" t="n">
        <v>3</v>
      </c>
      <c r="AC627" t="n">
        <v>3</v>
      </c>
      <c r="AD627" t="n">
        <v>25</v>
      </c>
      <c r="AE627" t="n">
        <v>25</v>
      </c>
      <c r="AF627" t="n">
        <v>9</v>
      </c>
      <c r="AG627" t="n">
        <v>9</v>
      </c>
      <c r="AH627" t="n">
        <v>7</v>
      </c>
      <c r="AI627" t="n">
        <v>7</v>
      </c>
      <c r="AJ627" t="n">
        <v>16</v>
      </c>
      <c r="AK627" t="n">
        <v>16</v>
      </c>
      <c r="AL627" t="n">
        <v>2</v>
      </c>
      <c r="AM627" t="n">
        <v>2</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HYPERLINK("https://creighton-primo.hosted.exlibrisgroup.com/primo-explore/search?tab=default_tab&amp;search_scope=EVERYTHING&amp;vid=01CRU&amp;lang=en_US&amp;offset=0&amp;query=any,contains,991005307729702656","Catalog Record")</f>
        <v/>
      </c>
      <c r="AT627">
        <f>HYPERLINK("http://www.worldcat.org/oclc/20933056","WorldCat Record")</f>
        <v/>
      </c>
      <c r="AU627" t="inlineStr">
        <is>
          <t>22552719:eng</t>
        </is>
      </c>
      <c r="AV627" t="inlineStr">
        <is>
          <t>20933056</t>
        </is>
      </c>
      <c r="AW627" t="inlineStr">
        <is>
          <t>991005307729702656</t>
        </is>
      </c>
      <c r="AX627" t="inlineStr">
        <is>
          <t>991005307729702656</t>
        </is>
      </c>
      <c r="AY627" t="inlineStr">
        <is>
          <t>2262788930002656</t>
        </is>
      </c>
      <c r="AZ627" t="inlineStr">
        <is>
          <t>BOOK</t>
        </is>
      </c>
      <c r="BB627" t="inlineStr">
        <is>
          <t>9780195063448</t>
        </is>
      </c>
      <c r="BC627" t="inlineStr">
        <is>
          <t>32285005513410</t>
        </is>
      </c>
      <c r="BD627" t="inlineStr">
        <is>
          <t>893248703</t>
        </is>
      </c>
    </row>
    <row r="628">
      <c r="A628" t="inlineStr">
        <is>
          <t>No</t>
        </is>
      </c>
      <c r="B628" t="inlineStr">
        <is>
          <t>RC473.M5 F75 1989</t>
        </is>
      </c>
      <c r="C628" t="inlineStr">
        <is>
          <t>0                      RC 0473000M  5                  F  75          1989</t>
        </is>
      </c>
      <c r="D628" t="inlineStr">
        <is>
          <t>Psychological assessment with the MMPI / Alan F. Friedman, James T. Webb, Richard Lewak.</t>
        </is>
      </c>
      <c r="F628" t="inlineStr">
        <is>
          <t>No</t>
        </is>
      </c>
      <c r="G628" t="inlineStr">
        <is>
          <t>1</t>
        </is>
      </c>
      <c r="H628" t="inlineStr">
        <is>
          <t>No</t>
        </is>
      </c>
      <c r="I628" t="inlineStr">
        <is>
          <t>No</t>
        </is>
      </c>
      <c r="J628" t="inlineStr">
        <is>
          <t>0</t>
        </is>
      </c>
      <c r="K628" t="inlineStr">
        <is>
          <t>Friedman, Alan F.</t>
        </is>
      </c>
      <c r="L628" t="inlineStr">
        <is>
          <t>Hillsdale, N.J. : Lawrence Erlbaum Associates, 1989.</t>
        </is>
      </c>
      <c r="M628" t="inlineStr">
        <is>
          <t>1989</t>
        </is>
      </c>
      <c r="O628" t="inlineStr">
        <is>
          <t>eng</t>
        </is>
      </c>
      <c r="P628" t="inlineStr">
        <is>
          <t>nju</t>
        </is>
      </c>
      <c r="R628" t="inlineStr">
        <is>
          <t xml:space="preserve">RC </t>
        </is>
      </c>
      <c r="S628" t="n">
        <v>18</v>
      </c>
      <c r="T628" t="n">
        <v>18</v>
      </c>
      <c r="U628" t="inlineStr">
        <is>
          <t>2006-11-21</t>
        </is>
      </c>
      <c r="V628" t="inlineStr">
        <is>
          <t>2006-11-21</t>
        </is>
      </c>
      <c r="W628" t="inlineStr">
        <is>
          <t>1992-07-28</t>
        </is>
      </c>
      <c r="X628" t="inlineStr">
        <is>
          <t>1992-07-28</t>
        </is>
      </c>
      <c r="Y628" t="n">
        <v>354</v>
      </c>
      <c r="Z628" t="n">
        <v>314</v>
      </c>
      <c r="AA628" t="n">
        <v>325</v>
      </c>
      <c r="AB628" t="n">
        <v>2</v>
      </c>
      <c r="AC628" t="n">
        <v>2</v>
      </c>
      <c r="AD628" t="n">
        <v>18</v>
      </c>
      <c r="AE628" t="n">
        <v>18</v>
      </c>
      <c r="AF628" t="n">
        <v>6</v>
      </c>
      <c r="AG628" t="n">
        <v>6</v>
      </c>
      <c r="AH628" t="n">
        <v>5</v>
      </c>
      <c r="AI628" t="n">
        <v>5</v>
      </c>
      <c r="AJ628" t="n">
        <v>12</v>
      </c>
      <c r="AK628" t="n">
        <v>12</v>
      </c>
      <c r="AL628" t="n">
        <v>1</v>
      </c>
      <c r="AM628" t="n">
        <v>1</v>
      </c>
      <c r="AN628" t="n">
        <v>0</v>
      </c>
      <c r="AO628" t="n">
        <v>0</v>
      </c>
      <c r="AP628" t="inlineStr">
        <is>
          <t>No</t>
        </is>
      </c>
      <c r="AQ628" t="inlineStr">
        <is>
          <t>Yes</t>
        </is>
      </c>
      <c r="AR628">
        <f>HYPERLINK("http://catalog.hathitrust.org/Record/001541188","HathiTrust Record")</f>
        <v/>
      </c>
      <c r="AS628">
        <f>HYPERLINK("https://creighton-primo.hosted.exlibrisgroup.com/primo-explore/search?tab=default_tab&amp;search_scope=EVERYTHING&amp;vid=01CRU&amp;lang=en_US&amp;offset=0&amp;query=any,contains,991001491589702656","Catalog Record")</f>
        <v/>
      </c>
      <c r="AT628">
        <f>HYPERLINK("http://www.worldcat.org/oclc/19723812","WorldCat Record")</f>
        <v/>
      </c>
      <c r="AU628" t="inlineStr">
        <is>
          <t>2864201775:eng</t>
        </is>
      </c>
      <c r="AV628" t="inlineStr">
        <is>
          <t>19723812</t>
        </is>
      </c>
      <c r="AW628" t="inlineStr">
        <is>
          <t>991001491589702656</t>
        </is>
      </c>
      <c r="AX628" t="inlineStr">
        <is>
          <t>991001491589702656</t>
        </is>
      </c>
      <c r="AY628" t="inlineStr">
        <is>
          <t>2260481310002656</t>
        </is>
      </c>
      <c r="AZ628" t="inlineStr">
        <is>
          <t>BOOK</t>
        </is>
      </c>
      <c r="BB628" t="inlineStr">
        <is>
          <t>9780805803105</t>
        </is>
      </c>
      <c r="BC628" t="inlineStr">
        <is>
          <t>32285001195550</t>
        </is>
      </c>
      <c r="BD628" t="inlineStr">
        <is>
          <t>893439172</t>
        </is>
      </c>
    </row>
    <row r="629">
      <c r="A629" t="inlineStr">
        <is>
          <t>No</t>
        </is>
      </c>
      <c r="B629" t="inlineStr">
        <is>
          <t>RC473.M5 F755 1989</t>
        </is>
      </c>
      <c r="C629" t="inlineStr">
        <is>
          <t>0                      RC 0473000M  5                  F  755         1989</t>
        </is>
      </c>
      <c r="D629" t="inlineStr">
        <is>
          <t>Workbook for Psychological assessment with the MMPI / Alan F. Friedman ... [et al.].</t>
        </is>
      </c>
      <c r="F629" t="inlineStr">
        <is>
          <t>No</t>
        </is>
      </c>
      <c r="G629" t="inlineStr">
        <is>
          <t>1</t>
        </is>
      </c>
      <c r="H629" t="inlineStr">
        <is>
          <t>No</t>
        </is>
      </c>
      <c r="I629" t="inlineStr">
        <is>
          <t>No</t>
        </is>
      </c>
      <c r="J629" t="inlineStr">
        <is>
          <t>0</t>
        </is>
      </c>
      <c r="K629" t="inlineStr">
        <is>
          <t>Friedman, Alan F.</t>
        </is>
      </c>
      <c r="L629" t="inlineStr">
        <is>
          <t>Hillsdale, N.J. : Lawrence Erlbaum Associates, 1989.</t>
        </is>
      </c>
      <c r="M629" t="inlineStr">
        <is>
          <t>1989</t>
        </is>
      </c>
      <c r="O629" t="inlineStr">
        <is>
          <t>eng</t>
        </is>
      </c>
      <c r="P629" t="inlineStr">
        <is>
          <t>nju</t>
        </is>
      </c>
      <c r="R629" t="inlineStr">
        <is>
          <t xml:space="preserve">RC </t>
        </is>
      </c>
      <c r="S629" t="n">
        <v>9</v>
      </c>
      <c r="T629" t="n">
        <v>9</v>
      </c>
      <c r="U629" t="inlineStr">
        <is>
          <t>2002-11-26</t>
        </is>
      </c>
      <c r="V629" t="inlineStr">
        <is>
          <t>2002-11-26</t>
        </is>
      </c>
      <c r="W629" t="inlineStr">
        <is>
          <t>1992-07-28</t>
        </is>
      </c>
      <c r="X629" t="inlineStr">
        <is>
          <t>1992-07-28</t>
        </is>
      </c>
      <c r="Y629" t="n">
        <v>40</v>
      </c>
      <c r="Z629" t="n">
        <v>26</v>
      </c>
      <c r="AA629" t="n">
        <v>28</v>
      </c>
      <c r="AB629" t="n">
        <v>1</v>
      </c>
      <c r="AC629" t="n">
        <v>1</v>
      </c>
      <c r="AD629" t="n">
        <v>0</v>
      </c>
      <c r="AE629" t="n">
        <v>0</v>
      </c>
      <c r="AF629" t="n">
        <v>0</v>
      </c>
      <c r="AG629" t="n">
        <v>0</v>
      </c>
      <c r="AH629" t="n">
        <v>0</v>
      </c>
      <c r="AI629" t="n">
        <v>0</v>
      </c>
      <c r="AJ629" t="n">
        <v>0</v>
      </c>
      <c r="AK629" t="n">
        <v>0</v>
      </c>
      <c r="AL629" t="n">
        <v>0</v>
      </c>
      <c r="AM629" t="n">
        <v>0</v>
      </c>
      <c r="AN629" t="n">
        <v>0</v>
      </c>
      <c r="AO629" t="n">
        <v>0</v>
      </c>
      <c r="AP629" t="inlineStr">
        <is>
          <t>No</t>
        </is>
      </c>
      <c r="AQ629" t="inlineStr">
        <is>
          <t>Yes</t>
        </is>
      </c>
      <c r="AR629">
        <f>HYPERLINK("http://catalog.hathitrust.org/Record/010389263","HathiTrust Record")</f>
        <v/>
      </c>
      <c r="AS629">
        <f>HYPERLINK("https://creighton-primo.hosted.exlibrisgroup.com/primo-explore/search?tab=default_tab&amp;search_scope=EVERYTHING&amp;vid=01CRU&amp;lang=en_US&amp;offset=0&amp;query=any,contains,991001689309702656","Catalog Record")</f>
        <v/>
      </c>
      <c r="AT629">
        <f>HYPERLINK("http://www.worldcat.org/oclc/21422650","WorldCat Record")</f>
        <v/>
      </c>
      <c r="AU629" t="inlineStr">
        <is>
          <t>3901179697:eng</t>
        </is>
      </c>
      <c r="AV629" t="inlineStr">
        <is>
          <t>21422650</t>
        </is>
      </c>
      <c r="AW629" t="inlineStr">
        <is>
          <t>991001689309702656</t>
        </is>
      </c>
      <c r="AX629" t="inlineStr">
        <is>
          <t>991001689309702656</t>
        </is>
      </c>
      <c r="AY629" t="inlineStr">
        <is>
          <t>2263885140002656</t>
        </is>
      </c>
      <c r="AZ629" t="inlineStr">
        <is>
          <t>BOOK</t>
        </is>
      </c>
      <c r="BB629" t="inlineStr">
        <is>
          <t>9780805803112</t>
        </is>
      </c>
      <c r="BC629" t="inlineStr">
        <is>
          <t>32285001195568</t>
        </is>
      </c>
      <c r="BD629" t="inlineStr">
        <is>
          <t>893803806</t>
        </is>
      </c>
    </row>
    <row r="630">
      <c r="A630" t="inlineStr">
        <is>
          <t>No</t>
        </is>
      </c>
      <c r="B630" t="inlineStr">
        <is>
          <t>RC473.P79 D36 1993</t>
        </is>
      </c>
      <c r="C630" t="inlineStr">
        <is>
          <t>0                      RC 0473000P  79                 D  36          1993</t>
        </is>
      </c>
      <c r="D630" t="inlineStr">
        <is>
          <t>Multicultural assessment perspectives for professional psychology / Richard H. Dana.</t>
        </is>
      </c>
      <c r="F630" t="inlineStr">
        <is>
          <t>No</t>
        </is>
      </c>
      <c r="G630" t="inlineStr">
        <is>
          <t>1</t>
        </is>
      </c>
      <c r="H630" t="inlineStr">
        <is>
          <t>No</t>
        </is>
      </c>
      <c r="I630" t="inlineStr">
        <is>
          <t>No</t>
        </is>
      </c>
      <c r="J630" t="inlineStr">
        <is>
          <t>0</t>
        </is>
      </c>
      <c r="K630" t="inlineStr">
        <is>
          <t>Dana, Richard H. (Richard Henry), 1927-</t>
        </is>
      </c>
      <c r="L630" t="inlineStr">
        <is>
          <t>Boston : Allyn and Bacon, c1993.</t>
        </is>
      </c>
      <c r="M630" t="inlineStr">
        <is>
          <t>1993</t>
        </is>
      </c>
      <c r="O630" t="inlineStr">
        <is>
          <t>eng</t>
        </is>
      </c>
      <c r="P630" t="inlineStr">
        <is>
          <t>mau</t>
        </is>
      </c>
      <c r="R630" t="inlineStr">
        <is>
          <t xml:space="preserve">RC </t>
        </is>
      </c>
      <c r="S630" t="n">
        <v>3</v>
      </c>
      <c r="T630" t="n">
        <v>3</v>
      </c>
      <c r="U630" t="inlineStr">
        <is>
          <t>1998-08-31</t>
        </is>
      </c>
      <c r="V630" t="inlineStr">
        <is>
          <t>1998-08-31</t>
        </is>
      </c>
      <c r="W630" t="inlineStr">
        <is>
          <t>1994-12-13</t>
        </is>
      </c>
      <c r="X630" t="inlineStr">
        <is>
          <t>1994-12-13</t>
        </is>
      </c>
      <c r="Y630" t="n">
        <v>513</v>
      </c>
      <c r="Z630" t="n">
        <v>451</v>
      </c>
      <c r="AA630" t="n">
        <v>458</v>
      </c>
      <c r="AB630" t="n">
        <v>7</v>
      </c>
      <c r="AC630" t="n">
        <v>7</v>
      </c>
      <c r="AD630" t="n">
        <v>26</v>
      </c>
      <c r="AE630" t="n">
        <v>26</v>
      </c>
      <c r="AF630" t="n">
        <v>6</v>
      </c>
      <c r="AG630" t="n">
        <v>6</v>
      </c>
      <c r="AH630" t="n">
        <v>5</v>
      </c>
      <c r="AI630" t="n">
        <v>5</v>
      </c>
      <c r="AJ630" t="n">
        <v>14</v>
      </c>
      <c r="AK630" t="n">
        <v>14</v>
      </c>
      <c r="AL630" t="n">
        <v>6</v>
      </c>
      <c r="AM630" t="n">
        <v>6</v>
      </c>
      <c r="AN630" t="n">
        <v>0</v>
      </c>
      <c r="AO630" t="n">
        <v>0</v>
      </c>
      <c r="AP630" t="inlineStr">
        <is>
          <t>No</t>
        </is>
      </c>
      <c r="AQ630" t="inlineStr">
        <is>
          <t>Yes</t>
        </is>
      </c>
      <c r="AR630">
        <f>HYPERLINK("http://catalog.hathitrust.org/Record/002612088","HathiTrust Record")</f>
        <v/>
      </c>
      <c r="AS630">
        <f>HYPERLINK("https://creighton-primo.hosted.exlibrisgroup.com/primo-explore/search?tab=default_tab&amp;search_scope=EVERYTHING&amp;vid=01CRU&amp;lang=en_US&amp;offset=0&amp;query=any,contains,991002032889702656","Catalog Record")</f>
        <v/>
      </c>
      <c r="AT630">
        <f>HYPERLINK("http://www.worldcat.org/oclc/25874389","WorldCat Record")</f>
        <v/>
      </c>
      <c r="AU630" t="inlineStr">
        <is>
          <t>28685706:eng</t>
        </is>
      </c>
      <c r="AV630" t="inlineStr">
        <is>
          <t>25874389</t>
        </is>
      </c>
      <c r="AW630" t="inlineStr">
        <is>
          <t>991002032889702656</t>
        </is>
      </c>
      <c r="AX630" t="inlineStr">
        <is>
          <t>991002032889702656</t>
        </is>
      </c>
      <c r="AY630" t="inlineStr">
        <is>
          <t>2267604060002656</t>
        </is>
      </c>
      <c r="AZ630" t="inlineStr">
        <is>
          <t>BOOK</t>
        </is>
      </c>
      <c r="BB630" t="inlineStr">
        <is>
          <t>9780205140923</t>
        </is>
      </c>
      <c r="BC630" t="inlineStr">
        <is>
          <t>32285001976728</t>
        </is>
      </c>
      <c r="BD630" t="inlineStr">
        <is>
          <t>893603126</t>
        </is>
      </c>
    </row>
    <row r="631">
      <c r="A631" t="inlineStr">
        <is>
          <t>No</t>
        </is>
      </c>
      <c r="B631" t="inlineStr">
        <is>
          <t>RC473.R6 R67 1996</t>
        </is>
      </c>
      <c r="C631" t="inlineStr">
        <is>
          <t>0                      RC 0473000R  6                  R  67          1996</t>
        </is>
      </c>
      <c r="D631" t="inlineStr">
        <is>
          <t>Rorschach test : theory and practice / Rajendra K. Misra ... [et al.] ; with an introduction by Paul M. Lerner.</t>
        </is>
      </c>
      <c r="F631" t="inlineStr">
        <is>
          <t>No</t>
        </is>
      </c>
      <c r="G631" t="inlineStr">
        <is>
          <t>1</t>
        </is>
      </c>
      <c r="H631" t="inlineStr">
        <is>
          <t>No</t>
        </is>
      </c>
      <c r="I631" t="inlineStr">
        <is>
          <t>No</t>
        </is>
      </c>
      <c r="J631" t="inlineStr">
        <is>
          <t>0</t>
        </is>
      </c>
      <c r="L631" t="inlineStr">
        <is>
          <t>New Delhi ; Thousand Oaks, Calif. : Sage Publications, 1996.</t>
        </is>
      </c>
      <c r="M631" t="inlineStr">
        <is>
          <t>1996</t>
        </is>
      </c>
      <c r="O631" t="inlineStr">
        <is>
          <t>eng</t>
        </is>
      </c>
      <c r="P631" t="inlineStr">
        <is>
          <t xml:space="preserve">ii </t>
        </is>
      </c>
      <c r="R631" t="inlineStr">
        <is>
          <t xml:space="preserve">RC </t>
        </is>
      </c>
      <c r="S631" t="n">
        <v>1</v>
      </c>
      <c r="T631" t="n">
        <v>1</v>
      </c>
      <c r="U631" t="inlineStr">
        <is>
          <t>2010-09-29</t>
        </is>
      </c>
      <c r="V631" t="inlineStr">
        <is>
          <t>2010-09-29</t>
        </is>
      </c>
      <c r="W631" t="inlineStr">
        <is>
          <t>1999-04-26</t>
        </is>
      </c>
      <c r="X631" t="inlineStr">
        <is>
          <t>1999-04-26</t>
        </is>
      </c>
      <c r="Y631" t="n">
        <v>73</v>
      </c>
      <c r="Z631" t="n">
        <v>55</v>
      </c>
      <c r="AA631" t="n">
        <v>55</v>
      </c>
      <c r="AB631" t="n">
        <v>2</v>
      </c>
      <c r="AC631" t="n">
        <v>2</v>
      </c>
      <c r="AD631" t="n">
        <v>3</v>
      </c>
      <c r="AE631" t="n">
        <v>3</v>
      </c>
      <c r="AF631" t="n">
        <v>1</v>
      </c>
      <c r="AG631" t="n">
        <v>1</v>
      </c>
      <c r="AH631" t="n">
        <v>0</v>
      </c>
      <c r="AI631" t="n">
        <v>0</v>
      </c>
      <c r="AJ631" t="n">
        <v>2</v>
      </c>
      <c r="AK631" t="n">
        <v>2</v>
      </c>
      <c r="AL631" t="n">
        <v>1</v>
      </c>
      <c r="AM631" t="n">
        <v>1</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HYPERLINK("https://creighton-primo.hosted.exlibrisgroup.com/primo-explore/search?tab=default_tab&amp;search_scope=EVERYTHING&amp;vid=01CRU&amp;lang=en_US&amp;offset=0&amp;query=any,contains,991002679819702656","Catalog Record")</f>
        <v/>
      </c>
      <c r="AT631">
        <f>HYPERLINK("http://www.worldcat.org/oclc/35025848","WorldCat Record")</f>
        <v/>
      </c>
      <c r="AU631" t="inlineStr">
        <is>
          <t>836987882:eng</t>
        </is>
      </c>
      <c r="AV631" t="inlineStr">
        <is>
          <t>35025848</t>
        </is>
      </c>
      <c r="AW631" t="inlineStr">
        <is>
          <t>991002679819702656</t>
        </is>
      </c>
      <c r="AX631" t="inlineStr">
        <is>
          <t>991002679819702656</t>
        </is>
      </c>
      <c r="AY631" t="inlineStr">
        <is>
          <t>2265713410002656</t>
        </is>
      </c>
      <c r="AZ631" t="inlineStr">
        <is>
          <t>BOOK</t>
        </is>
      </c>
      <c r="BB631" t="inlineStr">
        <is>
          <t>9780803993280</t>
        </is>
      </c>
      <c r="BC631" t="inlineStr">
        <is>
          <t>32285003555298</t>
        </is>
      </c>
      <c r="BD631" t="inlineStr">
        <is>
          <t>893710546</t>
        </is>
      </c>
    </row>
    <row r="632">
      <c r="A632" t="inlineStr">
        <is>
          <t>No</t>
        </is>
      </c>
      <c r="B632" t="inlineStr">
        <is>
          <t>RC473.T48 C73 1996</t>
        </is>
      </c>
      <c r="C632" t="inlineStr">
        <is>
          <t>0                      RC 0473000T  48                 C  73          1996</t>
        </is>
      </c>
      <c r="D632" t="inlineStr">
        <is>
          <t>Storytelling, narrative, and the thematic apperception test / Phebe Cramer.</t>
        </is>
      </c>
      <c r="F632" t="inlineStr">
        <is>
          <t>No</t>
        </is>
      </c>
      <c r="G632" t="inlineStr">
        <is>
          <t>1</t>
        </is>
      </c>
      <c r="H632" t="inlineStr">
        <is>
          <t>No</t>
        </is>
      </c>
      <c r="I632" t="inlineStr">
        <is>
          <t>No</t>
        </is>
      </c>
      <c r="J632" t="inlineStr">
        <is>
          <t>0</t>
        </is>
      </c>
      <c r="K632" t="inlineStr">
        <is>
          <t>Cramer, Phebe.</t>
        </is>
      </c>
      <c r="L632" t="inlineStr">
        <is>
          <t>New York : The Guilford Press, c1996.</t>
        </is>
      </c>
      <c r="M632" t="inlineStr">
        <is>
          <t>1996</t>
        </is>
      </c>
      <c r="O632" t="inlineStr">
        <is>
          <t>eng</t>
        </is>
      </c>
      <c r="P632" t="inlineStr">
        <is>
          <t>nyu</t>
        </is>
      </c>
      <c r="Q632" t="inlineStr">
        <is>
          <t>Clinical psychology a guilford series</t>
        </is>
      </c>
      <c r="R632" t="inlineStr">
        <is>
          <t xml:space="preserve">RC </t>
        </is>
      </c>
      <c r="S632" t="n">
        <v>0</v>
      </c>
      <c r="T632" t="n">
        <v>0</v>
      </c>
      <c r="U632" t="inlineStr">
        <is>
          <t>2001-10-09</t>
        </is>
      </c>
      <c r="V632" t="inlineStr">
        <is>
          <t>2001-10-09</t>
        </is>
      </c>
      <c r="W632" t="inlineStr">
        <is>
          <t>1996-11-19</t>
        </is>
      </c>
      <c r="X632" t="inlineStr">
        <is>
          <t>1996-11-19</t>
        </is>
      </c>
      <c r="Y632" t="n">
        <v>267</v>
      </c>
      <c r="Z632" t="n">
        <v>212</v>
      </c>
      <c r="AA632" t="n">
        <v>212</v>
      </c>
      <c r="AB632" t="n">
        <v>2</v>
      </c>
      <c r="AC632" t="n">
        <v>2</v>
      </c>
      <c r="AD632" t="n">
        <v>15</v>
      </c>
      <c r="AE632" t="n">
        <v>15</v>
      </c>
      <c r="AF632" t="n">
        <v>3</v>
      </c>
      <c r="AG632" t="n">
        <v>3</v>
      </c>
      <c r="AH632" t="n">
        <v>3</v>
      </c>
      <c r="AI632" t="n">
        <v>3</v>
      </c>
      <c r="AJ632" t="n">
        <v>11</v>
      </c>
      <c r="AK632" t="n">
        <v>11</v>
      </c>
      <c r="AL632" t="n">
        <v>1</v>
      </c>
      <c r="AM632" t="n">
        <v>1</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HYPERLINK("https://creighton-primo.hosted.exlibrisgroup.com/primo-explore/search?tab=default_tab&amp;search_scope=EVERYTHING&amp;vid=01CRU&amp;lang=en_US&amp;offset=0&amp;query=any,contains,991002625309702656","Catalog Record")</f>
        <v/>
      </c>
      <c r="AT632">
        <f>HYPERLINK("http://www.worldcat.org/oclc/34411361","WorldCat Record")</f>
        <v/>
      </c>
      <c r="AU632" t="inlineStr">
        <is>
          <t>9657933946:eng</t>
        </is>
      </c>
      <c r="AV632" t="inlineStr">
        <is>
          <t>34411361</t>
        </is>
      </c>
      <c r="AW632" t="inlineStr">
        <is>
          <t>991002625309702656</t>
        </is>
      </c>
      <c r="AX632" t="inlineStr">
        <is>
          <t>991002625309702656</t>
        </is>
      </c>
      <c r="AY632" t="inlineStr">
        <is>
          <t>2263137610002656</t>
        </is>
      </c>
      <c r="AZ632" t="inlineStr">
        <is>
          <t>BOOK</t>
        </is>
      </c>
      <c r="BB632" t="inlineStr">
        <is>
          <t>9781572300941</t>
        </is>
      </c>
      <c r="BC632" t="inlineStr">
        <is>
          <t>32285002374170</t>
        </is>
      </c>
      <c r="BD632" t="inlineStr">
        <is>
          <t>893780023</t>
        </is>
      </c>
    </row>
    <row r="633">
      <c r="A633" t="inlineStr">
        <is>
          <t>No</t>
        </is>
      </c>
      <c r="B633" t="inlineStr">
        <is>
          <t>RC480 .B37</t>
        </is>
      </c>
      <c r="C633" t="inlineStr">
        <is>
          <t>0                      RC 0480000B  37</t>
        </is>
      </c>
      <c r="D633" t="inlineStr">
        <is>
          <t>Contemporary psychotherapies / Gary S. Belkin.</t>
        </is>
      </c>
      <c r="F633" t="inlineStr">
        <is>
          <t>No</t>
        </is>
      </c>
      <c r="G633" t="inlineStr">
        <is>
          <t>1</t>
        </is>
      </c>
      <c r="H633" t="inlineStr">
        <is>
          <t>No</t>
        </is>
      </c>
      <c r="I633" t="inlineStr">
        <is>
          <t>No</t>
        </is>
      </c>
      <c r="J633" t="inlineStr">
        <is>
          <t>0</t>
        </is>
      </c>
      <c r="K633" t="inlineStr">
        <is>
          <t>Belkin, Gary S.</t>
        </is>
      </c>
      <c r="L633" t="inlineStr">
        <is>
          <t>Chicago : Rand McNally College Pub. Co., c1980.</t>
        </is>
      </c>
      <c r="M633" t="inlineStr">
        <is>
          <t>1980</t>
        </is>
      </c>
      <c r="O633" t="inlineStr">
        <is>
          <t>eng</t>
        </is>
      </c>
      <c r="P633" t="inlineStr">
        <is>
          <t>ilu</t>
        </is>
      </c>
      <c r="R633" t="inlineStr">
        <is>
          <t xml:space="preserve">RC </t>
        </is>
      </c>
      <c r="S633" t="n">
        <v>4</v>
      </c>
      <c r="T633" t="n">
        <v>4</v>
      </c>
      <c r="U633" t="inlineStr">
        <is>
          <t>1994-11-16</t>
        </is>
      </c>
      <c r="V633" t="inlineStr">
        <is>
          <t>1994-11-16</t>
        </is>
      </c>
      <c r="W633" t="inlineStr">
        <is>
          <t>1990-07-18</t>
        </is>
      </c>
      <c r="X633" t="inlineStr">
        <is>
          <t>1990-07-18</t>
        </is>
      </c>
      <c r="Y633" t="n">
        <v>157</v>
      </c>
      <c r="Z633" t="n">
        <v>111</v>
      </c>
      <c r="AA633" t="n">
        <v>238</v>
      </c>
      <c r="AB633" t="n">
        <v>2</v>
      </c>
      <c r="AC633" t="n">
        <v>4</v>
      </c>
      <c r="AD633" t="n">
        <v>4</v>
      </c>
      <c r="AE633" t="n">
        <v>9</v>
      </c>
      <c r="AF633" t="n">
        <v>1</v>
      </c>
      <c r="AG633" t="n">
        <v>3</v>
      </c>
      <c r="AH633" t="n">
        <v>1</v>
      </c>
      <c r="AI633" t="n">
        <v>1</v>
      </c>
      <c r="AJ633" t="n">
        <v>1</v>
      </c>
      <c r="AK633" t="n">
        <v>3</v>
      </c>
      <c r="AL633" t="n">
        <v>1</v>
      </c>
      <c r="AM633" t="n">
        <v>3</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HYPERLINK("https://creighton-primo.hosted.exlibrisgroup.com/primo-explore/search?tab=default_tab&amp;search_scope=EVERYTHING&amp;vid=01CRU&amp;lang=en_US&amp;offset=0&amp;query=any,contains,991004971239702656","Catalog Record")</f>
        <v/>
      </c>
      <c r="AT633">
        <f>HYPERLINK("http://www.worldcat.org/oclc/6448501","WorldCat Record")</f>
        <v/>
      </c>
      <c r="AU633" t="inlineStr">
        <is>
          <t>54384897:eng</t>
        </is>
      </c>
      <c r="AV633" t="inlineStr">
        <is>
          <t>6448501</t>
        </is>
      </c>
      <c r="AW633" t="inlineStr">
        <is>
          <t>991004971239702656</t>
        </is>
      </c>
      <c r="AX633" t="inlineStr">
        <is>
          <t>991004971239702656</t>
        </is>
      </c>
      <c r="AY633" t="inlineStr">
        <is>
          <t>2255277900002656</t>
        </is>
      </c>
      <c r="AZ633" t="inlineStr">
        <is>
          <t>BOOK</t>
        </is>
      </c>
      <c r="BB633" t="inlineStr">
        <is>
          <t>9780528620706</t>
        </is>
      </c>
      <c r="BC633" t="inlineStr">
        <is>
          <t>32285000239086</t>
        </is>
      </c>
      <c r="BD633" t="inlineStr">
        <is>
          <t>893600435</t>
        </is>
      </c>
    </row>
    <row r="634">
      <c r="A634" t="inlineStr">
        <is>
          <t>No</t>
        </is>
      </c>
      <c r="B634" t="inlineStr">
        <is>
          <t>RC480 .B375</t>
        </is>
      </c>
      <c r="C634" t="inlineStr">
        <is>
          <t>0                      RC 0480000B  375</t>
        </is>
      </c>
      <c r="D634" t="inlineStr">
        <is>
          <t>Changing frontiers in the science of psychotherapy / [by] Allen E. Bergin [and] Hans H. Strupp.</t>
        </is>
      </c>
      <c r="F634" t="inlineStr">
        <is>
          <t>No</t>
        </is>
      </c>
      <c r="G634" t="inlineStr">
        <is>
          <t>1</t>
        </is>
      </c>
      <c r="H634" t="inlineStr">
        <is>
          <t>No</t>
        </is>
      </c>
      <c r="I634" t="inlineStr">
        <is>
          <t>No</t>
        </is>
      </c>
      <c r="J634" t="inlineStr">
        <is>
          <t>0</t>
        </is>
      </c>
      <c r="K634" t="inlineStr">
        <is>
          <t>Bergin, Allen E., 1934-</t>
        </is>
      </c>
      <c r="L634" t="inlineStr">
        <is>
          <t>Chicago : Aldine·Atherton, [1972]</t>
        </is>
      </c>
      <c r="M634" t="inlineStr">
        <is>
          <t>1972</t>
        </is>
      </c>
      <c r="O634" t="inlineStr">
        <is>
          <t>eng</t>
        </is>
      </c>
      <c r="P634" t="inlineStr">
        <is>
          <t>ilu</t>
        </is>
      </c>
      <c r="Q634" t="inlineStr">
        <is>
          <t>Modern applications of psychology</t>
        </is>
      </c>
      <c r="R634" t="inlineStr">
        <is>
          <t xml:space="preserve">RC </t>
        </is>
      </c>
      <c r="S634" t="n">
        <v>2</v>
      </c>
      <c r="T634" t="n">
        <v>2</v>
      </c>
      <c r="U634" t="inlineStr">
        <is>
          <t>1997-03-17</t>
        </is>
      </c>
      <c r="V634" t="inlineStr">
        <is>
          <t>1997-03-17</t>
        </is>
      </c>
      <c r="W634" t="inlineStr">
        <is>
          <t>1994-11-28</t>
        </is>
      </c>
      <c r="X634" t="inlineStr">
        <is>
          <t>1994-11-28</t>
        </is>
      </c>
      <c r="Y634" t="n">
        <v>454</v>
      </c>
      <c r="Z634" t="n">
        <v>371</v>
      </c>
      <c r="AA634" t="n">
        <v>407</v>
      </c>
      <c r="AB634" t="n">
        <v>2</v>
      </c>
      <c r="AC634" t="n">
        <v>2</v>
      </c>
      <c r="AD634" t="n">
        <v>15</v>
      </c>
      <c r="AE634" t="n">
        <v>15</v>
      </c>
      <c r="AF634" t="n">
        <v>3</v>
      </c>
      <c r="AG634" t="n">
        <v>3</v>
      </c>
      <c r="AH634" t="n">
        <v>5</v>
      </c>
      <c r="AI634" t="n">
        <v>5</v>
      </c>
      <c r="AJ634" t="n">
        <v>11</v>
      </c>
      <c r="AK634" t="n">
        <v>11</v>
      </c>
      <c r="AL634" t="n">
        <v>1</v>
      </c>
      <c r="AM634" t="n">
        <v>1</v>
      </c>
      <c r="AN634" t="n">
        <v>0</v>
      </c>
      <c r="AO634" t="n">
        <v>0</v>
      </c>
      <c r="AP634" t="inlineStr">
        <is>
          <t>No</t>
        </is>
      </c>
      <c r="AQ634" t="inlineStr">
        <is>
          <t>Yes</t>
        </is>
      </c>
      <c r="AR634">
        <f>HYPERLINK("http://catalog.hathitrust.org/Record/001564390","HathiTrust Record")</f>
        <v/>
      </c>
      <c r="AS634">
        <f>HYPERLINK("https://creighton-primo.hosted.exlibrisgroup.com/primo-explore/search?tab=default_tab&amp;search_scope=EVERYTHING&amp;vid=01CRU&amp;lang=en_US&amp;offset=0&amp;query=any,contains,991002421479702656","Catalog Record")</f>
        <v/>
      </c>
      <c r="AT634">
        <f>HYPERLINK("http://www.worldcat.org/oclc/342987","WorldCat Record")</f>
        <v/>
      </c>
      <c r="AU634" t="inlineStr">
        <is>
          <t>1484133:eng</t>
        </is>
      </c>
      <c r="AV634" t="inlineStr">
        <is>
          <t>342987</t>
        </is>
      </c>
      <c r="AW634" t="inlineStr">
        <is>
          <t>991002421479702656</t>
        </is>
      </c>
      <c r="AX634" t="inlineStr">
        <is>
          <t>991002421479702656</t>
        </is>
      </c>
      <c r="AY634" t="inlineStr">
        <is>
          <t>2266191980002656</t>
        </is>
      </c>
      <c r="AZ634" t="inlineStr">
        <is>
          <t>BOOK</t>
        </is>
      </c>
      <c r="BB634" t="inlineStr">
        <is>
          <t>9780202260310</t>
        </is>
      </c>
      <c r="BC634" t="inlineStr">
        <is>
          <t>32285001967479</t>
        </is>
      </c>
      <c r="BD634" t="inlineStr">
        <is>
          <t>893239012</t>
        </is>
      </c>
    </row>
    <row r="635">
      <c r="A635" t="inlineStr">
        <is>
          <t>No</t>
        </is>
      </c>
      <c r="B635" t="inlineStr">
        <is>
          <t>RC480 .B67</t>
        </is>
      </c>
      <c r="C635" t="inlineStr">
        <is>
          <t>0                      RC 0480000B  67</t>
        </is>
      </c>
      <c r="D635" t="inlineStr">
        <is>
          <t>Approaches to counseling &amp; psychotherapy : a brief overview of issues, systems, and applications / Michael Braswell, Thomas Seay, Eugene Anderson.</t>
        </is>
      </c>
      <c r="F635" t="inlineStr">
        <is>
          <t>No</t>
        </is>
      </c>
      <c r="G635" t="inlineStr">
        <is>
          <t>1</t>
        </is>
      </c>
      <c r="H635" t="inlineStr">
        <is>
          <t>No</t>
        </is>
      </c>
      <c r="I635" t="inlineStr">
        <is>
          <t>No</t>
        </is>
      </c>
      <c r="J635" t="inlineStr">
        <is>
          <t>0</t>
        </is>
      </c>
      <c r="K635" t="inlineStr">
        <is>
          <t>Braswell, Michael.</t>
        </is>
      </c>
      <c r="L635" t="inlineStr">
        <is>
          <t>Washington, D.C. : University Press of America, c1980.</t>
        </is>
      </c>
      <c r="M635" t="inlineStr">
        <is>
          <t>1980</t>
        </is>
      </c>
      <c r="O635" t="inlineStr">
        <is>
          <t>eng</t>
        </is>
      </c>
      <c r="P635" t="inlineStr">
        <is>
          <t>dcu</t>
        </is>
      </c>
      <c r="R635" t="inlineStr">
        <is>
          <t xml:space="preserve">RC </t>
        </is>
      </c>
      <c r="S635" t="n">
        <v>10</v>
      </c>
      <c r="T635" t="n">
        <v>10</v>
      </c>
      <c r="U635" t="inlineStr">
        <is>
          <t>1999-05-02</t>
        </is>
      </c>
      <c r="V635" t="inlineStr">
        <is>
          <t>1999-05-02</t>
        </is>
      </c>
      <c r="W635" t="inlineStr">
        <is>
          <t>1991-10-28</t>
        </is>
      </c>
      <c r="X635" t="inlineStr">
        <is>
          <t>1991-10-28</t>
        </is>
      </c>
      <c r="Y635" t="n">
        <v>69</v>
      </c>
      <c r="Z635" t="n">
        <v>58</v>
      </c>
      <c r="AA635" t="n">
        <v>132</v>
      </c>
      <c r="AB635" t="n">
        <v>2</v>
      </c>
      <c r="AC635" t="n">
        <v>2</v>
      </c>
      <c r="AD635" t="n">
        <v>1</v>
      </c>
      <c r="AE635" t="n">
        <v>4</v>
      </c>
      <c r="AF635" t="n">
        <v>0</v>
      </c>
      <c r="AG635" t="n">
        <v>1</v>
      </c>
      <c r="AH635" t="n">
        <v>0</v>
      </c>
      <c r="AI635" t="n">
        <v>1</v>
      </c>
      <c r="AJ635" t="n">
        <v>0</v>
      </c>
      <c r="AK635" t="n">
        <v>2</v>
      </c>
      <c r="AL635" t="n">
        <v>1</v>
      </c>
      <c r="AM635" t="n">
        <v>1</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HYPERLINK("https://creighton-primo.hosted.exlibrisgroup.com/primo-explore/search?tab=default_tab&amp;search_scope=EVERYTHING&amp;vid=01CRU&amp;lang=en_US&amp;offset=0&amp;query=any,contains,991004902049702656","Catalog Record")</f>
        <v/>
      </c>
      <c r="AT635">
        <f>HYPERLINK("http://www.worldcat.org/oclc/5941018","WorldCat Record")</f>
        <v/>
      </c>
      <c r="AU635" t="inlineStr">
        <is>
          <t>1780202994:eng</t>
        </is>
      </c>
      <c r="AV635" t="inlineStr">
        <is>
          <t>5941018</t>
        </is>
      </c>
      <c r="AW635" t="inlineStr">
        <is>
          <t>991004902049702656</t>
        </is>
      </c>
      <c r="AX635" t="inlineStr">
        <is>
          <t>991004902049702656</t>
        </is>
      </c>
      <c r="AY635" t="inlineStr">
        <is>
          <t>2270095190002656</t>
        </is>
      </c>
      <c r="AZ635" t="inlineStr">
        <is>
          <t>BOOK</t>
        </is>
      </c>
      <c r="BB635" t="inlineStr">
        <is>
          <t>9780819109644</t>
        </is>
      </c>
      <c r="BC635" t="inlineStr">
        <is>
          <t>32285000801984</t>
        </is>
      </c>
      <c r="BD635" t="inlineStr">
        <is>
          <t>893412050</t>
        </is>
      </c>
    </row>
    <row r="636">
      <c r="A636" t="inlineStr">
        <is>
          <t>No</t>
        </is>
      </c>
      <c r="B636" t="inlineStr">
        <is>
          <t>RC480 .B7 1963</t>
        </is>
      </c>
      <c r="C636" t="inlineStr">
        <is>
          <t>0                      RC 0480000B  7           1963</t>
        </is>
      </c>
      <c r="D636" t="inlineStr">
        <is>
          <t>The mind of man : a history of psychotherapy and psychoanalysis / Walter Bromberg.</t>
        </is>
      </c>
      <c r="F636" t="inlineStr">
        <is>
          <t>No</t>
        </is>
      </c>
      <c r="G636" t="inlineStr">
        <is>
          <t>1</t>
        </is>
      </c>
      <c r="H636" t="inlineStr">
        <is>
          <t>No</t>
        </is>
      </c>
      <c r="I636" t="inlineStr">
        <is>
          <t>No</t>
        </is>
      </c>
      <c r="J636" t="inlineStr">
        <is>
          <t>0</t>
        </is>
      </c>
      <c r="K636" t="inlineStr">
        <is>
          <t>Bromberg, Walter, 1900-2000.</t>
        </is>
      </c>
      <c r="L636" t="inlineStr">
        <is>
          <t>New York, Harper [1963, c1959]</t>
        </is>
      </c>
      <c r="M636" t="inlineStr">
        <is>
          <t>1963</t>
        </is>
      </c>
      <c r="O636" t="inlineStr">
        <is>
          <t>eng</t>
        </is>
      </c>
      <c r="P636" t="inlineStr">
        <is>
          <t>___</t>
        </is>
      </c>
      <c r="Q636" t="inlineStr">
        <is>
          <t>Harper colophon books</t>
        </is>
      </c>
      <c r="R636" t="inlineStr">
        <is>
          <t xml:space="preserve">RC </t>
        </is>
      </c>
      <c r="S636" t="n">
        <v>3</v>
      </c>
      <c r="T636" t="n">
        <v>3</v>
      </c>
      <c r="U636" t="inlineStr">
        <is>
          <t>1997-03-17</t>
        </is>
      </c>
      <c r="V636" t="inlineStr">
        <is>
          <t>1997-03-17</t>
        </is>
      </c>
      <c r="W636" t="inlineStr">
        <is>
          <t>1993-03-23</t>
        </is>
      </c>
      <c r="X636" t="inlineStr">
        <is>
          <t>1993-03-23</t>
        </is>
      </c>
      <c r="Y636" t="n">
        <v>175</v>
      </c>
      <c r="Z636" t="n">
        <v>153</v>
      </c>
      <c r="AA636" t="n">
        <v>427</v>
      </c>
      <c r="AB636" t="n">
        <v>1</v>
      </c>
      <c r="AC636" t="n">
        <v>3</v>
      </c>
      <c r="AD636" t="n">
        <v>6</v>
      </c>
      <c r="AE636" t="n">
        <v>15</v>
      </c>
      <c r="AF636" t="n">
        <v>3</v>
      </c>
      <c r="AG636" t="n">
        <v>6</v>
      </c>
      <c r="AH636" t="n">
        <v>0</v>
      </c>
      <c r="AI636" t="n">
        <v>1</v>
      </c>
      <c r="AJ636" t="n">
        <v>5</v>
      </c>
      <c r="AK636" t="n">
        <v>10</v>
      </c>
      <c r="AL636" t="n">
        <v>0</v>
      </c>
      <c r="AM636" t="n">
        <v>2</v>
      </c>
      <c r="AN636" t="n">
        <v>0</v>
      </c>
      <c r="AO636" t="n">
        <v>0</v>
      </c>
      <c r="AP636" t="inlineStr">
        <is>
          <t>No</t>
        </is>
      </c>
      <c r="AQ636" t="inlineStr">
        <is>
          <t>Yes</t>
        </is>
      </c>
      <c r="AR636">
        <f>HYPERLINK("http://catalog.hathitrust.org/Record/000012895","HathiTrust Record")</f>
        <v/>
      </c>
      <c r="AS636">
        <f>HYPERLINK("https://creighton-primo.hosted.exlibrisgroup.com/primo-explore/search?tab=default_tab&amp;search_scope=EVERYTHING&amp;vid=01CRU&amp;lang=en_US&amp;offset=0&amp;query=any,contains,991003387739702656","Catalog Record")</f>
        <v/>
      </c>
      <c r="AT636">
        <f>HYPERLINK("http://www.worldcat.org/oclc/840322","WorldCat Record")</f>
        <v/>
      </c>
      <c r="AU636" t="inlineStr">
        <is>
          <t>288194638:eng</t>
        </is>
      </c>
      <c r="AV636" t="inlineStr">
        <is>
          <t>840322</t>
        </is>
      </c>
      <c r="AW636" t="inlineStr">
        <is>
          <t>991003387739702656</t>
        </is>
      </c>
      <c r="AX636" t="inlineStr">
        <is>
          <t>991003387739702656</t>
        </is>
      </c>
      <c r="AY636" t="inlineStr">
        <is>
          <t>2264368860002656</t>
        </is>
      </c>
      <c r="AZ636" t="inlineStr">
        <is>
          <t>BOOK</t>
        </is>
      </c>
      <c r="BC636" t="inlineStr">
        <is>
          <t>32285001606242</t>
        </is>
      </c>
      <c r="BD636" t="inlineStr">
        <is>
          <t>893881116</t>
        </is>
      </c>
    </row>
    <row r="637">
      <c r="A637" t="inlineStr">
        <is>
          <t>No</t>
        </is>
      </c>
      <c r="B637" t="inlineStr">
        <is>
          <t>RC480 .B75 1987</t>
        </is>
      </c>
      <c r="C637" t="inlineStr">
        <is>
          <t>0                      RC 0480000B  75          1987</t>
        </is>
      </c>
      <c r="D637" t="inlineStr">
        <is>
          <t>The art of the psychotherapist / James F.T. Bugental.</t>
        </is>
      </c>
      <c r="F637" t="inlineStr">
        <is>
          <t>No</t>
        </is>
      </c>
      <c r="G637" t="inlineStr">
        <is>
          <t>1</t>
        </is>
      </c>
      <c r="H637" t="inlineStr">
        <is>
          <t>No</t>
        </is>
      </c>
      <c r="I637" t="inlineStr">
        <is>
          <t>No</t>
        </is>
      </c>
      <c r="J637" t="inlineStr">
        <is>
          <t>0</t>
        </is>
      </c>
      <c r="K637" t="inlineStr">
        <is>
          <t>Bugental, James F. T.</t>
        </is>
      </c>
      <c r="L637" t="inlineStr">
        <is>
          <t>New York : Norton, c1987.</t>
        </is>
      </c>
      <c r="M637" t="inlineStr">
        <is>
          <t>1987</t>
        </is>
      </c>
      <c r="N637" t="inlineStr">
        <is>
          <t>1st ed.</t>
        </is>
      </c>
      <c r="O637" t="inlineStr">
        <is>
          <t>eng</t>
        </is>
      </c>
      <c r="P637" t="inlineStr">
        <is>
          <t>nyu</t>
        </is>
      </c>
      <c r="R637" t="inlineStr">
        <is>
          <t xml:space="preserve">RC </t>
        </is>
      </c>
      <c r="S637" t="n">
        <v>4</v>
      </c>
      <c r="T637" t="n">
        <v>4</v>
      </c>
      <c r="U637" t="inlineStr">
        <is>
          <t>1996-11-14</t>
        </is>
      </c>
      <c r="V637" t="inlineStr">
        <is>
          <t>1996-11-14</t>
        </is>
      </c>
      <c r="W637" t="inlineStr">
        <is>
          <t>1993-03-31</t>
        </is>
      </c>
      <c r="X637" t="inlineStr">
        <is>
          <t>1993-03-31</t>
        </is>
      </c>
      <c r="Y637" t="n">
        <v>430</v>
      </c>
      <c r="Z637" t="n">
        <v>361</v>
      </c>
      <c r="AA637" t="n">
        <v>409</v>
      </c>
      <c r="AB637" t="n">
        <v>2</v>
      </c>
      <c r="AC637" t="n">
        <v>2</v>
      </c>
      <c r="AD637" t="n">
        <v>18</v>
      </c>
      <c r="AE637" t="n">
        <v>19</v>
      </c>
      <c r="AF637" t="n">
        <v>4</v>
      </c>
      <c r="AG637" t="n">
        <v>5</v>
      </c>
      <c r="AH637" t="n">
        <v>5</v>
      </c>
      <c r="AI637" t="n">
        <v>5</v>
      </c>
      <c r="AJ637" t="n">
        <v>14</v>
      </c>
      <c r="AK637" t="n">
        <v>14</v>
      </c>
      <c r="AL637" t="n">
        <v>1</v>
      </c>
      <c r="AM637" t="n">
        <v>1</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HYPERLINK("https://creighton-primo.hosted.exlibrisgroup.com/primo-explore/search?tab=default_tab&amp;search_scope=EVERYTHING&amp;vid=01CRU&amp;lang=en_US&amp;offset=0&amp;query=any,contains,991000966059702656","Catalog Record")</f>
        <v/>
      </c>
      <c r="AT637">
        <f>HYPERLINK("http://www.worldcat.org/oclc/14906030","WorldCat Record")</f>
        <v/>
      </c>
      <c r="AU637" t="inlineStr">
        <is>
          <t>879822:eng</t>
        </is>
      </c>
      <c r="AV637" t="inlineStr">
        <is>
          <t>14906030</t>
        </is>
      </c>
      <c r="AW637" t="inlineStr">
        <is>
          <t>991000966059702656</t>
        </is>
      </c>
      <c r="AX637" t="inlineStr">
        <is>
          <t>991000966059702656</t>
        </is>
      </c>
      <c r="AY637" t="inlineStr">
        <is>
          <t>2267929660002656</t>
        </is>
      </c>
      <c r="AZ637" t="inlineStr">
        <is>
          <t>BOOK</t>
        </is>
      </c>
      <c r="BB637" t="inlineStr">
        <is>
          <t>9780393700329</t>
        </is>
      </c>
      <c r="BC637" t="inlineStr">
        <is>
          <t>32285001595353</t>
        </is>
      </c>
      <c r="BD637" t="inlineStr">
        <is>
          <t>893784688</t>
        </is>
      </c>
    </row>
    <row r="638">
      <c r="A638" t="inlineStr">
        <is>
          <t>No</t>
        </is>
      </c>
      <c r="B638" t="inlineStr">
        <is>
          <t>RC480 .C3 1977</t>
        </is>
      </c>
      <c r="C638" t="inlineStr">
        <is>
          <t>0                      RC 0480000C  3           1977</t>
        </is>
      </c>
      <c r="D638" t="inlineStr">
        <is>
          <t>Beyond counseling and therapy / Robert R. Carkhuff, Bernard G. Berenson.</t>
        </is>
      </c>
      <c r="F638" t="inlineStr">
        <is>
          <t>No</t>
        </is>
      </c>
      <c r="G638" t="inlineStr">
        <is>
          <t>1</t>
        </is>
      </c>
      <c r="H638" t="inlineStr">
        <is>
          <t>No</t>
        </is>
      </c>
      <c r="I638" t="inlineStr">
        <is>
          <t>No</t>
        </is>
      </c>
      <c r="J638" t="inlineStr">
        <is>
          <t>0</t>
        </is>
      </c>
      <c r="K638" t="inlineStr">
        <is>
          <t>Carkhuff, Robert R.</t>
        </is>
      </c>
      <c r="L638" t="inlineStr">
        <is>
          <t>New York : Holt, Rinehart and Winston, 1977.</t>
        </is>
      </c>
      <c r="M638" t="inlineStr">
        <is>
          <t>1977</t>
        </is>
      </c>
      <c r="N638" t="inlineStr">
        <is>
          <t>2d ed.</t>
        </is>
      </c>
      <c r="O638" t="inlineStr">
        <is>
          <t>eng</t>
        </is>
      </c>
      <c r="P638" t="inlineStr">
        <is>
          <t>nyu</t>
        </is>
      </c>
      <c r="R638" t="inlineStr">
        <is>
          <t xml:space="preserve">RC </t>
        </is>
      </c>
      <c r="S638" t="n">
        <v>1</v>
      </c>
      <c r="T638" t="n">
        <v>1</v>
      </c>
      <c r="U638" t="inlineStr">
        <is>
          <t>1993-05-30</t>
        </is>
      </c>
      <c r="V638" t="inlineStr">
        <is>
          <t>1993-05-30</t>
        </is>
      </c>
      <c r="W638" t="inlineStr">
        <is>
          <t>1990-07-18</t>
        </is>
      </c>
      <c r="X638" t="inlineStr">
        <is>
          <t>1990-07-18</t>
        </is>
      </c>
      <c r="Y638" t="n">
        <v>386</v>
      </c>
      <c r="Z638" t="n">
        <v>273</v>
      </c>
      <c r="AA638" t="n">
        <v>619</v>
      </c>
      <c r="AB638" t="n">
        <v>3</v>
      </c>
      <c r="AC638" t="n">
        <v>5</v>
      </c>
      <c r="AD638" t="n">
        <v>15</v>
      </c>
      <c r="AE638" t="n">
        <v>28</v>
      </c>
      <c r="AF638" t="n">
        <v>7</v>
      </c>
      <c r="AG638" t="n">
        <v>9</v>
      </c>
      <c r="AH638" t="n">
        <v>3</v>
      </c>
      <c r="AI638" t="n">
        <v>6</v>
      </c>
      <c r="AJ638" t="n">
        <v>9</v>
      </c>
      <c r="AK638" t="n">
        <v>17</v>
      </c>
      <c r="AL638" t="n">
        <v>2</v>
      </c>
      <c r="AM638" t="n">
        <v>4</v>
      </c>
      <c r="AN638" t="n">
        <v>0</v>
      </c>
      <c r="AO638" t="n">
        <v>0</v>
      </c>
      <c r="AP638" t="inlineStr">
        <is>
          <t>No</t>
        </is>
      </c>
      <c r="AQ638" t="inlineStr">
        <is>
          <t>Yes</t>
        </is>
      </c>
      <c r="AR638">
        <f>HYPERLINK("http://catalog.hathitrust.org/Record/000690344","HathiTrust Record")</f>
        <v/>
      </c>
      <c r="AS638">
        <f>HYPERLINK("https://creighton-primo.hosted.exlibrisgroup.com/primo-explore/search?tab=default_tab&amp;search_scope=EVERYTHING&amp;vid=01CRU&amp;lang=en_US&amp;offset=0&amp;query=any,contains,991004055759702656","Catalog Record")</f>
        <v/>
      </c>
      <c r="AT638">
        <f>HYPERLINK("http://www.worldcat.org/oclc/2225033","WorldCat Record")</f>
        <v/>
      </c>
      <c r="AU638" t="inlineStr">
        <is>
          <t>1332812:eng</t>
        </is>
      </c>
      <c r="AV638" t="inlineStr">
        <is>
          <t>2225033</t>
        </is>
      </c>
      <c r="AW638" t="inlineStr">
        <is>
          <t>991004055759702656</t>
        </is>
      </c>
      <c r="AX638" t="inlineStr">
        <is>
          <t>991004055759702656</t>
        </is>
      </c>
      <c r="AY638" t="inlineStr">
        <is>
          <t>2259209630002656</t>
        </is>
      </c>
      <c r="AZ638" t="inlineStr">
        <is>
          <t>BOOK</t>
        </is>
      </c>
      <c r="BB638" t="inlineStr">
        <is>
          <t>9780030898129</t>
        </is>
      </c>
      <c r="BC638" t="inlineStr">
        <is>
          <t>32285000232800</t>
        </is>
      </c>
      <c r="BD638" t="inlineStr">
        <is>
          <t>893512751</t>
        </is>
      </c>
    </row>
    <row r="639">
      <c r="A639" t="inlineStr">
        <is>
          <t>No</t>
        </is>
      </c>
      <c r="B639" t="inlineStr">
        <is>
          <t>RC480 .C66 1979</t>
        </is>
      </c>
      <c r="C639" t="inlineStr">
        <is>
          <t>0                      RC 0480000C  66          1979</t>
        </is>
      </c>
      <c r="D639" t="inlineStr">
        <is>
          <t>Current psychotherapies / Raymond J. Corsini [editor] and contributors.</t>
        </is>
      </c>
      <c r="F639" t="inlineStr">
        <is>
          <t>No</t>
        </is>
      </c>
      <c r="G639" t="inlineStr">
        <is>
          <t>1</t>
        </is>
      </c>
      <c r="H639" t="inlineStr">
        <is>
          <t>No</t>
        </is>
      </c>
      <c r="I639" t="inlineStr">
        <is>
          <t>No</t>
        </is>
      </c>
      <c r="J639" t="inlineStr">
        <is>
          <t>0</t>
        </is>
      </c>
      <c r="K639" t="inlineStr">
        <is>
          <t>Corsini, Raymond J.</t>
        </is>
      </c>
      <c r="L639" t="inlineStr">
        <is>
          <t>Itasca, Ill. : F. E. Peacock Publishers, c1979.</t>
        </is>
      </c>
      <c r="M639" t="inlineStr">
        <is>
          <t>1979</t>
        </is>
      </c>
      <c r="N639" t="inlineStr">
        <is>
          <t>2d ed.</t>
        </is>
      </c>
      <c r="O639" t="inlineStr">
        <is>
          <t>eng</t>
        </is>
      </c>
      <c r="P639" t="inlineStr">
        <is>
          <t>ilu</t>
        </is>
      </c>
      <c r="R639" t="inlineStr">
        <is>
          <t xml:space="preserve">RC </t>
        </is>
      </c>
      <c r="S639" t="n">
        <v>6</v>
      </c>
      <c r="T639" t="n">
        <v>6</v>
      </c>
      <c r="U639" t="inlineStr">
        <is>
          <t>2005-09-03</t>
        </is>
      </c>
      <c r="V639" t="inlineStr">
        <is>
          <t>2005-09-03</t>
        </is>
      </c>
      <c r="W639" t="inlineStr">
        <is>
          <t>1990-07-20</t>
        </is>
      </c>
      <c r="X639" t="inlineStr">
        <is>
          <t>1990-07-20</t>
        </is>
      </c>
      <c r="Y639" t="n">
        <v>381</v>
      </c>
      <c r="Z639" t="n">
        <v>290</v>
      </c>
      <c r="AA639" t="n">
        <v>1208</v>
      </c>
      <c r="AB639" t="n">
        <v>2</v>
      </c>
      <c r="AC639" t="n">
        <v>13</v>
      </c>
      <c r="AD639" t="n">
        <v>9</v>
      </c>
      <c r="AE639" t="n">
        <v>44</v>
      </c>
      <c r="AF639" t="n">
        <v>1</v>
      </c>
      <c r="AG639" t="n">
        <v>19</v>
      </c>
      <c r="AH639" t="n">
        <v>2</v>
      </c>
      <c r="AI639" t="n">
        <v>6</v>
      </c>
      <c r="AJ639" t="n">
        <v>6</v>
      </c>
      <c r="AK639" t="n">
        <v>21</v>
      </c>
      <c r="AL639" t="n">
        <v>1</v>
      </c>
      <c r="AM639" t="n">
        <v>8</v>
      </c>
      <c r="AN639" t="n">
        <v>0</v>
      </c>
      <c r="AO639" t="n">
        <v>0</v>
      </c>
      <c r="AP639" t="inlineStr">
        <is>
          <t>No</t>
        </is>
      </c>
      <c r="AQ639" t="inlineStr">
        <is>
          <t>Yes</t>
        </is>
      </c>
      <c r="AR639">
        <f>HYPERLINK("http://catalog.hathitrust.org/Record/008514205","HathiTrust Record")</f>
        <v/>
      </c>
      <c r="AS639">
        <f>HYPERLINK("https://creighton-primo.hosted.exlibrisgroup.com/primo-explore/search?tab=default_tab&amp;search_scope=EVERYTHING&amp;vid=01CRU&amp;lang=en_US&amp;offset=0&amp;query=any,contains,991004755649702656","Catalog Record")</f>
        <v/>
      </c>
      <c r="AT639">
        <f>HYPERLINK("http://www.worldcat.org/oclc/4961148","WorldCat Record")</f>
        <v/>
      </c>
      <c r="AU639" t="inlineStr">
        <is>
          <t>510303653:eng</t>
        </is>
      </c>
      <c r="AV639" t="inlineStr">
        <is>
          <t>4961148</t>
        </is>
      </c>
      <c r="AW639" t="inlineStr">
        <is>
          <t>991004755649702656</t>
        </is>
      </c>
      <c r="AX639" t="inlineStr">
        <is>
          <t>991004755649702656</t>
        </is>
      </c>
      <c r="AY639" t="inlineStr">
        <is>
          <t>2255238790002656</t>
        </is>
      </c>
      <c r="AZ639" t="inlineStr">
        <is>
          <t>BOOK</t>
        </is>
      </c>
      <c r="BB639" t="inlineStr">
        <is>
          <t>9780875812403</t>
        </is>
      </c>
      <c r="BC639" t="inlineStr">
        <is>
          <t>32285000245935</t>
        </is>
      </c>
      <c r="BD639" t="inlineStr">
        <is>
          <t>893353521</t>
        </is>
      </c>
    </row>
    <row r="640">
      <c r="A640" t="inlineStr">
        <is>
          <t>No</t>
        </is>
      </c>
      <c r="B640" t="inlineStr">
        <is>
          <t>RC480 .E37</t>
        </is>
      </c>
      <c r="C640" t="inlineStr">
        <is>
          <t>0                      RC 0480000E  37</t>
        </is>
      </c>
      <c r="D640" t="inlineStr">
        <is>
          <t>The psychotherapy maze : a consumer's guide to the ins and outs of therapy / Otto Ehrenberg and Miriam Ehrenberg.</t>
        </is>
      </c>
      <c r="F640" t="inlineStr">
        <is>
          <t>No</t>
        </is>
      </c>
      <c r="G640" t="inlineStr">
        <is>
          <t>1</t>
        </is>
      </c>
      <c r="H640" t="inlineStr">
        <is>
          <t>No</t>
        </is>
      </c>
      <c r="I640" t="inlineStr">
        <is>
          <t>No</t>
        </is>
      </c>
      <c r="J640" t="inlineStr">
        <is>
          <t>0</t>
        </is>
      </c>
      <c r="K640" t="inlineStr">
        <is>
          <t>Ehrenberg, Otto.</t>
        </is>
      </c>
      <c r="L640" t="inlineStr">
        <is>
          <t>New York : Holt, Rinehart and Winston, c1977.</t>
        </is>
      </c>
      <c r="M640" t="inlineStr">
        <is>
          <t>1977</t>
        </is>
      </c>
      <c r="N640" t="inlineStr">
        <is>
          <t>1st ed.</t>
        </is>
      </c>
      <c r="O640" t="inlineStr">
        <is>
          <t>eng</t>
        </is>
      </c>
      <c r="P640" t="inlineStr">
        <is>
          <t>nyu</t>
        </is>
      </c>
      <c r="R640" t="inlineStr">
        <is>
          <t xml:space="preserve">RC </t>
        </is>
      </c>
      <c r="S640" t="n">
        <v>5</v>
      </c>
      <c r="T640" t="n">
        <v>5</v>
      </c>
      <c r="U640" t="inlineStr">
        <is>
          <t>1998-03-22</t>
        </is>
      </c>
      <c r="V640" t="inlineStr">
        <is>
          <t>1998-03-22</t>
        </is>
      </c>
      <c r="W640" t="inlineStr">
        <is>
          <t>1997-03-04</t>
        </is>
      </c>
      <c r="X640" t="inlineStr">
        <is>
          <t>1997-03-04</t>
        </is>
      </c>
      <c r="Y640" t="n">
        <v>248</v>
      </c>
      <c r="Z640" t="n">
        <v>232</v>
      </c>
      <c r="AA640" t="n">
        <v>495</v>
      </c>
      <c r="AB640" t="n">
        <v>2</v>
      </c>
      <c r="AC640" t="n">
        <v>3</v>
      </c>
      <c r="AD640" t="n">
        <v>3</v>
      </c>
      <c r="AE640" t="n">
        <v>7</v>
      </c>
      <c r="AF640" t="n">
        <v>0</v>
      </c>
      <c r="AG640" t="n">
        <v>1</v>
      </c>
      <c r="AH640" t="n">
        <v>0</v>
      </c>
      <c r="AI640" t="n">
        <v>0</v>
      </c>
      <c r="AJ640" t="n">
        <v>2</v>
      </c>
      <c r="AK640" t="n">
        <v>6</v>
      </c>
      <c r="AL640" t="n">
        <v>1</v>
      </c>
      <c r="AM640" t="n">
        <v>1</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HYPERLINK("https://creighton-primo.hosted.exlibrisgroup.com/primo-explore/search?tab=default_tab&amp;search_scope=EVERYTHING&amp;vid=01CRU&amp;lang=en_US&amp;offset=0&amp;query=any,contains,991004297919702656","Catalog Record")</f>
        <v/>
      </c>
      <c r="AT640">
        <f>HYPERLINK("http://www.worldcat.org/oclc/2966301","WorldCat Record")</f>
        <v/>
      </c>
      <c r="AU640" t="inlineStr">
        <is>
          <t>836711436:eng</t>
        </is>
      </c>
      <c r="AV640" t="inlineStr">
        <is>
          <t>2966301</t>
        </is>
      </c>
      <c r="AW640" t="inlineStr">
        <is>
          <t>991004297919702656</t>
        </is>
      </c>
      <c r="AX640" t="inlineStr">
        <is>
          <t>991004297919702656</t>
        </is>
      </c>
      <c r="AY640" t="inlineStr">
        <is>
          <t>2267345500002656</t>
        </is>
      </c>
      <c r="AZ640" t="inlineStr">
        <is>
          <t>BOOK</t>
        </is>
      </c>
      <c r="BB640" t="inlineStr">
        <is>
          <t>9780030168864</t>
        </is>
      </c>
      <c r="BC640" t="inlineStr">
        <is>
          <t>32285002122298</t>
        </is>
      </c>
      <c r="BD640" t="inlineStr">
        <is>
          <t>893687583</t>
        </is>
      </c>
    </row>
    <row r="641">
      <c r="A641" t="inlineStr">
        <is>
          <t>No</t>
        </is>
      </c>
      <c r="B641" t="inlineStr">
        <is>
          <t>RC480 .F58 1991</t>
        </is>
      </c>
      <c r="C641" t="inlineStr">
        <is>
          <t>0                      RC 0480000F  58          1991</t>
        </is>
      </c>
      <c r="D641" t="inlineStr">
        <is>
          <t>Five therapists and one client / Raymond J. Corsini and contributors.</t>
        </is>
      </c>
      <c r="F641" t="inlineStr">
        <is>
          <t>No</t>
        </is>
      </c>
      <c r="G641" t="inlineStr">
        <is>
          <t>1</t>
        </is>
      </c>
      <c r="H641" t="inlineStr">
        <is>
          <t>No</t>
        </is>
      </c>
      <c r="I641" t="inlineStr">
        <is>
          <t>No</t>
        </is>
      </c>
      <c r="J641" t="inlineStr">
        <is>
          <t>0</t>
        </is>
      </c>
      <c r="L641" t="inlineStr">
        <is>
          <t>Itasca, Ill. : F.E. Peacock Publishers, c1991.</t>
        </is>
      </c>
      <c r="M641" t="inlineStr">
        <is>
          <t>1991</t>
        </is>
      </c>
      <c r="O641" t="inlineStr">
        <is>
          <t>eng</t>
        </is>
      </c>
      <c r="P641" t="inlineStr">
        <is>
          <t>ilu</t>
        </is>
      </c>
      <c r="R641" t="inlineStr">
        <is>
          <t xml:space="preserve">RC </t>
        </is>
      </c>
      <c r="S641" t="n">
        <v>15</v>
      </c>
      <c r="T641" t="n">
        <v>15</v>
      </c>
      <c r="U641" t="inlineStr">
        <is>
          <t>1998-03-22</t>
        </is>
      </c>
      <c r="V641" t="inlineStr">
        <is>
          <t>1998-03-22</t>
        </is>
      </c>
      <c r="W641" t="inlineStr">
        <is>
          <t>1991-09-06</t>
        </is>
      </c>
      <c r="X641" t="inlineStr">
        <is>
          <t>1991-09-06</t>
        </is>
      </c>
      <c r="Y641" t="n">
        <v>131</v>
      </c>
      <c r="Z641" t="n">
        <v>103</v>
      </c>
      <c r="AA641" t="n">
        <v>110</v>
      </c>
      <c r="AB641" t="n">
        <v>1</v>
      </c>
      <c r="AC641" t="n">
        <v>1</v>
      </c>
      <c r="AD641" t="n">
        <v>5</v>
      </c>
      <c r="AE641" t="n">
        <v>5</v>
      </c>
      <c r="AF641" t="n">
        <v>2</v>
      </c>
      <c r="AG641" t="n">
        <v>2</v>
      </c>
      <c r="AH641" t="n">
        <v>1</v>
      </c>
      <c r="AI641" t="n">
        <v>1</v>
      </c>
      <c r="AJ641" t="n">
        <v>2</v>
      </c>
      <c r="AK641" t="n">
        <v>2</v>
      </c>
      <c r="AL641" t="n">
        <v>0</v>
      </c>
      <c r="AM641" t="n">
        <v>0</v>
      </c>
      <c r="AN641" t="n">
        <v>0</v>
      </c>
      <c r="AO641" t="n">
        <v>0</v>
      </c>
      <c r="AP641" t="inlineStr">
        <is>
          <t>No</t>
        </is>
      </c>
      <c r="AQ641" t="inlineStr">
        <is>
          <t>Yes</t>
        </is>
      </c>
      <c r="AR641">
        <f>HYPERLINK("http://catalog.hathitrust.org/Record/002794490","HathiTrust Record")</f>
        <v/>
      </c>
      <c r="AS641">
        <f>HYPERLINK("https://creighton-primo.hosted.exlibrisgroup.com/primo-explore/search?tab=default_tab&amp;search_scope=EVERYTHING&amp;vid=01CRU&amp;lang=en_US&amp;offset=0&amp;query=any,contains,991001922669702656","Catalog Record")</f>
        <v/>
      </c>
      <c r="AT641">
        <f>HYPERLINK("http://www.worldcat.org/oclc/24272814","WorldCat Record")</f>
        <v/>
      </c>
      <c r="AU641" t="inlineStr">
        <is>
          <t>26519944:eng</t>
        </is>
      </c>
      <c r="AV641" t="inlineStr">
        <is>
          <t>24272814</t>
        </is>
      </c>
      <c r="AW641" t="inlineStr">
        <is>
          <t>991001922669702656</t>
        </is>
      </c>
      <c r="AX641" t="inlineStr">
        <is>
          <t>991001922669702656</t>
        </is>
      </c>
      <c r="AY641" t="inlineStr">
        <is>
          <t>2264961160002656</t>
        </is>
      </c>
      <c r="AZ641" t="inlineStr">
        <is>
          <t>BOOK</t>
        </is>
      </c>
      <c r="BB641" t="inlineStr">
        <is>
          <t>9780875813455</t>
        </is>
      </c>
      <c r="BC641" t="inlineStr">
        <is>
          <t>32285000702521</t>
        </is>
      </c>
      <c r="BD641" t="inlineStr">
        <is>
          <t>893426990</t>
        </is>
      </c>
    </row>
    <row r="642">
      <c r="A642" t="inlineStr">
        <is>
          <t>No</t>
        </is>
      </c>
      <c r="B642" t="inlineStr">
        <is>
          <t>RC480 .F6</t>
        </is>
      </c>
      <c r="C642" t="inlineStr">
        <is>
          <t>0                      RC 0480000F  6</t>
        </is>
      </c>
      <c r="D642" t="inlineStr">
        <is>
          <t>Systems of psychotherapy; a comparative study [by] Donald H. Ford and Hugh B. Urban.</t>
        </is>
      </c>
      <c r="F642" t="inlineStr">
        <is>
          <t>No</t>
        </is>
      </c>
      <c r="G642" t="inlineStr">
        <is>
          <t>1</t>
        </is>
      </c>
      <c r="H642" t="inlineStr">
        <is>
          <t>No</t>
        </is>
      </c>
      <c r="I642" t="inlineStr">
        <is>
          <t>No</t>
        </is>
      </c>
      <c r="J642" t="inlineStr">
        <is>
          <t>0</t>
        </is>
      </c>
      <c r="K642" t="inlineStr">
        <is>
          <t>Ford, Donald H., 1926-</t>
        </is>
      </c>
      <c r="L642" t="inlineStr">
        <is>
          <t>New York, Wiley [1965, c1963]</t>
        </is>
      </c>
      <c r="M642" t="inlineStr">
        <is>
          <t>1965</t>
        </is>
      </c>
      <c r="O642" t="inlineStr">
        <is>
          <t>eng</t>
        </is>
      </c>
      <c r="P642" t="inlineStr">
        <is>
          <t>nyu</t>
        </is>
      </c>
      <c r="R642" t="inlineStr">
        <is>
          <t xml:space="preserve">RC </t>
        </is>
      </c>
      <c r="S642" t="n">
        <v>2</v>
      </c>
      <c r="T642" t="n">
        <v>2</v>
      </c>
      <c r="U642" t="inlineStr">
        <is>
          <t>2007-10-02</t>
        </is>
      </c>
      <c r="V642" t="inlineStr">
        <is>
          <t>2007-10-02</t>
        </is>
      </c>
      <c r="W642" t="inlineStr">
        <is>
          <t>1997-08-11</t>
        </is>
      </c>
      <c r="X642" t="inlineStr">
        <is>
          <t>1997-08-11</t>
        </is>
      </c>
      <c r="Y642" t="n">
        <v>26</v>
      </c>
      <c r="Z642" t="n">
        <v>17</v>
      </c>
      <c r="AA642" t="n">
        <v>740</v>
      </c>
      <c r="AB642" t="n">
        <v>1</v>
      </c>
      <c r="AC642" t="n">
        <v>7</v>
      </c>
      <c r="AD642" t="n">
        <v>0</v>
      </c>
      <c r="AE642" t="n">
        <v>31</v>
      </c>
      <c r="AF642" t="n">
        <v>0</v>
      </c>
      <c r="AG642" t="n">
        <v>7</v>
      </c>
      <c r="AH642" t="n">
        <v>0</v>
      </c>
      <c r="AI642" t="n">
        <v>7</v>
      </c>
      <c r="AJ642" t="n">
        <v>0</v>
      </c>
      <c r="AK642" t="n">
        <v>18</v>
      </c>
      <c r="AL642" t="n">
        <v>0</v>
      </c>
      <c r="AM642" t="n">
        <v>5</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HYPERLINK("https://creighton-primo.hosted.exlibrisgroup.com/primo-explore/search?tab=default_tab&amp;search_scope=EVERYTHING&amp;vid=01CRU&amp;lang=en_US&amp;offset=0&amp;query=any,contains,991004977809702656","Catalog Record")</f>
        <v/>
      </c>
      <c r="AT642">
        <f>HYPERLINK("http://www.worldcat.org/oclc/6412469","WorldCat Record")</f>
        <v/>
      </c>
      <c r="AU642" t="inlineStr">
        <is>
          <t>1799594:eng</t>
        </is>
      </c>
      <c r="AV642" t="inlineStr">
        <is>
          <t>6412469</t>
        </is>
      </c>
      <c r="AW642" t="inlineStr">
        <is>
          <t>991004977809702656</t>
        </is>
      </c>
      <c r="AX642" t="inlineStr">
        <is>
          <t>991004977809702656</t>
        </is>
      </c>
      <c r="AY642" t="inlineStr">
        <is>
          <t>2271143560002656</t>
        </is>
      </c>
      <c r="AZ642" t="inlineStr">
        <is>
          <t>BOOK</t>
        </is>
      </c>
      <c r="BC642" t="inlineStr">
        <is>
          <t>32285003091039</t>
        </is>
      </c>
      <c r="BD642" t="inlineStr">
        <is>
          <t>893230063</t>
        </is>
      </c>
    </row>
    <row r="643">
      <c r="A643" t="inlineStr">
        <is>
          <t>No</t>
        </is>
      </c>
      <c r="B643" t="inlineStr">
        <is>
          <t>RC480 .G53 1984</t>
        </is>
      </c>
      <c r="C643" t="inlineStr">
        <is>
          <t>0                      RC 0480000G  53          1984</t>
        </is>
      </c>
      <c r="D643" t="inlineStr">
        <is>
          <t>Theories and strategies in counseling and psychotherapy / Burl E. Gilliland ... [et al.].</t>
        </is>
      </c>
      <c r="F643" t="inlineStr">
        <is>
          <t>No</t>
        </is>
      </c>
      <c r="G643" t="inlineStr">
        <is>
          <t>1</t>
        </is>
      </c>
      <c r="H643" t="inlineStr">
        <is>
          <t>No</t>
        </is>
      </c>
      <c r="I643" t="inlineStr">
        <is>
          <t>No</t>
        </is>
      </c>
      <c r="J643" t="inlineStr">
        <is>
          <t>0</t>
        </is>
      </c>
      <c r="L643" t="inlineStr">
        <is>
          <t>Englewood Cliffs, N.J. : Prentice-Hall, c1984.</t>
        </is>
      </c>
      <c r="M643" t="inlineStr">
        <is>
          <t>1984</t>
        </is>
      </c>
      <c r="O643" t="inlineStr">
        <is>
          <t>eng</t>
        </is>
      </c>
      <c r="P643" t="inlineStr">
        <is>
          <t>nju</t>
        </is>
      </c>
      <c r="R643" t="inlineStr">
        <is>
          <t xml:space="preserve">RC </t>
        </is>
      </c>
      <c r="S643" t="n">
        <v>19</v>
      </c>
      <c r="T643" t="n">
        <v>19</v>
      </c>
      <c r="U643" t="inlineStr">
        <is>
          <t>2007-01-09</t>
        </is>
      </c>
      <c r="V643" t="inlineStr">
        <is>
          <t>2007-01-09</t>
        </is>
      </c>
      <c r="W643" t="inlineStr">
        <is>
          <t>1992-08-05</t>
        </is>
      </c>
      <c r="X643" t="inlineStr">
        <is>
          <t>1992-08-05</t>
        </is>
      </c>
      <c r="Y643" t="n">
        <v>212</v>
      </c>
      <c r="Z643" t="n">
        <v>149</v>
      </c>
      <c r="AA643" t="n">
        <v>466</v>
      </c>
      <c r="AB643" t="n">
        <v>1</v>
      </c>
      <c r="AC643" t="n">
        <v>3</v>
      </c>
      <c r="AD643" t="n">
        <v>7</v>
      </c>
      <c r="AE643" t="n">
        <v>18</v>
      </c>
      <c r="AF643" t="n">
        <v>4</v>
      </c>
      <c r="AG643" t="n">
        <v>9</v>
      </c>
      <c r="AH643" t="n">
        <v>1</v>
      </c>
      <c r="AI643" t="n">
        <v>3</v>
      </c>
      <c r="AJ643" t="n">
        <v>5</v>
      </c>
      <c r="AK643" t="n">
        <v>10</v>
      </c>
      <c r="AL643" t="n">
        <v>0</v>
      </c>
      <c r="AM643" t="n">
        <v>2</v>
      </c>
      <c r="AN643" t="n">
        <v>0</v>
      </c>
      <c r="AO643" t="n">
        <v>0</v>
      </c>
      <c r="AP643" t="inlineStr">
        <is>
          <t>No</t>
        </is>
      </c>
      <c r="AQ643" t="inlineStr">
        <is>
          <t>Yes</t>
        </is>
      </c>
      <c r="AR643">
        <f>HYPERLINK("http://catalog.hathitrust.org/Record/000166122","HathiTrust Record")</f>
        <v/>
      </c>
      <c r="AS643">
        <f>HYPERLINK("https://creighton-primo.hosted.exlibrisgroup.com/primo-explore/search?tab=default_tab&amp;search_scope=EVERYTHING&amp;vid=01CRU&amp;lang=en_US&amp;offset=0&amp;query=any,contains,991000269619702656","Catalog Record")</f>
        <v/>
      </c>
      <c r="AT643">
        <f>HYPERLINK("http://www.worldcat.org/oclc/9853250","WorldCat Record")</f>
        <v/>
      </c>
      <c r="AU643" t="inlineStr">
        <is>
          <t>600779:eng</t>
        </is>
      </c>
      <c r="AV643" t="inlineStr">
        <is>
          <t>9853250</t>
        </is>
      </c>
      <c r="AW643" t="inlineStr">
        <is>
          <t>991000269619702656</t>
        </is>
      </c>
      <c r="AX643" t="inlineStr">
        <is>
          <t>991000269619702656</t>
        </is>
      </c>
      <c r="AY643" t="inlineStr">
        <is>
          <t>2264079940002656</t>
        </is>
      </c>
      <c r="AZ643" t="inlineStr">
        <is>
          <t>BOOK</t>
        </is>
      </c>
      <c r="BB643" t="inlineStr">
        <is>
          <t>9780139135743</t>
        </is>
      </c>
      <c r="BC643" t="inlineStr">
        <is>
          <t>32285001242477</t>
        </is>
      </c>
      <c r="BD643" t="inlineStr">
        <is>
          <t>893790383</t>
        </is>
      </c>
    </row>
    <row r="644">
      <c r="A644" t="inlineStr">
        <is>
          <t>No</t>
        </is>
      </c>
      <c r="B644" t="inlineStr">
        <is>
          <t>RC480 .G783</t>
        </is>
      </c>
      <c r="C644" t="inlineStr">
        <is>
          <t>0                      RC 0480000G  783</t>
        </is>
      </c>
      <c r="D644" t="inlineStr">
        <is>
          <t>A guide for beginning psychotherapists / Joan S. Zaro ... [et al.].</t>
        </is>
      </c>
      <c r="F644" t="inlineStr">
        <is>
          <t>No</t>
        </is>
      </c>
      <c r="G644" t="inlineStr">
        <is>
          <t>1</t>
        </is>
      </c>
      <c r="H644" t="inlineStr">
        <is>
          <t>No</t>
        </is>
      </c>
      <c r="I644" t="inlineStr">
        <is>
          <t>No</t>
        </is>
      </c>
      <c r="J644" t="inlineStr">
        <is>
          <t>0</t>
        </is>
      </c>
      <c r="L644" t="inlineStr">
        <is>
          <t>Cambridge ; New York : Cambridge University Press, 1977.</t>
        </is>
      </c>
      <c r="M644" t="inlineStr">
        <is>
          <t>1977</t>
        </is>
      </c>
      <c r="O644" t="inlineStr">
        <is>
          <t>eng</t>
        </is>
      </c>
      <c r="P644" t="inlineStr">
        <is>
          <t>enk</t>
        </is>
      </c>
      <c r="R644" t="inlineStr">
        <is>
          <t xml:space="preserve">RC </t>
        </is>
      </c>
      <c r="S644" t="n">
        <v>4</v>
      </c>
      <c r="T644" t="n">
        <v>4</v>
      </c>
      <c r="U644" t="inlineStr">
        <is>
          <t>1994-11-16</t>
        </is>
      </c>
      <c r="V644" t="inlineStr">
        <is>
          <t>1994-11-16</t>
        </is>
      </c>
      <c r="W644" t="inlineStr">
        <is>
          <t>1993-07-21</t>
        </is>
      </c>
      <c r="X644" t="inlineStr">
        <is>
          <t>1993-07-21</t>
        </is>
      </c>
      <c r="Y644" t="n">
        <v>402</v>
      </c>
      <c r="Z644" t="n">
        <v>321</v>
      </c>
      <c r="AA644" t="n">
        <v>331</v>
      </c>
      <c r="AB644" t="n">
        <v>3</v>
      </c>
      <c r="AC644" t="n">
        <v>3</v>
      </c>
      <c r="AD644" t="n">
        <v>11</v>
      </c>
      <c r="AE644" t="n">
        <v>11</v>
      </c>
      <c r="AF644" t="n">
        <v>4</v>
      </c>
      <c r="AG644" t="n">
        <v>4</v>
      </c>
      <c r="AH644" t="n">
        <v>3</v>
      </c>
      <c r="AI644" t="n">
        <v>3</v>
      </c>
      <c r="AJ644" t="n">
        <v>7</v>
      </c>
      <c r="AK644" t="n">
        <v>7</v>
      </c>
      <c r="AL644" t="n">
        <v>2</v>
      </c>
      <c r="AM644" t="n">
        <v>2</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HYPERLINK("https://creighton-primo.hosted.exlibrisgroup.com/primo-explore/search?tab=default_tab&amp;search_scope=EVERYTHING&amp;vid=01CRU&amp;lang=en_US&amp;offset=0&amp;query=any,contains,991004340839702656","Catalog Record")</f>
        <v/>
      </c>
      <c r="AT644">
        <f>HYPERLINK("http://www.worldcat.org/oclc/3089139","WorldCat Record")</f>
        <v/>
      </c>
      <c r="AU644" t="inlineStr">
        <is>
          <t>54172144:eng</t>
        </is>
      </c>
      <c r="AV644" t="inlineStr">
        <is>
          <t>3089139</t>
        </is>
      </c>
      <c r="AW644" t="inlineStr">
        <is>
          <t>991004340839702656</t>
        </is>
      </c>
      <c r="AX644" t="inlineStr">
        <is>
          <t>991004340839702656</t>
        </is>
      </c>
      <c r="AY644" t="inlineStr">
        <is>
          <t>2262854240002656</t>
        </is>
      </c>
      <c r="AZ644" t="inlineStr">
        <is>
          <t>BOOK</t>
        </is>
      </c>
      <c r="BB644" t="inlineStr">
        <is>
          <t>9780521216876</t>
        </is>
      </c>
      <c r="BC644" t="inlineStr">
        <is>
          <t>32285001723948</t>
        </is>
      </c>
      <c r="BD644" t="inlineStr">
        <is>
          <t>893337601</t>
        </is>
      </c>
    </row>
    <row r="645">
      <c r="A645" t="inlineStr">
        <is>
          <t>No</t>
        </is>
      </c>
      <c r="B645" t="inlineStr">
        <is>
          <t>RC480 .H26 1984</t>
        </is>
      </c>
      <c r="C645" t="inlineStr">
        <is>
          <t>0                      RC 0480000H  26          1984</t>
        </is>
      </c>
      <c r="D645" t="inlineStr">
        <is>
          <t>Ordeal therapy / Jay Haley.</t>
        </is>
      </c>
      <c r="F645" t="inlineStr">
        <is>
          <t>No</t>
        </is>
      </c>
      <c r="G645" t="inlineStr">
        <is>
          <t>1</t>
        </is>
      </c>
      <c r="H645" t="inlineStr">
        <is>
          <t>No</t>
        </is>
      </c>
      <c r="I645" t="inlineStr">
        <is>
          <t>No</t>
        </is>
      </c>
      <c r="J645" t="inlineStr">
        <is>
          <t>0</t>
        </is>
      </c>
      <c r="K645" t="inlineStr">
        <is>
          <t>Haley, Jay, 1923-2007.</t>
        </is>
      </c>
      <c r="L645" t="inlineStr">
        <is>
          <t>San Francisco : Jossey-Bass, 1984.</t>
        </is>
      </c>
      <c r="M645" t="inlineStr">
        <is>
          <t>1984</t>
        </is>
      </c>
      <c r="N645" t="inlineStr">
        <is>
          <t>1st ed.</t>
        </is>
      </c>
      <c r="O645" t="inlineStr">
        <is>
          <t>eng</t>
        </is>
      </c>
      <c r="P645" t="inlineStr">
        <is>
          <t>cau</t>
        </is>
      </c>
      <c r="Q645" t="inlineStr">
        <is>
          <t>The Jossey-Bass social and behavioral science series</t>
        </is>
      </c>
      <c r="R645" t="inlineStr">
        <is>
          <t xml:space="preserve">RC </t>
        </is>
      </c>
      <c r="S645" t="n">
        <v>3</v>
      </c>
      <c r="T645" t="n">
        <v>3</v>
      </c>
      <c r="U645" t="inlineStr">
        <is>
          <t>1994-11-29</t>
        </is>
      </c>
      <c r="V645" t="inlineStr">
        <is>
          <t>1994-11-29</t>
        </is>
      </c>
      <c r="W645" t="inlineStr">
        <is>
          <t>1993-03-23</t>
        </is>
      </c>
      <c r="X645" t="inlineStr">
        <is>
          <t>1993-03-23</t>
        </is>
      </c>
      <c r="Y645" t="n">
        <v>637</v>
      </c>
      <c r="Z645" t="n">
        <v>556</v>
      </c>
      <c r="AA645" t="n">
        <v>566</v>
      </c>
      <c r="AB645" t="n">
        <v>3</v>
      </c>
      <c r="AC645" t="n">
        <v>3</v>
      </c>
      <c r="AD645" t="n">
        <v>29</v>
      </c>
      <c r="AE645" t="n">
        <v>29</v>
      </c>
      <c r="AF645" t="n">
        <v>14</v>
      </c>
      <c r="AG645" t="n">
        <v>14</v>
      </c>
      <c r="AH645" t="n">
        <v>5</v>
      </c>
      <c r="AI645" t="n">
        <v>5</v>
      </c>
      <c r="AJ645" t="n">
        <v>16</v>
      </c>
      <c r="AK645" t="n">
        <v>16</v>
      </c>
      <c r="AL645" t="n">
        <v>2</v>
      </c>
      <c r="AM645" t="n">
        <v>2</v>
      </c>
      <c r="AN645" t="n">
        <v>0</v>
      </c>
      <c r="AO645" t="n">
        <v>0</v>
      </c>
      <c r="AP645" t="inlineStr">
        <is>
          <t>No</t>
        </is>
      </c>
      <c r="AQ645" t="inlineStr">
        <is>
          <t>Yes</t>
        </is>
      </c>
      <c r="AR645">
        <f>HYPERLINK("http://catalog.hathitrust.org/Record/000782359","HathiTrust Record")</f>
        <v/>
      </c>
      <c r="AS645">
        <f>HYPERLINK("https://creighton-primo.hosted.exlibrisgroup.com/primo-explore/search?tab=default_tab&amp;search_scope=EVERYTHING&amp;vid=01CRU&amp;lang=en_US&amp;offset=0&amp;query=any,contains,991000358729702656","Catalog Record")</f>
        <v/>
      </c>
      <c r="AT645">
        <f>HYPERLINK("http://www.worldcat.org/oclc/10349008","WorldCat Record")</f>
        <v/>
      </c>
      <c r="AU645" t="inlineStr">
        <is>
          <t>349914145:eng</t>
        </is>
      </c>
      <c r="AV645" t="inlineStr">
        <is>
          <t>10349008</t>
        </is>
      </c>
      <c r="AW645" t="inlineStr">
        <is>
          <t>991000358729702656</t>
        </is>
      </c>
      <c r="AX645" t="inlineStr">
        <is>
          <t>991000358729702656</t>
        </is>
      </c>
      <c r="AY645" t="inlineStr">
        <is>
          <t>2264168500002656</t>
        </is>
      </c>
      <c r="AZ645" t="inlineStr">
        <is>
          <t>BOOK</t>
        </is>
      </c>
      <c r="BB645" t="inlineStr">
        <is>
          <t>9780875895956</t>
        </is>
      </c>
      <c r="BC645" t="inlineStr">
        <is>
          <t>32285001606267</t>
        </is>
      </c>
      <c r="BD645" t="inlineStr">
        <is>
          <t>893702036</t>
        </is>
      </c>
    </row>
    <row r="646">
      <c r="A646" t="inlineStr">
        <is>
          <t>No</t>
        </is>
      </c>
      <c r="B646" t="inlineStr">
        <is>
          <t>RC480 .H42</t>
        </is>
      </c>
      <c r="C646" t="inlineStr">
        <is>
          <t>0                      RC 0480000H  42</t>
        </is>
      </c>
      <c r="D646" t="inlineStr">
        <is>
          <t>Psychotherapy / [by] Ralph W. Heine.</t>
        </is>
      </c>
      <c r="F646" t="inlineStr">
        <is>
          <t>No</t>
        </is>
      </c>
      <c r="G646" t="inlineStr">
        <is>
          <t>1</t>
        </is>
      </c>
      <c r="H646" t="inlineStr">
        <is>
          <t>No</t>
        </is>
      </c>
      <c r="I646" t="inlineStr">
        <is>
          <t>No</t>
        </is>
      </c>
      <c r="J646" t="inlineStr">
        <is>
          <t>0</t>
        </is>
      </c>
      <c r="K646" t="inlineStr">
        <is>
          <t>Heine, Ralph W.</t>
        </is>
      </c>
      <c r="L646" t="inlineStr">
        <is>
          <t>Englewood Cliffs, N.J. : Prentice-Hall, [1971]</t>
        </is>
      </c>
      <c r="M646" t="inlineStr">
        <is>
          <t>1971</t>
        </is>
      </c>
      <c r="O646" t="inlineStr">
        <is>
          <t>eng</t>
        </is>
      </c>
      <c r="P646" t="inlineStr">
        <is>
          <t>nju</t>
        </is>
      </c>
      <c r="Q646" t="inlineStr">
        <is>
          <t>Lives in disorder series</t>
        </is>
      </c>
      <c r="R646" t="inlineStr">
        <is>
          <t xml:space="preserve">RC </t>
        </is>
      </c>
      <c r="S646" t="n">
        <v>3</v>
      </c>
      <c r="T646" t="n">
        <v>3</v>
      </c>
      <c r="U646" t="inlineStr">
        <is>
          <t>1996-11-10</t>
        </is>
      </c>
      <c r="V646" t="inlineStr">
        <is>
          <t>1996-11-10</t>
        </is>
      </c>
      <c r="W646" t="inlineStr">
        <is>
          <t>1992-11-02</t>
        </is>
      </c>
      <c r="X646" t="inlineStr">
        <is>
          <t>1992-11-02</t>
        </is>
      </c>
      <c r="Y646" t="n">
        <v>418</v>
      </c>
      <c r="Z646" t="n">
        <v>340</v>
      </c>
      <c r="AA646" t="n">
        <v>341</v>
      </c>
      <c r="AB646" t="n">
        <v>3</v>
      </c>
      <c r="AC646" t="n">
        <v>3</v>
      </c>
      <c r="AD646" t="n">
        <v>15</v>
      </c>
      <c r="AE646" t="n">
        <v>15</v>
      </c>
      <c r="AF646" t="n">
        <v>6</v>
      </c>
      <c r="AG646" t="n">
        <v>6</v>
      </c>
      <c r="AH646" t="n">
        <v>2</v>
      </c>
      <c r="AI646" t="n">
        <v>2</v>
      </c>
      <c r="AJ646" t="n">
        <v>6</v>
      </c>
      <c r="AK646" t="n">
        <v>6</v>
      </c>
      <c r="AL646" t="n">
        <v>2</v>
      </c>
      <c r="AM646" t="n">
        <v>2</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HYPERLINK("https://creighton-primo.hosted.exlibrisgroup.com/primo-explore/search?tab=default_tab&amp;search_scope=EVERYTHING&amp;vid=01CRU&amp;lang=en_US&amp;offset=0&amp;query=any,contains,991000647049702656","Catalog Record")</f>
        <v/>
      </c>
      <c r="AT646">
        <f>HYPERLINK("http://www.worldcat.org/oclc/111225","WorldCat Record")</f>
        <v/>
      </c>
      <c r="AU646" t="inlineStr">
        <is>
          <t>1224854:eng</t>
        </is>
      </c>
      <c r="AV646" t="inlineStr">
        <is>
          <t>111225</t>
        </is>
      </c>
      <c r="AW646" t="inlineStr">
        <is>
          <t>991000647049702656</t>
        </is>
      </c>
      <c r="AX646" t="inlineStr">
        <is>
          <t>991000647049702656</t>
        </is>
      </c>
      <c r="AY646" t="inlineStr">
        <is>
          <t>2268788970002656</t>
        </is>
      </c>
      <c r="AZ646" t="inlineStr">
        <is>
          <t>BOOK</t>
        </is>
      </c>
      <c r="BB646" t="inlineStr">
        <is>
          <t>9780137368013</t>
        </is>
      </c>
      <c r="BC646" t="inlineStr">
        <is>
          <t>32285001379352</t>
        </is>
      </c>
      <c r="BD646" t="inlineStr">
        <is>
          <t>893620664</t>
        </is>
      </c>
    </row>
    <row r="647">
      <c r="A647" t="inlineStr">
        <is>
          <t>No</t>
        </is>
      </c>
      <c r="B647" t="inlineStr">
        <is>
          <t>RC480 .H83</t>
        </is>
      </c>
      <c r="C647" t="inlineStr">
        <is>
          <t>0                      RC 0480000H  83</t>
        </is>
      </c>
      <c r="D647" t="inlineStr">
        <is>
          <t>Goals and behavior in psychotherapy and counseling : readings and questions / edited by Jack T. Huber [and] Howard L. Millman.</t>
        </is>
      </c>
      <c r="F647" t="inlineStr">
        <is>
          <t>No</t>
        </is>
      </c>
      <c r="G647" t="inlineStr">
        <is>
          <t>1</t>
        </is>
      </c>
      <c r="H647" t="inlineStr">
        <is>
          <t>No</t>
        </is>
      </c>
      <c r="I647" t="inlineStr">
        <is>
          <t>No</t>
        </is>
      </c>
      <c r="J647" t="inlineStr">
        <is>
          <t>0</t>
        </is>
      </c>
      <c r="K647" t="inlineStr">
        <is>
          <t>Huber, Jack T. compiler.</t>
        </is>
      </c>
      <c r="L647" t="inlineStr">
        <is>
          <t>Columbus, Ohio : C.E. Merrill Pub. Co., [1972]</t>
        </is>
      </c>
      <c r="M647" t="inlineStr">
        <is>
          <t>1972</t>
        </is>
      </c>
      <c r="O647" t="inlineStr">
        <is>
          <t>eng</t>
        </is>
      </c>
      <c r="P647" t="inlineStr">
        <is>
          <t>ohu</t>
        </is>
      </c>
      <c r="Q647" t="inlineStr">
        <is>
          <t>Studies of the person</t>
        </is>
      </c>
      <c r="R647" t="inlineStr">
        <is>
          <t xml:space="preserve">RC </t>
        </is>
      </c>
      <c r="S647" t="n">
        <v>2</v>
      </c>
      <c r="T647" t="n">
        <v>2</v>
      </c>
      <c r="U647" t="inlineStr">
        <is>
          <t>2007-01-09</t>
        </is>
      </c>
      <c r="V647" t="inlineStr">
        <is>
          <t>2007-01-09</t>
        </is>
      </c>
      <c r="W647" t="inlineStr">
        <is>
          <t>1994-12-12</t>
        </is>
      </c>
      <c r="X647" t="inlineStr">
        <is>
          <t>1994-12-12</t>
        </is>
      </c>
      <c r="Y647" t="n">
        <v>185</v>
      </c>
      <c r="Z647" t="n">
        <v>147</v>
      </c>
      <c r="AA647" t="n">
        <v>148</v>
      </c>
      <c r="AB647" t="n">
        <v>3</v>
      </c>
      <c r="AC647" t="n">
        <v>3</v>
      </c>
      <c r="AD647" t="n">
        <v>7</v>
      </c>
      <c r="AE647" t="n">
        <v>7</v>
      </c>
      <c r="AF647" t="n">
        <v>2</v>
      </c>
      <c r="AG647" t="n">
        <v>2</v>
      </c>
      <c r="AH647" t="n">
        <v>2</v>
      </c>
      <c r="AI647" t="n">
        <v>2</v>
      </c>
      <c r="AJ647" t="n">
        <v>3</v>
      </c>
      <c r="AK647" t="n">
        <v>3</v>
      </c>
      <c r="AL647" t="n">
        <v>1</v>
      </c>
      <c r="AM647" t="n">
        <v>1</v>
      </c>
      <c r="AN647" t="n">
        <v>0</v>
      </c>
      <c r="AO647" t="n">
        <v>0</v>
      </c>
      <c r="AP647" t="inlineStr">
        <is>
          <t>No</t>
        </is>
      </c>
      <c r="AQ647" t="inlineStr">
        <is>
          <t>No</t>
        </is>
      </c>
      <c r="AS647">
        <f>HYPERLINK("https://creighton-primo.hosted.exlibrisgroup.com/primo-explore/search?tab=default_tab&amp;search_scope=EVERYTHING&amp;vid=01CRU&amp;lang=en_US&amp;offset=0&amp;query=any,contains,991002413839702656","Catalog Record")</f>
        <v/>
      </c>
      <c r="AT647">
        <f>HYPERLINK("http://www.worldcat.org/oclc/340922","WorldCat Record")</f>
        <v/>
      </c>
      <c r="AU647" t="inlineStr">
        <is>
          <t>821338037:eng</t>
        </is>
      </c>
      <c r="AV647" t="inlineStr">
        <is>
          <t>340922</t>
        </is>
      </c>
      <c r="AW647" t="inlineStr">
        <is>
          <t>991002413839702656</t>
        </is>
      </c>
      <c r="AX647" t="inlineStr">
        <is>
          <t>991002413839702656</t>
        </is>
      </c>
      <c r="AY647" t="inlineStr">
        <is>
          <t>2262978720002656</t>
        </is>
      </c>
      <c r="AZ647" t="inlineStr">
        <is>
          <t>BOOK</t>
        </is>
      </c>
      <c r="BB647" t="inlineStr">
        <is>
          <t>9780675090926</t>
        </is>
      </c>
      <c r="BC647" t="inlineStr">
        <is>
          <t>32285001981314</t>
        </is>
      </c>
      <c r="BD647" t="inlineStr">
        <is>
          <t>893773599</t>
        </is>
      </c>
    </row>
    <row r="648">
      <c r="A648" t="inlineStr">
        <is>
          <t>No</t>
        </is>
      </c>
      <c r="B648" t="inlineStr">
        <is>
          <t>RC480 .I59</t>
        </is>
      </c>
      <c r="C648" t="inlineStr">
        <is>
          <t>0                      RC 0480000I  59</t>
        </is>
      </c>
      <c r="D648" t="inlineStr">
        <is>
          <t>An introduction to the psychotherapies / edited by Sidney Bloch.</t>
        </is>
      </c>
      <c r="F648" t="inlineStr">
        <is>
          <t>No</t>
        </is>
      </c>
      <c r="G648" t="inlineStr">
        <is>
          <t>1</t>
        </is>
      </c>
      <c r="H648" t="inlineStr">
        <is>
          <t>No</t>
        </is>
      </c>
      <c r="I648" t="inlineStr">
        <is>
          <t>Yes</t>
        </is>
      </c>
      <c r="J648" t="inlineStr">
        <is>
          <t>0</t>
        </is>
      </c>
      <c r="L648" t="inlineStr">
        <is>
          <t>Oxford ; New York : Oxford University Press, 1979.</t>
        </is>
      </c>
      <c r="M648" t="inlineStr">
        <is>
          <t>1979</t>
        </is>
      </c>
      <c r="O648" t="inlineStr">
        <is>
          <t>eng</t>
        </is>
      </c>
      <c r="P648" t="inlineStr">
        <is>
          <t>enk</t>
        </is>
      </c>
      <c r="Q648" t="inlineStr">
        <is>
          <t>Oxford medical publications</t>
        </is>
      </c>
      <c r="R648" t="inlineStr">
        <is>
          <t xml:space="preserve">RC </t>
        </is>
      </c>
      <c r="S648" t="n">
        <v>5</v>
      </c>
      <c r="T648" t="n">
        <v>5</v>
      </c>
      <c r="U648" t="inlineStr">
        <is>
          <t>1997-03-27</t>
        </is>
      </c>
      <c r="V648" t="inlineStr">
        <is>
          <t>1997-03-27</t>
        </is>
      </c>
      <c r="W648" t="inlineStr">
        <is>
          <t>1993-03-23</t>
        </is>
      </c>
      <c r="X648" t="inlineStr">
        <is>
          <t>1993-03-23</t>
        </is>
      </c>
      <c r="Y648" t="n">
        <v>355</v>
      </c>
      <c r="Z648" t="n">
        <v>255</v>
      </c>
      <c r="AA648" t="n">
        <v>474</v>
      </c>
      <c r="AB648" t="n">
        <v>5</v>
      </c>
      <c r="AC648" t="n">
        <v>6</v>
      </c>
      <c r="AD648" t="n">
        <v>11</v>
      </c>
      <c r="AE648" t="n">
        <v>19</v>
      </c>
      <c r="AF648" t="n">
        <v>2</v>
      </c>
      <c r="AG648" t="n">
        <v>5</v>
      </c>
      <c r="AH648" t="n">
        <v>3</v>
      </c>
      <c r="AI648" t="n">
        <v>4</v>
      </c>
      <c r="AJ648" t="n">
        <v>3</v>
      </c>
      <c r="AK648" t="n">
        <v>10</v>
      </c>
      <c r="AL648" t="n">
        <v>4</v>
      </c>
      <c r="AM648" t="n">
        <v>4</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HYPERLINK("https://creighton-primo.hosted.exlibrisgroup.com/primo-explore/search?tab=default_tab&amp;search_scope=EVERYTHING&amp;vid=01CRU&amp;lang=en_US&amp;offset=0&amp;query=any,contains,991004753499702656","Catalog Record")</f>
        <v/>
      </c>
      <c r="AT648">
        <f>HYPERLINK("http://www.worldcat.org/oclc/4952541","WorldCat Record")</f>
        <v/>
      </c>
      <c r="AU648" t="inlineStr">
        <is>
          <t>54292563:eng</t>
        </is>
      </c>
      <c r="AV648" t="inlineStr">
        <is>
          <t>4952541</t>
        </is>
      </c>
      <c r="AW648" t="inlineStr">
        <is>
          <t>991004753499702656</t>
        </is>
      </c>
      <c r="AX648" t="inlineStr">
        <is>
          <t>991004753499702656</t>
        </is>
      </c>
      <c r="AY648" t="inlineStr">
        <is>
          <t>2258770170002656</t>
        </is>
      </c>
      <c r="AZ648" t="inlineStr">
        <is>
          <t>BOOK</t>
        </is>
      </c>
      <c r="BB648" t="inlineStr">
        <is>
          <t>9780192611871</t>
        </is>
      </c>
      <c r="BC648" t="inlineStr">
        <is>
          <t>32285001606275</t>
        </is>
      </c>
      <c r="BD648" t="inlineStr">
        <is>
          <t>893870071</t>
        </is>
      </c>
    </row>
    <row r="649">
      <c r="A649" t="inlineStr">
        <is>
          <t>No</t>
        </is>
      </c>
      <c r="B649" t="inlineStr">
        <is>
          <t>RC480 .K24 1965</t>
        </is>
      </c>
      <c r="C649" t="inlineStr">
        <is>
          <t>0                      RC 0480000K  24          1965</t>
        </is>
      </c>
      <c r="D649" t="inlineStr">
        <is>
          <t>Effective psychotherapy : the contribution of Hellmuth Kaiser / edited by Louis B. Fierman.</t>
        </is>
      </c>
      <c r="F649" t="inlineStr">
        <is>
          <t>No</t>
        </is>
      </c>
      <c r="G649" t="inlineStr">
        <is>
          <t>1</t>
        </is>
      </c>
      <c r="H649" t="inlineStr">
        <is>
          <t>No</t>
        </is>
      </c>
      <c r="I649" t="inlineStr">
        <is>
          <t>No</t>
        </is>
      </c>
      <c r="J649" t="inlineStr">
        <is>
          <t>0</t>
        </is>
      </c>
      <c r="K649" t="inlineStr">
        <is>
          <t>Kaiser, Hellmuth.</t>
        </is>
      </c>
      <c r="L649" t="inlineStr">
        <is>
          <t>New York : Free Press, [1965]</t>
        </is>
      </c>
      <c r="M649" t="inlineStr">
        <is>
          <t>1965</t>
        </is>
      </c>
      <c r="O649" t="inlineStr">
        <is>
          <t>eng</t>
        </is>
      </c>
      <c r="P649" t="inlineStr">
        <is>
          <t>nyu</t>
        </is>
      </c>
      <c r="R649" t="inlineStr">
        <is>
          <t xml:space="preserve">RC </t>
        </is>
      </c>
      <c r="S649" t="n">
        <v>4</v>
      </c>
      <c r="T649" t="n">
        <v>4</v>
      </c>
      <c r="U649" t="inlineStr">
        <is>
          <t>1997-03-15</t>
        </is>
      </c>
      <c r="V649" t="inlineStr">
        <is>
          <t>1997-03-15</t>
        </is>
      </c>
      <c r="W649" t="inlineStr">
        <is>
          <t>1993-02-10</t>
        </is>
      </c>
      <c r="X649" t="inlineStr">
        <is>
          <t>1993-02-10</t>
        </is>
      </c>
      <c r="Y649" t="n">
        <v>449</v>
      </c>
      <c r="Z649" t="n">
        <v>394</v>
      </c>
      <c r="AA649" t="n">
        <v>407</v>
      </c>
      <c r="AB649" t="n">
        <v>3</v>
      </c>
      <c r="AC649" t="n">
        <v>3</v>
      </c>
      <c r="AD649" t="n">
        <v>15</v>
      </c>
      <c r="AE649" t="n">
        <v>15</v>
      </c>
      <c r="AF649" t="n">
        <v>5</v>
      </c>
      <c r="AG649" t="n">
        <v>5</v>
      </c>
      <c r="AH649" t="n">
        <v>4</v>
      </c>
      <c r="AI649" t="n">
        <v>4</v>
      </c>
      <c r="AJ649" t="n">
        <v>10</v>
      </c>
      <c r="AK649" t="n">
        <v>10</v>
      </c>
      <c r="AL649" t="n">
        <v>1</v>
      </c>
      <c r="AM649" t="n">
        <v>1</v>
      </c>
      <c r="AN649" t="n">
        <v>0</v>
      </c>
      <c r="AO649" t="n">
        <v>0</v>
      </c>
      <c r="AP649" t="inlineStr">
        <is>
          <t>No</t>
        </is>
      </c>
      <c r="AQ649" t="inlineStr">
        <is>
          <t>Yes</t>
        </is>
      </c>
      <c r="AR649">
        <f>HYPERLINK("http://catalog.hathitrust.org/Record/001564435","HathiTrust Record")</f>
        <v/>
      </c>
      <c r="AS649">
        <f>HYPERLINK("https://creighton-primo.hosted.exlibrisgroup.com/primo-explore/search?tab=default_tab&amp;search_scope=EVERYTHING&amp;vid=01CRU&amp;lang=en_US&amp;offset=0&amp;query=any,contains,991005318129702656","Catalog Record")</f>
        <v/>
      </c>
      <c r="AT649">
        <f>HYPERLINK("http://www.worldcat.org/oclc/992840","WorldCat Record")</f>
        <v/>
      </c>
      <c r="AU649" t="inlineStr">
        <is>
          <t>3860194105:eng</t>
        </is>
      </c>
      <c r="AV649" t="inlineStr">
        <is>
          <t>992840</t>
        </is>
      </c>
      <c r="AW649" t="inlineStr">
        <is>
          <t>991005318129702656</t>
        </is>
      </c>
      <c r="AX649" t="inlineStr">
        <is>
          <t>991005318129702656</t>
        </is>
      </c>
      <c r="AY649" t="inlineStr">
        <is>
          <t>2254725830002656</t>
        </is>
      </c>
      <c r="AZ649" t="inlineStr">
        <is>
          <t>BOOK</t>
        </is>
      </c>
      <c r="BC649" t="inlineStr">
        <is>
          <t>32285001509156</t>
        </is>
      </c>
      <c r="BD649" t="inlineStr">
        <is>
          <t>893431224</t>
        </is>
      </c>
    </row>
    <row r="650">
      <c r="A650" t="inlineStr">
        <is>
          <t>No</t>
        </is>
      </c>
      <c r="B650" t="inlineStr">
        <is>
          <t>RC480 .L39</t>
        </is>
      </c>
      <c r="C650" t="inlineStr">
        <is>
          <t>0                      RC 0480000L  39</t>
        </is>
      </c>
      <c r="D650" t="inlineStr">
        <is>
          <t>The practice of multimodal therapy : systematic, comprehensive, and effective psychotherapy / Arnold A. Lazarus.</t>
        </is>
      </c>
      <c r="F650" t="inlineStr">
        <is>
          <t>No</t>
        </is>
      </c>
      <c r="G650" t="inlineStr">
        <is>
          <t>1</t>
        </is>
      </c>
      <c r="H650" t="inlineStr">
        <is>
          <t>No</t>
        </is>
      </c>
      <c r="I650" t="inlineStr">
        <is>
          <t>No</t>
        </is>
      </c>
      <c r="J650" t="inlineStr">
        <is>
          <t>0</t>
        </is>
      </c>
      <c r="K650" t="inlineStr">
        <is>
          <t>Lazarus, Arnold A.</t>
        </is>
      </c>
      <c r="L650" t="inlineStr">
        <is>
          <t>New York : McGraw-Hill, c1981.</t>
        </is>
      </c>
      <c r="M650" t="inlineStr">
        <is>
          <t>1981</t>
        </is>
      </c>
      <c r="O650" t="inlineStr">
        <is>
          <t>eng</t>
        </is>
      </c>
      <c r="P650" t="inlineStr">
        <is>
          <t>nyu</t>
        </is>
      </c>
      <c r="R650" t="inlineStr">
        <is>
          <t xml:space="preserve">RC </t>
        </is>
      </c>
      <c r="S650" t="n">
        <v>4</v>
      </c>
      <c r="T650" t="n">
        <v>4</v>
      </c>
      <c r="U650" t="inlineStr">
        <is>
          <t>2010-08-10</t>
        </is>
      </c>
      <c r="V650" t="inlineStr">
        <is>
          <t>2010-08-10</t>
        </is>
      </c>
      <c r="W650" t="inlineStr">
        <is>
          <t>1990-07-13</t>
        </is>
      </c>
      <c r="X650" t="inlineStr">
        <is>
          <t>1990-07-13</t>
        </is>
      </c>
      <c r="Y650" t="n">
        <v>497</v>
      </c>
      <c r="Z650" t="n">
        <v>410</v>
      </c>
      <c r="AA650" t="n">
        <v>514</v>
      </c>
      <c r="AB650" t="n">
        <v>1</v>
      </c>
      <c r="AC650" t="n">
        <v>1</v>
      </c>
      <c r="AD650" t="n">
        <v>11</v>
      </c>
      <c r="AE650" t="n">
        <v>18</v>
      </c>
      <c r="AF650" t="n">
        <v>4</v>
      </c>
      <c r="AG650" t="n">
        <v>9</v>
      </c>
      <c r="AH650" t="n">
        <v>2</v>
      </c>
      <c r="AI650" t="n">
        <v>2</v>
      </c>
      <c r="AJ650" t="n">
        <v>7</v>
      </c>
      <c r="AK650" t="n">
        <v>12</v>
      </c>
      <c r="AL650" t="n">
        <v>0</v>
      </c>
      <c r="AM650" t="n">
        <v>0</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HYPERLINK("https://creighton-primo.hosted.exlibrisgroup.com/primo-explore/search?tab=default_tab&amp;search_scope=EVERYTHING&amp;vid=01CRU&amp;lang=en_US&amp;offset=0&amp;query=any,contains,991005090169702656","Catalog Record")</f>
        <v/>
      </c>
      <c r="AT650">
        <f>HYPERLINK("http://www.worldcat.org/oclc/7206812","WorldCat Record")</f>
        <v/>
      </c>
      <c r="AU650" t="inlineStr">
        <is>
          <t>803414982:eng</t>
        </is>
      </c>
      <c r="AV650" t="inlineStr">
        <is>
          <t>7206812</t>
        </is>
      </c>
      <c r="AW650" t="inlineStr">
        <is>
          <t>991005090169702656</t>
        </is>
      </c>
      <c r="AX650" t="inlineStr">
        <is>
          <t>991005090169702656</t>
        </is>
      </c>
      <c r="AY650" t="inlineStr">
        <is>
          <t>2266088610002656</t>
        </is>
      </c>
      <c r="AZ650" t="inlineStr">
        <is>
          <t>BOOK</t>
        </is>
      </c>
      <c r="BB650" t="inlineStr">
        <is>
          <t>9780070368132</t>
        </is>
      </c>
      <c r="BC650" t="inlineStr">
        <is>
          <t>32285000237072</t>
        </is>
      </c>
      <c r="BD650" t="inlineStr">
        <is>
          <t>893443381</t>
        </is>
      </c>
    </row>
    <row r="651">
      <c r="A651" t="inlineStr">
        <is>
          <t>No</t>
        </is>
      </c>
      <c r="B651" t="inlineStr">
        <is>
          <t>RC480 .M36</t>
        </is>
      </c>
      <c r="C651" t="inlineStr">
        <is>
          <t>0                      RC 0480000M  36</t>
        </is>
      </c>
      <c r="D651" t="inlineStr">
        <is>
          <t>Introduction to psychotherapy / [by] David G. Martin.</t>
        </is>
      </c>
      <c r="F651" t="inlineStr">
        <is>
          <t>No</t>
        </is>
      </c>
      <c r="G651" t="inlineStr">
        <is>
          <t>1</t>
        </is>
      </c>
      <c r="H651" t="inlineStr">
        <is>
          <t>No</t>
        </is>
      </c>
      <c r="I651" t="inlineStr">
        <is>
          <t>No</t>
        </is>
      </c>
      <c r="J651" t="inlineStr">
        <is>
          <t>0</t>
        </is>
      </c>
      <c r="K651" t="inlineStr">
        <is>
          <t>Martin, David G., 1939-</t>
        </is>
      </c>
      <c r="L651" t="inlineStr">
        <is>
          <t>Belmont, Calif. : Brooks/Cole Pub. Co., [1971]</t>
        </is>
      </c>
      <c r="M651" t="inlineStr">
        <is>
          <t>1971</t>
        </is>
      </c>
      <c r="O651" t="inlineStr">
        <is>
          <t>eng</t>
        </is>
      </c>
      <c r="P651" t="inlineStr">
        <is>
          <t>cau</t>
        </is>
      </c>
      <c r="R651" t="inlineStr">
        <is>
          <t xml:space="preserve">RC </t>
        </is>
      </c>
      <c r="S651" t="n">
        <v>3</v>
      </c>
      <c r="T651" t="n">
        <v>3</v>
      </c>
      <c r="U651" t="inlineStr">
        <is>
          <t>1997-03-13</t>
        </is>
      </c>
      <c r="V651" t="inlineStr">
        <is>
          <t>1997-03-13</t>
        </is>
      </c>
      <c r="W651" t="inlineStr">
        <is>
          <t>1994-12-12</t>
        </is>
      </c>
      <c r="X651" t="inlineStr">
        <is>
          <t>1994-12-12</t>
        </is>
      </c>
      <c r="Y651" t="n">
        <v>193</v>
      </c>
      <c r="Z651" t="n">
        <v>149</v>
      </c>
      <c r="AA651" t="n">
        <v>151</v>
      </c>
      <c r="AB651" t="n">
        <v>2</v>
      </c>
      <c r="AC651" t="n">
        <v>2</v>
      </c>
      <c r="AD651" t="n">
        <v>6</v>
      </c>
      <c r="AE651" t="n">
        <v>6</v>
      </c>
      <c r="AF651" t="n">
        <v>1</v>
      </c>
      <c r="AG651" t="n">
        <v>1</v>
      </c>
      <c r="AH651" t="n">
        <v>2</v>
      </c>
      <c r="AI651" t="n">
        <v>2</v>
      </c>
      <c r="AJ651" t="n">
        <v>4</v>
      </c>
      <c r="AK651" t="n">
        <v>4</v>
      </c>
      <c r="AL651" t="n">
        <v>1</v>
      </c>
      <c r="AM651" t="n">
        <v>1</v>
      </c>
      <c r="AN651" t="n">
        <v>0</v>
      </c>
      <c r="AO651" t="n">
        <v>0</v>
      </c>
      <c r="AP651" t="inlineStr">
        <is>
          <t>No</t>
        </is>
      </c>
      <c r="AQ651" t="inlineStr">
        <is>
          <t>Yes</t>
        </is>
      </c>
      <c r="AR651">
        <f>HYPERLINK("http://catalog.hathitrust.org/Record/006241166","HathiTrust Record")</f>
        <v/>
      </c>
      <c r="AS651">
        <f>HYPERLINK("https://creighton-primo.hosted.exlibrisgroup.com/primo-explore/search?tab=default_tab&amp;search_scope=EVERYTHING&amp;vid=01CRU&amp;lang=en_US&amp;offset=0&amp;query=any,contains,991000816589702656","Catalog Record")</f>
        <v/>
      </c>
      <c r="AT651">
        <f>HYPERLINK("http://www.worldcat.org/oclc/142795","WorldCat Record")</f>
        <v/>
      </c>
      <c r="AU651" t="inlineStr">
        <is>
          <t>3943285578:eng</t>
        </is>
      </c>
      <c r="AV651" t="inlineStr">
        <is>
          <t>142795</t>
        </is>
      </c>
      <c r="AW651" t="inlineStr">
        <is>
          <t>991000816589702656</t>
        </is>
      </c>
      <c r="AX651" t="inlineStr">
        <is>
          <t>991000816589702656</t>
        </is>
      </c>
      <c r="AY651" t="inlineStr">
        <is>
          <t>2255195320002656</t>
        </is>
      </c>
      <c r="AZ651" t="inlineStr">
        <is>
          <t>BOOK</t>
        </is>
      </c>
      <c r="BB651" t="inlineStr">
        <is>
          <t>9780818500107</t>
        </is>
      </c>
      <c r="BC651" t="inlineStr">
        <is>
          <t>32285001981306</t>
        </is>
      </c>
      <c r="BD651" t="inlineStr">
        <is>
          <t>893346001</t>
        </is>
      </c>
    </row>
    <row r="652">
      <c r="A652" t="inlineStr">
        <is>
          <t>No</t>
        </is>
      </c>
      <c r="B652" t="inlineStr">
        <is>
          <t>RC480 .N54</t>
        </is>
      </c>
      <c r="C652" t="inlineStr">
        <is>
          <t>0                      RC 0480000N  54</t>
        </is>
      </c>
      <c r="D652" t="inlineStr">
        <is>
          <t>Techniques for behavior change : applications of Adlerian theory / compiled and edited by Arthur G. Nikelly. Foreword by Alexandra Adler. Epilogue by Rudolf Dreikurs.</t>
        </is>
      </c>
      <c r="F652" t="inlineStr">
        <is>
          <t>No</t>
        </is>
      </c>
      <c r="G652" t="inlineStr">
        <is>
          <t>1</t>
        </is>
      </c>
      <c r="H652" t="inlineStr">
        <is>
          <t>No</t>
        </is>
      </c>
      <c r="I652" t="inlineStr">
        <is>
          <t>No</t>
        </is>
      </c>
      <c r="J652" t="inlineStr">
        <is>
          <t>0</t>
        </is>
      </c>
      <c r="K652" t="inlineStr">
        <is>
          <t>Nikelly, Arthur G., compiler.</t>
        </is>
      </c>
      <c r="L652" t="inlineStr">
        <is>
          <t>Springfield, Ill. : Thomas, [1976, c1971]</t>
        </is>
      </c>
      <c r="M652" t="inlineStr">
        <is>
          <t>1971</t>
        </is>
      </c>
      <c r="O652" t="inlineStr">
        <is>
          <t>eng</t>
        </is>
      </c>
      <c r="P652" t="inlineStr">
        <is>
          <t>ilu</t>
        </is>
      </c>
      <c r="R652" t="inlineStr">
        <is>
          <t xml:space="preserve">RC </t>
        </is>
      </c>
      <c r="S652" t="n">
        <v>6</v>
      </c>
      <c r="T652" t="n">
        <v>6</v>
      </c>
      <c r="U652" t="inlineStr">
        <is>
          <t>2006-01-13</t>
        </is>
      </c>
      <c r="V652" t="inlineStr">
        <is>
          <t>2006-01-13</t>
        </is>
      </c>
      <c r="W652" t="inlineStr">
        <is>
          <t>1991-01-11</t>
        </is>
      </c>
      <c r="X652" t="inlineStr">
        <is>
          <t>1991-01-11</t>
        </is>
      </c>
      <c r="Y652" t="n">
        <v>483</v>
      </c>
      <c r="Z652" t="n">
        <v>426</v>
      </c>
      <c r="AA652" t="n">
        <v>428</v>
      </c>
      <c r="AB652" t="n">
        <v>4</v>
      </c>
      <c r="AC652" t="n">
        <v>4</v>
      </c>
      <c r="AD652" t="n">
        <v>21</v>
      </c>
      <c r="AE652" t="n">
        <v>21</v>
      </c>
      <c r="AF652" t="n">
        <v>9</v>
      </c>
      <c r="AG652" t="n">
        <v>9</v>
      </c>
      <c r="AH652" t="n">
        <v>5</v>
      </c>
      <c r="AI652" t="n">
        <v>5</v>
      </c>
      <c r="AJ652" t="n">
        <v>11</v>
      </c>
      <c r="AK652" t="n">
        <v>11</v>
      </c>
      <c r="AL652" t="n">
        <v>3</v>
      </c>
      <c r="AM652" t="n">
        <v>3</v>
      </c>
      <c r="AN652" t="n">
        <v>0</v>
      </c>
      <c r="AO652" t="n">
        <v>0</v>
      </c>
      <c r="AP652" t="inlineStr">
        <is>
          <t>No</t>
        </is>
      </c>
      <c r="AQ652" t="inlineStr">
        <is>
          <t>Yes</t>
        </is>
      </c>
      <c r="AR652">
        <f>HYPERLINK("http://catalog.hathitrust.org/Record/001564457","HathiTrust Record")</f>
        <v/>
      </c>
      <c r="AS652">
        <f>HYPERLINK("https://creighton-primo.hosted.exlibrisgroup.com/primo-explore/search?tab=default_tab&amp;search_scope=EVERYTHING&amp;vid=01CRU&amp;lang=en_US&amp;offset=0&amp;query=any,contains,991000719819702656","Catalog Record")</f>
        <v/>
      </c>
      <c r="AT652">
        <f>HYPERLINK("http://www.worldcat.org/oclc/126429","WorldCat Record")</f>
        <v/>
      </c>
      <c r="AU652" t="inlineStr">
        <is>
          <t>376227181:eng</t>
        </is>
      </c>
      <c r="AV652" t="inlineStr">
        <is>
          <t>126429</t>
        </is>
      </c>
      <c r="AW652" t="inlineStr">
        <is>
          <t>991000719819702656</t>
        </is>
      </c>
      <c r="AX652" t="inlineStr">
        <is>
          <t>991000719819702656</t>
        </is>
      </c>
      <c r="AY652" t="inlineStr">
        <is>
          <t>2258390260002656</t>
        </is>
      </c>
      <c r="AZ652" t="inlineStr">
        <is>
          <t>BOOK</t>
        </is>
      </c>
      <c r="BC652" t="inlineStr">
        <is>
          <t>32285000427970</t>
        </is>
      </c>
      <c r="BD652" t="inlineStr">
        <is>
          <t>893243513</t>
        </is>
      </c>
    </row>
    <row r="653">
      <c r="A653" t="inlineStr">
        <is>
          <t>No</t>
        </is>
      </c>
      <c r="B653" t="inlineStr">
        <is>
          <t>RC480 .P818</t>
        </is>
      </c>
      <c r="C653" t="inlineStr">
        <is>
          <t>0                      RC 0480000P  818</t>
        </is>
      </c>
      <c r="D653" t="inlineStr">
        <is>
          <t>Psychotherapies : a comparative casebook / edited by Stephen J. Morse and Robert I. Watson, Jr.</t>
        </is>
      </c>
      <c r="F653" t="inlineStr">
        <is>
          <t>No</t>
        </is>
      </c>
      <c r="G653" t="inlineStr">
        <is>
          <t>1</t>
        </is>
      </c>
      <c r="H653" t="inlineStr">
        <is>
          <t>No</t>
        </is>
      </c>
      <c r="I653" t="inlineStr">
        <is>
          <t>No</t>
        </is>
      </c>
      <c r="J653" t="inlineStr">
        <is>
          <t>0</t>
        </is>
      </c>
      <c r="L653" t="inlineStr">
        <is>
          <t>New York : Holt, Rinehart and Winston, c1977.</t>
        </is>
      </c>
      <c r="M653" t="inlineStr">
        <is>
          <t>1977</t>
        </is>
      </c>
      <c r="O653" t="inlineStr">
        <is>
          <t>eng</t>
        </is>
      </c>
      <c r="P653" t="inlineStr">
        <is>
          <t>nyu</t>
        </is>
      </c>
      <c r="R653" t="inlineStr">
        <is>
          <t xml:space="preserve">RC </t>
        </is>
      </c>
      <c r="S653" t="n">
        <v>3</v>
      </c>
      <c r="T653" t="n">
        <v>3</v>
      </c>
      <c r="U653" t="inlineStr">
        <is>
          <t>1996-11-10</t>
        </is>
      </c>
      <c r="V653" t="inlineStr">
        <is>
          <t>1996-11-10</t>
        </is>
      </c>
      <c r="W653" t="inlineStr">
        <is>
          <t>1994-11-02</t>
        </is>
      </c>
      <c r="X653" t="inlineStr">
        <is>
          <t>1994-11-02</t>
        </is>
      </c>
      <c r="Y653" t="n">
        <v>307</v>
      </c>
      <c r="Z653" t="n">
        <v>231</v>
      </c>
      <c r="AA653" t="n">
        <v>231</v>
      </c>
      <c r="AB653" t="n">
        <v>3</v>
      </c>
      <c r="AC653" t="n">
        <v>3</v>
      </c>
      <c r="AD653" t="n">
        <v>12</v>
      </c>
      <c r="AE653" t="n">
        <v>12</v>
      </c>
      <c r="AF653" t="n">
        <v>2</v>
      </c>
      <c r="AG653" t="n">
        <v>2</v>
      </c>
      <c r="AH653" t="n">
        <v>4</v>
      </c>
      <c r="AI653" t="n">
        <v>4</v>
      </c>
      <c r="AJ653" t="n">
        <v>8</v>
      </c>
      <c r="AK653" t="n">
        <v>8</v>
      </c>
      <c r="AL653" t="n">
        <v>2</v>
      </c>
      <c r="AM653" t="n">
        <v>2</v>
      </c>
      <c r="AN653" t="n">
        <v>0</v>
      </c>
      <c r="AO653" t="n">
        <v>0</v>
      </c>
      <c r="AP653" t="inlineStr">
        <is>
          <t>No</t>
        </is>
      </c>
      <c r="AQ653" t="inlineStr">
        <is>
          <t>No</t>
        </is>
      </c>
      <c r="AS653">
        <f>HYPERLINK("https://creighton-primo.hosted.exlibrisgroup.com/primo-explore/search?tab=default_tab&amp;search_scope=EVERYTHING&amp;vid=01CRU&amp;lang=en_US&amp;offset=0&amp;query=any,contains,991004272219702656","Catalog Record")</f>
        <v/>
      </c>
      <c r="AT653">
        <f>HYPERLINK("http://www.worldcat.org/oclc/2881325","WorldCat Record")</f>
        <v/>
      </c>
      <c r="AU653" t="inlineStr">
        <is>
          <t>905885184:eng</t>
        </is>
      </c>
      <c r="AV653" t="inlineStr">
        <is>
          <t>2881325</t>
        </is>
      </c>
      <c r="AW653" t="inlineStr">
        <is>
          <t>991004272219702656</t>
        </is>
      </c>
      <c r="AX653" t="inlineStr">
        <is>
          <t>991004272219702656</t>
        </is>
      </c>
      <c r="AY653" t="inlineStr">
        <is>
          <t>2269838270002656</t>
        </is>
      </c>
      <c r="AZ653" t="inlineStr">
        <is>
          <t>BOOK</t>
        </is>
      </c>
      <c r="BB653" t="inlineStr">
        <is>
          <t>9780030178269</t>
        </is>
      </c>
      <c r="BC653" t="inlineStr">
        <is>
          <t>32285001963809</t>
        </is>
      </c>
      <c r="BD653" t="inlineStr">
        <is>
          <t>893500361</t>
        </is>
      </c>
    </row>
    <row r="654">
      <c r="A654" t="inlineStr">
        <is>
          <t>No</t>
        </is>
      </c>
      <c r="B654" t="inlineStr">
        <is>
          <t>RC480 .R33 1980</t>
        </is>
      </c>
      <c r="C654" t="inlineStr">
        <is>
          <t>0                      RC 0480000R  33          1980</t>
        </is>
      </c>
      <c r="D654" t="inlineStr">
        <is>
          <t>The effects of psychological therapy / by S. J. Rachman and G. T. Wilson.</t>
        </is>
      </c>
      <c r="F654" t="inlineStr">
        <is>
          <t>No</t>
        </is>
      </c>
      <c r="G654" t="inlineStr">
        <is>
          <t>1</t>
        </is>
      </c>
      <c r="H654" t="inlineStr">
        <is>
          <t>No</t>
        </is>
      </c>
      <c r="I654" t="inlineStr">
        <is>
          <t>No</t>
        </is>
      </c>
      <c r="J654" t="inlineStr">
        <is>
          <t>0</t>
        </is>
      </c>
      <c r="K654" t="inlineStr">
        <is>
          <t>Rachman, Stanley.</t>
        </is>
      </c>
      <c r="L654" t="inlineStr">
        <is>
          <t>Oxford ; New York : Pergamon Press, c1980.</t>
        </is>
      </c>
      <c r="M654" t="inlineStr">
        <is>
          <t>1980</t>
        </is>
      </c>
      <c r="N654" t="inlineStr">
        <is>
          <t>2d enl. ed.</t>
        </is>
      </c>
      <c r="O654" t="inlineStr">
        <is>
          <t>eng</t>
        </is>
      </c>
      <c r="P654" t="inlineStr">
        <is>
          <t>enk</t>
        </is>
      </c>
      <c r="Q654" t="inlineStr">
        <is>
          <t>International series in experimental psychology ; v. 24</t>
        </is>
      </c>
      <c r="R654" t="inlineStr">
        <is>
          <t xml:space="preserve">RC </t>
        </is>
      </c>
      <c r="S654" t="n">
        <v>3</v>
      </c>
      <c r="T654" t="n">
        <v>3</v>
      </c>
      <c r="U654" t="inlineStr">
        <is>
          <t>1997-03-17</t>
        </is>
      </c>
      <c r="V654" t="inlineStr">
        <is>
          <t>1997-03-17</t>
        </is>
      </c>
      <c r="W654" t="inlineStr">
        <is>
          <t>1992-06-15</t>
        </is>
      </c>
      <c r="X654" t="inlineStr">
        <is>
          <t>1992-06-15</t>
        </is>
      </c>
      <c r="Y654" t="n">
        <v>387</v>
      </c>
      <c r="Z654" t="n">
        <v>267</v>
      </c>
      <c r="AA654" t="n">
        <v>303</v>
      </c>
      <c r="AB654" t="n">
        <v>2</v>
      </c>
      <c r="AC654" t="n">
        <v>2</v>
      </c>
      <c r="AD654" t="n">
        <v>10</v>
      </c>
      <c r="AE654" t="n">
        <v>13</v>
      </c>
      <c r="AF654" t="n">
        <v>4</v>
      </c>
      <c r="AG654" t="n">
        <v>6</v>
      </c>
      <c r="AH654" t="n">
        <v>2</v>
      </c>
      <c r="AI654" t="n">
        <v>4</v>
      </c>
      <c r="AJ654" t="n">
        <v>6</v>
      </c>
      <c r="AK654" t="n">
        <v>6</v>
      </c>
      <c r="AL654" t="n">
        <v>1</v>
      </c>
      <c r="AM654" t="n">
        <v>1</v>
      </c>
      <c r="AN654" t="n">
        <v>0</v>
      </c>
      <c r="AO654" t="n">
        <v>0</v>
      </c>
      <c r="AP654" t="inlineStr">
        <is>
          <t>No</t>
        </is>
      </c>
      <c r="AQ654" t="inlineStr">
        <is>
          <t>Yes</t>
        </is>
      </c>
      <c r="AR654">
        <f>HYPERLINK("http://catalog.hathitrust.org/Record/000306839","HathiTrust Record")</f>
        <v/>
      </c>
      <c r="AS654">
        <f>HYPERLINK("https://creighton-primo.hosted.exlibrisgroup.com/primo-explore/search?tab=default_tab&amp;search_scope=EVERYTHING&amp;vid=01CRU&amp;lang=en_US&amp;offset=0&amp;query=any,contains,991004950959702656","Catalog Record")</f>
        <v/>
      </c>
      <c r="AT654">
        <f>HYPERLINK("http://www.worldcat.org/oclc/6249834","WorldCat Record")</f>
        <v/>
      </c>
      <c r="AU654" t="inlineStr">
        <is>
          <t>3901242256:eng</t>
        </is>
      </c>
      <c r="AV654" t="inlineStr">
        <is>
          <t>6249834</t>
        </is>
      </c>
      <c r="AW654" t="inlineStr">
        <is>
          <t>991004950959702656</t>
        </is>
      </c>
      <c r="AX654" t="inlineStr">
        <is>
          <t>991004950959702656</t>
        </is>
      </c>
      <c r="AY654" t="inlineStr">
        <is>
          <t>2263069520002656</t>
        </is>
      </c>
      <c r="AZ654" t="inlineStr">
        <is>
          <t>BOOK</t>
        </is>
      </c>
      <c r="BB654" t="inlineStr">
        <is>
          <t>9780080246741</t>
        </is>
      </c>
      <c r="BC654" t="inlineStr">
        <is>
          <t>32285001099448</t>
        </is>
      </c>
      <c r="BD654" t="inlineStr">
        <is>
          <t>893612955</t>
        </is>
      </c>
    </row>
    <row r="655">
      <c r="A655" t="inlineStr">
        <is>
          <t>No</t>
        </is>
      </c>
      <c r="B655" t="inlineStr">
        <is>
          <t>RC480 .R395 2000</t>
        </is>
      </c>
      <c r="C655" t="inlineStr">
        <is>
          <t>0                      RC 0480000R  395         2000</t>
        </is>
      </c>
      <c r="D655" t="inlineStr">
        <is>
          <t>Reconciling empirical knowledge and clinical experience : the art and science of psychotherapy / edited by Stephen Soldz and Leigh McCullough.</t>
        </is>
      </c>
      <c r="F655" t="inlineStr">
        <is>
          <t>No</t>
        </is>
      </c>
      <c r="G655" t="inlineStr">
        <is>
          <t>1</t>
        </is>
      </c>
      <c r="H655" t="inlineStr">
        <is>
          <t>No</t>
        </is>
      </c>
      <c r="I655" t="inlineStr">
        <is>
          <t>No</t>
        </is>
      </c>
      <c r="J655" t="inlineStr">
        <is>
          <t>0</t>
        </is>
      </c>
      <c r="L655" t="inlineStr">
        <is>
          <t>Washington, DC : American Psychological Association, c2000.</t>
        </is>
      </c>
      <c r="M655" t="inlineStr">
        <is>
          <t>2000</t>
        </is>
      </c>
      <c r="N655" t="inlineStr">
        <is>
          <t>1st ed.</t>
        </is>
      </c>
      <c r="O655" t="inlineStr">
        <is>
          <t>eng</t>
        </is>
      </c>
      <c r="P655" t="inlineStr">
        <is>
          <t>dcu</t>
        </is>
      </c>
      <c r="R655" t="inlineStr">
        <is>
          <t xml:space="preserve">RC </t>
        </is>
      </c>
      <c r="S655" t="n">
        <v>1</v>
      </c>
      <c r="T655" t="n">
        <v>1</v>
      </c>
      <c r="U655" t="inlineStr">
        <is>
          <t>2004-04-20</t>
        </is>
      </c>
      <c r="V655" t="inlineStr">
        <is>
          <t>2004-04-20</t>
        </is>
      </c>
      <c r="W655" t="inlineStr">
        <is>
          <t>2004-04-20</t>
        </is>
      </c>
      <c r="X655" t="inlineStr">
        <is>
          <t>2004-04-20</t>
        </is>
      </c>
      <c r="Y655" t="n">
        <v>233</v>
      </c>
      <c r="Z655" t="n">
        <v>196</v>
      </c>
      <c r="AA655" t="n">
        <v>296</v>
      </c>
      <c r="AB655" t="n">
        <v>1</v>
      </c>
      <c r="AC655" t="n">
        <v>2</v>
      </c>
      <c r="AD655" t="n">
        <v>9</v>
      </c>
      <c r="AE655" t="n">
        <v>17</v>
      </c>
      <c r="AF655" t="n">
        <v>4</v>
      </c>
      <c r="AG655" t="n">
        <v>6</v>
      </c>
      <c r="AH655" t="n">
        <v>3</v>
      </c>
      <c r="AI655" t="n">
        <v>4</v>
      </c>
      <c r="AJ655" t="n">
        <v>7</v>
      </c>
      <c r="AK655" t="n">
        <v>11</v>
      </c>
      <c r="AL655" t="n">
        <v>0</v>
      </c>
      <c r="AM655" t="n">
        <v>1</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HYPERLINK("https://creighton-primo.hosted.exlibrisgroup.com/primo-explore/search?tab=default_tab&amp;search_scope=EVERYTHING&amp;vid=01CRU&amp;lang=en_US&amp;offset=0&amp;query=any,contains,991004265709702656","Catalog Record")</f>
        <v/>
      </c>
      <c r="AT655">
        <f>HYPERLINK("http://www.worldcat.org/oclc/41528047","WorldCat Record")</f>
        <v/>
      </c>
      <c r="AU655" t="inlineStr">
        <is>
          <t>933438398:eng</t>
        </is>
      </c>
      <c r="AV655" t="inlineStr">
        <is>
          <t>41528047</t>
        </is>
      </c>
      <c r="AW655" t="inlineStr">
        <is>
          <t>991004265709702656</t>
        </is>
      </c>
      <c r="AX655" t="inlineStr">
        <is>
          <t>991004265709702656</t>
        </is>
      </c>
      <c r="AY655" t="inlineStr">
        <is>
          <t>2259850820002656</t>
        </is>
      </c>
      <c r="AZ655" t="inlineStr">
        <is>
          <t>BOOK</t>
        </is>
      </c>
      <c r="BB655" t="inlineStr">
        <is>
          <t>9781557986030</t>
        </is>
      </c>
      <c r="BC655" t="inlineStr">
        <is>
          <t>32285004900899</t>
        </is>
      </c>
      <c r="BD655" t="inlineStr">
        <is>
          <t>893806855</t>
        </is>
      </c>
    </row>
    <row r="656">
      <c r="A656" t="inlineStr">
        <is>
          <t>No</t>
        </is>
      </c>
      <c r="B656" t="inlineStr">
        <is>
          <t>RC480 .S343 1986</t>
        </is>
      </c>
      <c r="C656" t="inlineStr">
        <is>
          <t>0                      RC 0480000S  343         1986</t>
        </is>
      </c>
      <c r="D656" t="inlineStr">
        <is>
          <t>Paradoxical strategies in psychotherapy : a comprehensive overview and guidebook / Leon F. Seltzer.</t>
        </is>
      </c>
      <c r="F656" t="inlineStr">
        <is>
          <t>No</t>
        </is>
      </c>
      <c r="G656" t="inlineStr">
        <is>
          <t>1</t>
        </is>
      </c>
      <c r="H656" t="inlineStr">
        <is>
          <t>No</t>
        </is>
      </c>
      <c r="I656" t="inlineStr">
        <is>
          <t>No</t>
        </is>
      </c>
      <c r="J656" t="inlineStr">
        <is>
          <t>0</t>
        </is>
      </c>
      <c r="K656" t="inlineStr">
        <is>
          <t>Seltzer, Leon F., 1940-</t>
        </is>
      </c>
      <c r="L656" t="inlineStr">
        <is>
          <t>New York : Wiley, c1986.</t>
        </is>
      </c>
      <c r="M656" t="inlineStr">
        <is>
          <t>1986</t>
        </is>
      </c>
      <c r="O656" t="inlineStr">
        <is>
          <t>eng</t>
        </is>
      </c>
      <c r="P656" t="inlineStr">
        <is>
          <t>nyu</t>
        </is>
      </c>
      <c r="Q656" t="inlineStr">
        <is>
          <t>Wiley series on personality processes</t>
        </is>
      </c>
      <c r="R656" t="inlineStr">
        <is>
          <t xml:space="preserve">RC </t>
        </is>
      </c>
      <c r="S656" t="n">
        <v>1</v>
      </c>
      <c r="T656" t="n">
        <v>1</v>
      </c>
      <c r="U656" t="inlineStr">
        <is>
          <t>1999-04-17</t>
        </is>
      </c>
      <c r="V656" t="inlineStr">
        <is>
          <t>1999-04-17</t>
        </is>
      </c>
      <c r="W656" t="inlineStr">
        <is>
          <t>1993-03-23</t>
        </is>
      </c>
      <c r="X656" t="inlineStr">
        <is>
          <t>1993-03-23</t>
        </is>
      </c>
      <c r="Y656" t="n">
        <v>453</v>
      </c>
      <c r="Z656" t="n">
        <v>393</v>
      </c>
      <c r="AA656" t="n">
        <v>397</v>
      </c>
      <c r="AB656" t="n">
        <v>1</v>
      </c>
      <c r="AC656" t="n">
        <v>1</v>
      </c>
      <c r="AD656" t="n">
        <v>16</v>
      </c>
      <c r="AE656" t="n">
        <v>16</v>
      </c>
      <c r="AF656" t="n">
        <v>3</v>
      </c>
      <c r="AG656" t="n">
        <v>3</v>
      </c>
      <c r="AH656" t="n">
        <v>6</v>
      </c>
      <c r="AI656" t="n">
        <v>6</v>
      </c>
      <c r="AJ656" t="n">
        <v>12</v>
      </c>
      <c r="AK656" t="n">
        <v>12</v>
      </c>
      <c r="AL656" t="n">
        <v>0</v>
      </c>
      <c r="AM656" t="n">
        <v>0</v>
      </c>
      <c r="AN656" t="n">
        <v>0</v>
      </c>
      <c r="AO656" t="n">
        <v>0</v>
      </c>
      <c r="AP656" t="inlineStr">
        <is>
          <t>No</t>
        </is>
      </c>
      <c r="AQ656" t="inlineStr">
        <is>
          <t>Yes</t>
        </is>
      </c>
      <c r="AR656">
        <f>HYPERLINK("http://catalog.hathitrust.org/Record/000427287","HathiTrust Record")</f>
        <v/>
      </c>
      <c r="AS656">
        <f>HYPERLINK("https://creighton-primo.hosted.exlibrisgroup.com/primo-explore/search?tab=default_tab&amp;search_scope=EVERYTHING&amp;vid=01CRU&amp;lang=en_US&amp;offset=0&amp;query=any,contains,991000653649702656","Catalog Record")</f>
        <v/>
      </c>
      <c r="AT656">
        <f>HYPERLINK("http://www.worldcat.org/oclc/12189592","WorldCat Record")</f>
        <v/>
      </c>
      <c r="AU656" t="inlineStr">
        <is>
          <t>5211911:eng</t>
        </is>
      </c>
      <c r="AV656" t="inlineStr">
        <is>
          <t>12189592</t>
        </is>
      </c>
      <c r="AW656" t="inlineStr">
        <is>
          <t>991000653649702656</t>
        </is>
      </c>
      <c r="AX656" t="inlineStr">
        <is>
          <t>991000653649702656</t>
        </is>
      </c>
      <c r="AY656" t="inlineStr">
        <is>
          <t>2255342570002656</t>
        </is>
      </c>
      <c r="AZ656" t="inlineStr">
        <is>
          <t>BOOK</t>
        </is>
      </c>
      <c r="BB656" t="inlineStr">
        <is>
          <t>9780471826613</t>
        </is>
      </c>
      <c r="BC656" t="inlineStr">
        <is>
          <t>32285001606325</t>
        </is>
      </c>
      <c r="BD656" t="inlineStr">
        <is>
          <t>893327472</t>
        </is>
      </c>
    </row>
    <row r="657">
      <c r="A657" t="inlineStr">
        <is>
          <t>No</t>
        </is>
      </c>
      <c r="B657" t="inlineStr">
        <is>
          <t>RC480 .S355 2000</t>
        </is>
      </c>
      <c r="C657" t="inlineStr">
        <is>
          <t>0                      RC 0480000S  355         2000</t>
        </is>
      </c>
      <c r="D657" t="inlineStr">
        <is>
          <t>Theories of psychotherapy &amp; counseling : concepts and cases / Richard S. Sharf.</t>
        </is>
      </c>
      <c r="F657" t="inlineStr">
        <is>
          <t>No</t>
        </is>
      </c>
      <c r="G657" t="inlineStr">
        <is>
          <t>1</t>
        </is>
      </c>
      <c r="H657" t="inlineStr">
        <is>
          <t>No</t>
        </is>
      </c>
      <c r="I657" t="inlineStr">
        <is>
          <t>No</t>
        </is>
      </c>
      <c r="J657" t="inlineStr">
        <is>
          <t>0</t>
        </is>
      </c>
      <c r="K657" t="inlineStr">
        <is>
          <t>Sharf, Richard S.</t>
        </is>
      </c>
      <c r="L657" t="inlineStr">
        <is>
          <t>Australia ; Belmont, CA : Brooks/Cole, c2000.</t>
        </is>
      </c>
      <c r="M657" t="inlineStr">
        <is>
          <t>2000</t>
        </is>
      </c>
      <c r="N657" t="inlineStr">
        <is>
          <t>2nd ed.</t>
        </is>
      </c>
      <c r="O657" t="inlineStr">
        <is>
          <t>eng</t>
        </is>
      </c>
      <c r="P657" t="inlineStr">
        <is>
          <t xml:space="preserve">at </t>
        </is>
      </c>
      <c r="R657" t="inlineStr">
        <is>
          <t xml:space="preserve">RC </t>
        </is>
      </c>
      <c r="S657" t="n">
        <v>5</v>
      </c>
      <c r="T657" t="n">
        <v>5</v>
      </c>
      <c r="U657" t="inlineStr">
        <is>
          <t>2007-01-09</t>
        </is>
      </c>
      <c r="V657" t="inlineStr">
        <is>
          <t>2007-01-09</t>
        </is>
      </c>
      <c r="W657" t="inlineStr">
        <is>
          <t>2000-09-18</t>
        </is>
      </c>
      <c r="X657" t="inlineStr">
        <is>
          <t>2000-09-18</t>
        </is>
      </c>
      <c r="Y657" t="n">
        <v>140</v>
      </c>
      <c r="Z657" t="n">
        <v>100</v>
      </c>
      <c r="AA657" t="n">
        <v>378</v>
      </c>
      <c r="AB657" t="n">
        <v>2</v>
      </c>
      <c r="AC657" t="n">
        <v>3</v>
      </c>
      <c r="AD657" t="n">
        <v>6</v>
      </c>
      <c r="AE657" t="n">
        <v>16</v>
      </c>
      <c r="AF657" t="n">
        <v>3</v>
      </c>
      <c r="AG657" t="n">
        <v>7</v>
      </c>
      <c r="AH657" t="n">
        <v>0</v>
      </c>
      <c r="AI657" t="n">
        <v>2</v>
      </c>
      <c r="AJ657" t="n">
        <v>4</v>
      </c>
      <c r="AK657" t="n">
        <v>8</v>
      </c>
      <c r="AL657" t="n">
        <v>1</v>
      </c>
      <c r="AM657" t="n">
        <v>2</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HYPERLINK("https://creighton-primo.hosted.exlibrisgroup.com/primo-explore/search?tab=default_tab&amp;search_scope=EVERYTHING&amp;vid=01CRU&amp;lang=en_US&amp;offset=0&amp;query=any,contains,991003289459702656","Catalog Record")</f>
        <v/>
      </c>
      <c r="AT657">
        <f>HYPERLINK("http://www.worldcat.org/oclc/41355631","WorldCat Record")</f>
        <v/>
      </c>
      <c r="AU657" t="inlineStr">
        <is>
          <t>3753454228:eng</t>
        </is>
      </c>
      <c r="AV657" t="inlineStr">
        <is>
          <t>41355631</t>
        </is>
      </c>
      <c r="AW657" t="inlineStr">
        <is>
          <t>991003289459702656</t>
        </is>
      </c>
      <c r="AX657" t="inlineStr">
        <is>
          <t>991003289459702656</t>
        </is>
      </c>
      <c r="AY657" t="inlineStr">
        <is>
          <t>2266732600002656</t>
        </is>
      </c>
      <c r="AZ657" t="inlineStr">
        <is>
          <t>BOOK</t>
        </is>
      </c>
      <c r="BB657" t="inlineStr">
        <is>
          <t>9780534364854</t>
        </is>
      </c>
      <c r="BC657" t="inlineStr">
        <is>
          <t>32285003762811</t>
        </is>
      </c>
      <c r="BD657" t="inlineStr">
        <is>
          <t>893234010</t>
        </is>
      </c>
    </row>
    <row r="658">
      <c r="A658" t="inlineStr">
        <is>
          <t>No</t>
        </is>
      </c>
      <c r="B658" t="inlineStr">
        <is>
          <t>RC480 .T445 1976</t>
        </is>
      </c>
      <c r="C658" t="inlineStr">
        <is>
          <t>0                      RC 0480000T  445         1976</t>
        </is>
      </c>
      <c r="D658" t="inlineStr">
        <is>
          <t>The Therapist's handbook : treatment methods of mental disorders / edited by Benjamin B. Wolman, in collaboration with Richard Abrams ... [et al.] ; foreword by Bertram S. Brown.</t>
        </is>
      </c>
      <c r="F658" t="inlineStr">
        <is>
          <t>No</t>
        </is>
      </c>
      <c r="G658" t="inlineStr">
        <is>
          <t>1</t>
        </is>
      </c>
      <c r="H658" t="inlineStr">
        <is>
          <t>No</t>
        </is>
      </c>
      <c r="I658" t="inlineStr">
        <is>
          <t>No</t>
        </is>
      </c>
      <c r="J658" t="inlineStr">
        <is>
          <t>0</t>
        </is>
      </c>
      <c r="L658" t="inlineStr">
        <is>
          <t>New York : Van Nostrand Reinhold, c1976</t>
        </is>
      </c>
      <c r="M658" t="inlineStr">
        <is>
          <t>1976</t>
        </is>
      </c>
      <c r="O658" t="inlineStr">
        <is>
          <t>eng</t>
        </is>
      </c>
      <c r="P658" t="inlineStr">
        <is>
          <t>nyu</t>
        </is>
      </c>
      <c r="R658" t="inlineStr">
        <is>
          <t xml:space="preserve">RC </t>
        </is>
      </c>
      <c r="S658" t="n">
        <v>1</v>
      </c>
      <c r="T658" t="n">
        <v>1</v>
      </c>
      <c r="U658" t="inlineStr">
        <is>
          <t>2009-06-02</t>
        </is>
      </c>
      <c r="V658" t="inlineStr">
        <is>
          <t>2009-06-02</t>
        </is>
      </c>
      <c r="W658" t="inlineStr">
        <is>
          <t>1997-08-11</t>
        </is>
      </c>
      <c r="X658" t="inlineStr">
        <is>
          <t>1997-08-11</t>
        </is>
      </c>
      <c r="Y658" t="n">
        <v>606</v>
      </c>
      <c r="Z658" t="n">
        <v>520</v>
      </c>
      <c r="AA658" t="n">
        <v>665</v>
      </c>
      <c r="AB658" t="n">
        <v>5</v>
      </c>
      <c r="AC658" t="n">
        <v>6</v>
      </c>
      <c r="AD658" t="n">
        <v>19</v>
      </c>
      <c r="AE658" t="n">
        <v>24</v>
      </c>
      <c r="AF658" t="n">
        <v>7</v>
      </c>
      <c r="AG658" t="n">
        <v>9</v>
      </c>
      <c r="AH658" t="n">
        <v>5</v>
      </c>
      <c r="AI658" t="n">
        <v>5</v>
      </c>
      <c r="AJ658" t="n">
        <v>11</v>
      </c>
      <c r="AK658" t="n">
        <v>13</v>
      </c>
      <c r="AL658" t="n">
        <v>3</v>
      </c>
      <c r="AM658" t="n">
        <v>4</v>
      </c>
      <c r="AN658" t="n">
        <v>0</v>
      </c>
      <c r="AO658" t="n">
        <v>0</v>
      </c>
      <c r="AP658" t="inlineStr">
        <is>
          <t>No</t>
        </is>
      </c>
      <c r="AQ658" t="inlineStr">
        <is>
          <t>Yes</t>
        </is>
      </c>
      <c r="AR658">
        <f>HYPERLINK("http://catalog.hathitrust.org/Record/000691082","HathiTrust Record")</f>
        <v/>
      </c>
      <c r="AS658">
        <f>HYPERLINK("https://creighton-primo.hosted.exlibrisgroup.com/primo-explore/search?tab=default_tab&amp;search_scope=EVERYTHING&amp;vid=01CRU&amp;lang=en_US&amp;offset=0&amp;query=any,contains,991003967149702656","Catalog Record")</f>
        <v/>
      </c>
      <c r="AT658">
        <f>HYPERLINK("http://www.worldcat.org/oclc/1987232","WorldCat Record")</f>
        <v/>
      </c>
      <c r="AU658" t="inlineStr">
        <is>
          <t>822037337:eng</t>
        </is>
      </c>
      <c r="AV658" t="inlineStr">
        <is>
          <t>1987232</t>
        </is>
      </c>
      <c r="AW658" t="inlineStr">
        <is>
          <t>991003967149702656</t>
        </is>
      </c>
      <c r="AX658" t="inlineStr">
        <is>
          <t>991003967149702656</t>
        </is>
      </c>
      <c r="AY658" t="inlineStr">
        <is>
          <t>2266553130002656</t>
        </is>
      </c>
      <c r="AZ658" t="inlineStr">
        <is>
          <t>BOOK</t>
        </is>
      </c>
      <c r="BB658" t="inlineStr">
        <is>
          <t>9780442295707</t>
        </is>
      </c>
      <c r="BC658" t="inlineStr">
        <is>
          <t>32285003091179</t>
        </is>
      </c>
      <c r="BD658" t="inlineStr">
        <is>
          <t>893417055</t>
        </is>
      </c>
    </row>
    <row r="659">
      <c r="A659" t="inlineStr">
        <is>
          <t>No</t>
        </is>
      </c>
      <c r="B659" t="inlineStr">
        <is>
          <t>RC480 .T66</t>
        </is>
      </c>
      <c r="C659" t="inlineStr">
        <is>
          <t>0                      RC 0480000T  66</t>
        </is>
      </c>
      <c r="D659" t="inlineStr">
        <is>
          <t>The mind game; witchdoctors and psychiatrists [by] E. Fuller Torrey.</t>
        </is>
      </c>
      <c r="F659" t="inlineStr">
        <is>
          <t>No</t>
        </is>
      </c>
      <c r="G659" t="inlineStr">
        <is>
          <t>1</t>
        </is>
      </c>
      <c r="H659" t="inlineStr">
        <is>
          <t>No</t>
        </is>
      </c>
      <c r="I659" t="inlineStr">
        <is>
          <t>No</t>
        </is>
      </c>
      <c r="J659" t="inlineStr">
        <is>
          <t>0</t>
        </is>
      </c>
      <c r="K659" t="inlineStr">
        <is>
          <t>Torrey, E. Fuller (Edwin Fuller), 1937-</t>
        </is>
      </c>
      <c r="L659" t="inlineStr">
        <is>
          <t>New York, Emerson Hall Publishers [1972]</t>
        </is>
      </c>
      <c r="M659" t="inlineStr">
        <is>
          <t>1972</t>
        </is>
      </c>
      <c r="N659" t="inlineStr">
        <is>
          <t>[1st ed.]</t>
        </is>
      </c>
      <c r="O659" t="inlineStr">
        <is>
          <t>eng</t>
        </is>
      </c>
      <c r="P659" t="inlineStr">
        <is>
          <t>nyu</t>
        </is>
      </c>
      <c r="R659" t="inlineStr">
        <is>
          <t xml:space="preserve">RC </t>
        </is>
      </c>
      <c r="S659" t="n">
        <v>2</v>
      </c>
      <c r="T659" t="n">
        <v>2</v>
      </c>
      <c r="U659" t="inlineStr">
        <is>
          <t>2010-09-10</t>
        </is>
      </c>
      <c r="V659" t="inlineStr">
        <is>
          <t>2010-09-10</t>
        </is>
      </c>
      <c r="W659" t="inlineStr">
        <is>
          <t>1997-08-11</t>
        </is>
      </c>
      <c r="X659" t="inlineStr">
        <is>
          <t>1997-08-11</t>
        </is>
      </c>
      <c r="Y659" t="n">
        <v>351</v>
      </c>
      <c r="Z659" t="n">
        <v>310</v>
      </c>
      <c r="AA659" t="n">
        <v>381</v>
      </c>
      <c r="AB659" t="n">
        <v>3</v>
      </c>
      <c r="AC659" t="n">
        <v>3</v>
      </c>
      <c r="AD659" t="n">
        <v>8</v>
      </c>
      <c r="AE659" t="n">
        <v>8</v>
      </c>
      <c r="AF659" t="n">
        <v>1</v>
      </c>
      <c r="AG659" t="n">
        <v>1</v>
      </c>
      <c r="AH659" t="n">
        <v>3</v>
      </c>
      <c r="AI659" t="n">
        <v>3</v>
      </c>
      <c r="AJ659" t="n">
        <v>6</v>
      </c>
      <c r="AK659" t="n">
        <v>6</v>
      </c>
      <c r="AL659" t="n">
        <v>1</v>
      </c>
      <c r="AM659" t="n">
        <v>1</v>
      </c>
      <c r="AN659" t="n">
        <v>0</v>
      </c>
      <c r="AO659" t="n">
        <v>0</v>
      </c>
      <c r="AP659" t="inlineStr">
        <is>
          <t>No</t>
        </is>
      </c>
      <c r="AQ659" t="inlineStr">
        <is>
          <t>Yes</t>
        </is>
      </c>
      <c r="AR659">
        <f>HYPERLINK("http://catalog.hathitrust.org/Record/000005850","HathiTrust Record")</f>
        <v/>
      </c>
      <c r="AS659">
        <f>HYPERLINK("https://creighton-primo.hosted.exlibrisgroup.com/primo-explore/search?tab=default_tab&amp;search_scope=EVERYTHING&amp;vid=01CRU&amp;lang=en_US&amp;offset=0&amp;query=any,contains,991005319179702656","Catalog Record")</f>
        <v/>
      </c>
      <c r="AT659">
        <f>HYPERLINK("http://www.worldcat.org/oclc/417939","WorldCat Record")</f>
        <v/>
      </c>
      <c r="AU659" t="inlineStr">
        <is>
          <t>1490544:eng</t>
        </is>
      </c>
      <c r="AV659" t="inlineStr">
        <is>
          <t>417939</t>
        </is>
      </c>
      <c r="AW659" t="inlineStr">
        <is>
          <t>991005319179702656</t>
        </is>
      </c>
      <c r="AX659" t="inlineStr">
        <is>
          <t>991005319179702656</t>
        </is>
      </c>
      <c r="AY659" t="inlineStr">
        <is>
          <t>2258358100002656</t>
        </is>
      </c>
      <c r="AZ659" t="inlineStr">
        <is>
          <t>BOOK</t>
        </is>
      </c>
      <c r="BB659" t="inlineStr">
        <is>
          <t>9780878290024</t>
        </is>
      </c>
      <c r="BC659" t="inlineStr">
        <is>
          <t>32285003091187</t>
        </is>
      </c>
      <c r="BD659" t="inlineStr">
        <is>
          <t>893230527</t>
        </is>
      </c>
    </row>
    <row r="660">
      <c r="A660" t="inlineStr">
        <is>
          <t>No</t>
        </is>
      </c>
      <c r="B660" t="inlineStr">
        <is>
          <t>RC480 .W373</t>
        </is>
      </c>
      <c r="C660" t="inlineStr">
        <is>
          <t>0                      RC 0480000W  373</t>
        </is>
      </c>
      <c r="D660" t="inlineStr">
        <is>
          <t>Principles of psychotherapy / Irving B. Weiner.</t>
        </is>
      </c>
      <c r="F660" t="inlineStr">
        <is>
          <t>No</t>
        </is>
      </c>
      <c r="G660" t="inlineStr">
        <is>
          <t>1</t>
        </is>
      </c>
      <c r="H660" t="inlineStr">
        <is>
          <t>No</t>
        </is>
      </c>
      <c r="I660" t="inlineStr">
        <is>
          <t>No</t>
        </is>
      </c>
      <c r="J660" t="inlineStr">
        <is>
          <t>0</t>
        </is>
      </c>
      <c r="K660" t="inlineStr">
        <is>
          <t>Weiner, Irving B.</t>
        </is>
      </c>
      <c r="L660" t="inlineStr">
        <is>
          <t>New York : Wiley, [1975]</t>
        </is>
      </c>
      <c r="M660" t="inlineStr">
        <is>
          <t>1975</t>
        </is>
      </c>
      <c r="O660" t="inlineStr">
        <is>
          <t>eng</t>
        </is>
      </c>
      <c r="P660" t="inlineStr">
        <is>
          <t>nyu</t>
        </is>
      </c>
      <c r="Q660" t="inlineStr">
        <is>
          <t>Wiley series on personality processes</t>
        </is>
      </c>
      <c r="R660" t="inlineStr">
        <is>
          <t xml:space="preserve">RC </t>
        </is>
      </c>
      <c r="S660" t="n">
        <v>1</v>
      </c>
      <c r="T660" t="n">
        <v>1</v>
      </c>
      <c r="U660" t="inlineStr">
        <is>
          <t>2010-04-03</t>
        </is>
      </c>
      <c r="V660" t="inlineStr">
        <is>
          <t>2010-04-03</t>
        </is>
      </c>
      <c r="W660" t="inlineStr">
        <is>
          <t>1997-08-11</t>
        </is>
      </c>
      <c r="X660" t="inlineStr">
        <is>
          <t>1997-08-11</t>
        </is>
      </c>
      <c r="Y660" t="n">
        <v>418</v>
      </c>
      <c r="Z660" t="n">
        <v>323</v>
      </c>
      <c r="AA660" t="n">
        <v>525</v>
      </c>
      <c r="AB660" t="n">
        <v>4</v>
      </c>
      <c r="AC660" t="n">
        <v>5</v>
      </c>
      <c r="AD660" t="n">
        <v>11</v>
      </c>
      <c r="AE660" t="n">
        <v>22</v>
      </c>
      <c r="AF660" t="n">
        <v>1</v>
      </c>
      <c r="AG660" t="n">
        <v>7</v>
      </c>
      <c r="AH660" t="n">
        <v>3</v>
      </c>
      <c r="AI660" t="n">
        <v>5</v>
      </c>
      <c r="AJ660" t="n">
        <v>8</v>
      </c>
      <c r="AK660" t="n">
        <v>15</v>
      </c>
      <c r="AL660" t="n">
        <v>2</v>
      </c>
      <c r="AM660" t="n">
        <v>3</v>
      </c>
      <c r="AN660" t="n">
        <v>0</v>
      </c>
      <c r="AO660" t="n">
        <v>0</v>
      </c>
      <c r="AP660" t="inlineStr">
        <is>
          <t>No</t>
        </is>
      </c>
      <c r="AQ660" t="inlineStr">
        <is>
          <t>Yes</t>
        </is>
      </c>
      <c r="AR660">
        <f>HYPERLINK("http://catalog.hathitrust.org/Record/000032533","HathiTrust Record")</f>
        <v/>
      </c>
      <c r="AS660">
        <f>HYPERLINK("https://creighton-primo.hosted.exlibrisgroup.com/primo-explore/search?tab=default_tab&amp;search_scope=EVERYTHING&amp;vid=01CRU&amp;lang=en_US&amp;offset=0&amp;query=any,contains,991003538069702656","Catalog Record")</f>
        <v/>
      </c>
      <c r="AT660">
        <f>HYPERLINK("http://www.worldcat.org/oclc/1103191","WorldCat Record")</f>
        <v/>
      </c>
      <c r="AU660" t="inlineStr">
        <is>
          <t>549410:eng</t>
        </is>
      </c>
      <c r="AV660" t="inlineStr">
        <is>
          <t>1103191</t>
        </is>
      </c>
      <c r="AW660" t="inlineStr">
        <is>
          <t>991003538069702656</t>
        </is>
      </c>
      <c r="AX660" t="inlineStr">
        <is>
          <t>991003538069702656</t>
        </is>
      </c>
      <c r="AY660" t="inlineStr">
        <is>
          <t>2267385760002656</t>
        </is>
      </c>
      <c r="AZ660" t="inlineStr">
        <is>
          <t>BOOK</t>
        </is>
      </c>
      <c r="BB660" t="inlineStr">
        <is>
          <t>9780471925699</t>
        </is>
      </c>
      <c r="BC660" t="inlineStr">
        <is>
          <t>32285003091195</t>
        </is>
      </c>
      <c r="BD660" t="inlineStr">
        <is>
          <t>893512058</t>
        </is>
      </c>
    </row>
    <row r="661">
      <c r="A661" t="inlineStr">
        <is>
          <t>No</t>
        </is>
      </c>
      <c r="B661" t="inlineStr">
        <is>
          <t>RC480.5 .A36 1974</t>
        </is>
      </c>
      <c r="C661" t="inlineStr">
        <is>
          <t>0                      RC 0480500A  36          1974</t>
        </is>
      </c>
      <c r="D661" t="inlineStr">
        <is>
          <t>Crisis intervention : theory and methodology / [by] Donna C. Aguilera [and] Janice M. Messick.</t>
        </is>
      </c>
      <c r="F661" t="inlineStr">
        <is>
          <t>No</t>
        </is>
      </c>
      <c r="G661" t="inlineStr">
        <is>
          <t>1</t>
        </is>
      </c>
      <c r="H661" t="inlineStr">
        <is>
          <t>No</t>
        </is>
      </c>
      <c r="I661" t="inlineStr">
        <is>
          <t>Yes</t>
        </is>
      </c>
      <c r="J661" t="inlineStr">
        <is>
          <t>0</t>
        </is>
      </c>
      <c r="K661" t="inlineStr">
        <is>
          <t>Aguilera, Donna C.</t>
        </is>
      </c>
      <c r="L661" t="inlineStr">
        <is>
          <t>St. Louis : Mosby, 1974.</t>
        </is>
      </c>
      <c r="M661" t="inlineStr">
        <is>
          <t>1974</t>
        </is>
      </c>
      <c r="N661" t="inlineStr">
        <is>
          <t>2d ed.</t>
        </is>
      </c>
      <c r="O661" t="inlineStr">
        <is>
          <t>eng</t>
        </is>
      </c>
      <c r="P661" t="inlineStr">
        <is>
          <t>mou</t>
        </is>
      </c>
      <c r="R661" t="inlineStr">
        <is>
          <t xml:space="preserve">RC </t>
        </is>
      </c>
      <c r="S661" t="n">
        <v>2</v>
      </c>
      <c r="T661" t="n">
        <v>2</v>
      </c>
      <c r="U661" t="inlineStr">
        <is>
          <t>2001-04-17</t>
        </is>
      </c>
      <c r="V661" t="inlineStr">
        <is>
          <t>2001-04-17</t>
        </is>
      </c>
      <c r="W661" t="inlineStr">
        <is>
          <t>1995-08-03</t>
        </is>
      </c>
      <c r="X661" t="inlineStr">
        <is>
          <t>1995-08-03</t>
        </is>
      </c>
      <c r="Y661" t="n">
        <v>375</v>
      </c>
      <c r="Z661" t="n">
        <v>310</v>
      </c>
      <c r="AA661" t="n">
        <v>1469</v>
      </c>
      <c r="AB661" t="n">
        <v>4</v>
      </c>
      <c r="AC661" t="n">
        <v>10</v>
      </c>
      <c r="AD661" t="n">
        <v>12</v>
      </c>
      <c r="AE661" t="n">
        <v>48</v>
      </c>
      <c r="AF661" t="n">
        <v>3</v>
      </c>
      <c r="AG661" t="n">
        <v>21</v>
      </c>
      <c r="AH661" t="n">
        <v>2</v>
      </c>
      <c r="AI661" t="n">
        <v>9</v>
      </c>
      <c r="AJ661" t="n">
        <v>5</v>
      </c>
      <c r="AK661" t="n">
        <v>22</v>
      </c>
      <c r="AL661" t="n">
        <v>3</v>
      </c>
      <c r="AM661" t="n">
        <v>6</v>
      </c>
      <c r="AN661" t="n">
        <v>0</v>
      </c>
      <c r="AO661" t="n">
        <v>0</v>
      </c>
      <c r="AP661" t="inlineStr">
        <is>
          <t>No</t>
        </is>
      </c>
      <c r="AQ661" t="inlineStr">
        <is>
          <t>Yes</t>
        </is>
      </c>
      <c r="AR661">
        <f>HYPERLINK("http://catalog.hathitrust.org/Record/001564587","HathiTrust Record")</f>
        <v/>
      </c>
      <c r="AS661">
        <f>HYPERLINK("https://creighton-primo.hosted.exlibrisgroup.com/primo-explore/search?tab=default_tab&amp;search_scope=EVERYTHING&amp;vid=01CRU&amp;lang=en_US&amp;offset=0&amp;query=any,contains,991003360219702656","Catalog Record")</f>
        <v/>
      </c>
      <c r="AT661">
        <f>HYPERLINK("http://www.worldcat.org/oclc/896498","WorldCat Record")</f>
        <v/>
      </c>
      <c r="AU661" t="inlineStr">
        <is>
          <t>1288916:eng</t>
        </is>
      </c>
      <c r="AV661" t="inlineStr">
        <is>
          <t>896498</t>
        </is>
      </c>
      <c r="AW661" t="inlineStr">
        <is>
          <t>991003360219702656</t>
        </is>
      </c>
      <c r="AX661" t="inlineStr">
        <is>
          <t>991003360219702656</t>
        </is>
      </c>
      <c r="AY661" t="inlineStr">
        <is>
          <t>2261360960002656</t>
        </is>
      </c>
      <c r="AZ661" t="inlineStr">
        <is>
          <t>BOOK</t>
        </is>
      </c>
      <c r="BB661" t="inlineStr">
        <is>
          <t>9780801600937</t>
        </is>
      </c>
      <c r="BC661" t="inlineStr">
        <is>
          <t>32285002061363</t>
        </is>
      </c>
      <c r="BD661" t="inlineStr">
        <is>
          <t>893228001</t>
        </is>
      </c>
    </row>
    <row r="662">
      <c r="A662" t="inlineStr">
        <is>
          <t>No</t>
        </is>
      </c>
      <c r="B662" t="inlineStr">
        <is>
          <t>RC480.5 .B46</t>
        </is>
      </c>
      <c r="C662" t="inlineStr">
        <is>
          <t>0                      RC 0480500B  46</t>
        </is>
      </c>
      <c r="D662" t="inlineStr">
        <is>
          <t>Progressive relaxation training : a manual for the helping professions / [by] Douglas A. Bernstein [and] Thomas D. Borkovec. Foreword by Leonard P. Ullmann.</t>
        </is>
      </c>
      <c r="F662" t="inlineStr">
        <is>
          <t>No</t>
        </is>
      </c>
      <c r="G662" t="inlineStr">
        <is>
          <t>1</t>
        </is>
      </c>
      <c r="H662" t="inlineStr">
        <is>
          <t>No</t>
        </is>
      </c>
      <c r="I662" t="inlineStr">
        <is>
          <t>No</t>
        </is>
      </c>
      <c r="J662" t="inlineStr">
        <is>
          <t>0</t>
        </is>
      </c>
      <c r="K662" t="inlineStr">
        <is>
          <t>Bernstein, Douglas A.</t>
        </is>
      </c>
      <c r="L662" t="inlineStr">
        <is>
          <t>Champaign, Ill., Research Press [1973]</t>
        </is>
      </c>
      <c r="M662" t="inlineStr">
        <is>
          <t>1973</t>
        </is>
      </c>
      <c r="O662" t="inlineStr">
        <is>
          <t>eng</t>
        </is>
      </c>
      <c r="P662" t="inlineStr">
        <is>
          <t>ilu</t>
        </is>
      </c>
      <c r="R662" t="inlineStr">
        <is>
          <t xml:space="preserve">RC </t>
        </is>
      </c>
      <c r="S662" t="n">
        <v>2</v>
      </c>
      <c r="T662" t="n">
        <v>2</v>
      </c>
      <c r="U662" t="inlineStr">
        <is>
          <t>1996-03-31</t>
        </is>
      </c>
      <c r="V662" t="inlineStr">
        <is>
          <t>1996-03-31</t>
        </is>
      </c>
      <c r="W662" t="inlineStr">
        <is>
          <t>1992-02-26</t>
        </is>
      </c>
      <c r="X662" t="inlineStr">
        <is>
          <t>1992-02-26</t>
        </is>
      </c>
      <c r="Y662" t="n">
        <v>392</v>
      </c>
      <c r="Z662" t="n">
        <v>337</v>
      </c>
      <c r="AA662" t="n">
        <v>358</v>
      </c>
      <c r="AB662" t="n">
        <v>4</v>
      </c>
      <c r="AC662" t="n">
        <v>4</v>
      </c>
      <c r="AD662" t="n">
        <v>13</v>
      </c>
      <c r="AE662" t="n">
        <v>13</v>
      </c>
      <c r="AF662" t="n">
        <v>7</v>
      </c>
      <c r="AG662" t="n">
        <v>7</v>
      </c>
      <c r="AH662" t="n">
        <v>2</v>
      </c>
      <c r="AI662" t="n">
        <v>2</v>
      </c>
      <c r="AJ662" t="n">
        <v>5</v>
      </c>
      <c r="AK662" t="n">
        <v>5</v>
      </c>
      <c r="AL662" t="n">
        <v>2</v>
      </c>
      <c r="AM662" t="n">
        <v>2</v>
      </c>
      <c r="AN662" t="n">
        <v>0</v>
      </c>
      <c r="AO662" t="n">
        <v>0</v>
      </c>
      <c r="AP662" t="inlineStr">
        <is>
          <t>No</t>
        </is>
      </c>
      <c r="AQ662" t="inlineStr">
        <is>
          <t>Yes</t>
        </is>
      </c>
      <c r="AR662">
        <f>HYPERLINK("http://catalog.hathitrust.org/Record/000011839","HathiTrust Record")</f>
        <v/>
      </c>
      <c r="AS662">
        <f>HYPERLINK("https://creighton-primo.hosted.exlibrisgroup.com/primo-explore/search?tab=default_tab&amp;search_scope=EVERYTHING&amp;vid=01CRU&amp;lang=en_US&amp;offset=0&amp;query=any,contains,991003273399702656","Catalog Record")</f>
        <v/>
      </c>
      <c r="AT662">
        <f>HYPERLINK("http://www.worldcat.org/oclc/798315","WorldCat Record")</f>
        <v/>
      </c>
      <c r="AU662" t="inlineStr">
        <is>
          <t>537806:eng</t>
        </is>
      </c>
      <c r="AV662" t="inlineStr">
        <is>
          <t>798315</t>
        </is>
      </c>
      <c r="AW662" t="inlineStr">
        <is>
          <t>991003273399702656</t>
        </is>
      </c>
      <c r="AX662" t="inlineStr">
        <is>
          <t>991003273399702656</t>
        </is>
      </c>
      <c r="AY662" t="inlineStr">
        <is>
          <t>2261261760002656</t>
        </is>
      </c>
      <c r="AZ662" t="inlineStr">
        <is>
          <t>BOOK</t>
        </is>
      </c>
      <c r="BB662" t="inlineStr">
        <is>
          <t>9780878221042</t>
        </is>
      </c>
      <c r="BC662" t="inlineStr">
        <is>
          <t>32285000974609</t>
        </is>
      </c>
      <c r="BD662" t="inlineStr">
        <is>
          <t>893336323</t>
        </is>
      </c>
    </row>
    <row r="663">
      <c r="A663" t="inlineStr">
        <is>
          <t>No</t>
        </is>
      </c>
      <c r="B663" t="inlineStr">
        <is>
          <t>RC480.5 .B6 1972</t>
        </is>
      </c>
      <c r="C663" t="inlineStr">
        <is>
          <t>0                      RC 0480500B  6           1972</t>
        </is>
      </c>
      <c r="D663" t="inlineStr">
        <is>
          <t>Moral treatment in community mental health, by J. Sanbourne Bockoven.</t>
        </is>
      </c>
      <c r="F663" t="inlineStr">
        <is>
          <t>No</t>
        </is>
      </c>
      <c r="G663" t="inlineStr">
        <is>
          <t>1</t>
        </is>
      </c>
      <c r="H663" t="inlineStr">
        <is>
          <t>No</t>
        </is>
      </c>
      <c r="I663" t="inlineStr">
        <is>
          <t>No</t>
        </is>
      </c>
      <c r="J663" t="inlineStr">
        <is>
          <t>0</t>
        </is>
      </c>
      <c r="K663" t="inlineStr">
        <is>
          <t>Bockoven, J. Sanbourne, 1915-</t>
        </is>
      </c>
      <c r="L663" t="inlineStr">
        <is>
          <t>New York, Springer Pub. Co. [1972]</t>
        </is>
      </c>
      <c r="M663" t="inlineStr">
        <is>
          <t>1972</t>
        </is>
      </c>
      <c r="O663" t="inlineStr">
        <is>
          <t>eng</t>
        </is>
      </c>
      <c r="P663" t="inlineStr">
        <is>
          <t>nyu</t>
        </is>
      </c>
      <c r="R663" t="inlineStr">
        <is>
          <t xml:space="preserve">RC </t>
        </is>
      </c>
      <c r="S663" t="n">
        <v>1</v>
      </c>
      <c r="T663" t="n">
        <v>1</v>
      </c>
      <c r="U663" t="inlineStr">
        <is>
          <t>2003-04-13</t>
        </is>
      </c>
      <c r="V663" t="inlineStr">
        <is>
          <t>2003-04-13</t>
        </is>
      </c>
      <c r="W663" t="inlineStr">
        <is>
          <t>1997-08-11</t>
        </is>
      </c>
      <c r="X663" t="inlineStr">
        <is>
          <t>1997-08-11</t>
        </is>
      </c>
      <c r="Y663" t="n">
        <v>350</v>
      </c>
      <c r="Z663" t="n">
        <v>315</v>
      </c>
      <c r="AA663" t="n">
        <v>317</v>
      </c>
      <c r="AB663" t="n">
        <v>3</v>
      </c>
      <c r="AC663" t="n">
        <v>3</v>
      </c>
      <c r="AD663" t="n">
        <v>17</v>
      </c>
      <c r="AE663" t="n">
        <v>17</v>
      </c>
      <c r="AF663" t="n">
        <v>4</v>
      </c>
      <c r="AG663" t="n">
        <v>4</v>
      </c>
      <c r="AH663" t="n">
        <v>4</v>
      </c>
      <c r="AI663" t="n">
        <v>4</v>
      </c>
      <c r="AJ663" t="n">
        <v>8</v>
      </c>
      <c r="AK663" t="n">
        <v>8</v>
      </c>
      <c r="AL663" t="n">
        <v>2</v>
      </c>
      <c r="AM663" t="n">
        <v>2</v>
      </c>
      <c r="AN663" t="n">
        <v>1</v>
      </c>
      <c r="AO663" t="n">
        <v>1</v>
      </c>
      <c r="AP663" t="inlineStr">
        <is>
          <t>No</t>
        </is>
      </c>
      <c r="AQ663" t="inlineStr">
        <is>
          <t>Yes</t>
        </is>
      </c>
      <c r="AR663">
        <f>HYPERLINK("http://catalog.hathitrust.org/Record/001564508","HathiTrust Record")</f>
        <v/>
      </c>
      <c r="AS663">
        <f>HYPERLINK("https://creighton-primo.hosted.exlibrisgroup.com/primo-explore/search?tab=default_tab&amp;search_scope=EVERYTHING&amp;vid=01CRU&amp;lang=en_US&amp;offset=0&amp;query=any,contains,991002342119702656","Catalog Record")</f>
        <v/>
      </c>
      <c r="AT663">
        <f>HYPERLINK("http://www.worldcat.org/oclc/323721","WorldCat Record")</f>
        <v/>
      </c>
      <c r="AU663" t="inlineStr">
        <is>
          <t>1407861:eng</t>
        </is>
      </c>
      <c r="AV663" t="inlineStr">
        <is>
          <t>323721</t>
        </is>
      </c>
      <c r="AW663" t="inlineStr">
        <is>
          <t>991002342119702656</t>
        </is>
      </c>
      <c r="AX663" t="inlineStr">
        <is>
          <t>991002342119702656</t>
        </is>
      </c>
      <c r="AY663" t="inlineStr">
        <is>
          <t>2256531260002656</t>
        </is>
      </c>
      <c r="AZ663" t="inlineStr">
        <is>
          <t>BOOK</t>
        </is>
      </c>
      <c r="BB663" t="inlineStr">
        <is>
          <t>9780826112804</t>
        </is>
      </c>
      <c r="BC663" t="inlineStr">
        <is>
          <t>32285003091252</t>
        </is>
      </c>
      <c r="BD663" t="inlineStr">
        <is>
          <t>893341319</t>
        </is>
      </c>
    </row>
    <row r="664">
      <c r="A664" t="inlineStr">
        <is>
          <t>No</t>
        </is>
      </c>
      <c r="B664" t="inlineStr">
        <is>
          <t>RC480.5 .B76</t>
        </is>
      </c>
      <c r="C664" t="inlineStr">
        <is>
          <t>0                      RC 0480500B  76</t>
        </is>
      </c>
      <c r="D664" t="inlineStr">
        <is>
          <t>Introduction to psychotherapy : an outline of psychodynamic principles and practice / Dennis Brown and Jonathan Pedder.</t>
        </is>
      </c>
      <c r="F664" t="inlineStr">
        <is>
          <t>No</t>
        </is>
      </c>
      <c r="G664" t="inlineStr">
        <is>
          <t>1</t>
        </is>
      </c>
      <c r="H664" t="inlineStr">
        <is>
          <t>No</t>
        </is>
      </c>
      <c r="I664" t="inlineStr">
        <is>
          <t>No</t>
        </is>
      </c>
      <c r="J664" t="inlineStr">
        <is>
          <t>0</t>
        </is>
      </c>
      <c r="K664" t="inlineStr">
        <is>
          <t>Brown, Dennis.</t>
        </is>
      </c>
      <c r="L664" t="inlineStr">
        <is>
          <t>London : Tavistock Publications, 1979.</t>
        </is>
      </c>
      <c r="M664" t="inlineStr">
        <is>
          <t>1979</t>
        </is>
      </c>
      <c r="O664" t="inlineStr">
        <is>
          <t>eng</t>
        </is>
      </c>
      <c r="P664" t="inlineStr">
        <is>
          <t xml:space="preserve">xx </t>
        </is>
      </c>
      <c r="R664" t="inlineStr">
        <is>
          <t xml:space="preserve">RC </t>
        </is>
      </c>
      <c r="S664" t="n">
        <v>2</v>
      </c>
      <c r="T664" t="n">
        <v>2</v>
      </c>
      <c r="U664" t="inlineStr">
        <is>
          <t>1993-11-04</t>
        </is>
      </c>
      <c r="V664" t="inlineStr">
        <is>
          <t>1993-11-04</t>
        </is>
      </c>
      <c r="W664" t="inlineStr">
        <is>
          <t>1993-03-23</t>
        </is>
      </c>
      <c r="X664" t="inlineStr">
        <is>
          <t>1993-03-23</t>
        </is>
      </c>
      <c r="Y664" t="n">
        <v>202</v>
      </c>
      <c r="Z664" t="n">
        <v>100</v>
      </c>
      <c r="AA664" t="n">
        <v>606</v>
      </c>
      <c r="AB664" t="n">
        <v>1</v>
      </c>
      <c r="AC664" t="n">
        <v>6</v>
      </c>
      <c r="AD664" t="n">
        <v>4</v>
      </c>
      <c r="AE664" t="n">
        <v>28</v>
      </c>
      <c r="AF664" t="n">
        <v>1</v>
      </c>
      <c r="AG664" t="n">
        <v>10</v>
      </c>
      <c r="AH664" t="n">
        <v>3</v>
      </c>
      <c r="AI664" t="n">
        <v>7</v>
      </c>
      <c r="AJ664" t="n">
        <v>2</v>
      </c>
      <c r="AK664" t="n">
        <v>11</v>
      </c>
      <c r="AL664" t="n">
        <v>0</v>
      </c>
      <c r="AM664" t="n">
        <v>5</v>
      </c>
      <c r="AN664" t="n">
        <v>0</v>
      </c>
      <c r="AO664" t="n">
        <v>1</v>
      </c>
      <c r="AP664" t="inlineStr">
        <is>
          <t>No</t>
        </is>
      </c>
      <c r="AQ664" t="inlineStr">
        <is>
          <t>Yes</t>
        </is>
      </c>
      <c r="AR664">
        <f>HYPERLINK("http://catalog.hathitrust.org/Record/000094974","HathiTrust Record")</f>
        <v/>
      </c>
      <c r="AS664">
        <f>HYPERLINK("https://creighton-primo.hosted.exlibrisgroup.com/primo-explore/search?tab=default_tab&amp;search_scope=EVERYTHING&amp;vid=01CRU&amp;lang=en_US&amp;offset=0&amp;query=any,contains,991004897969702656","Catalog Record")</f>
        <v/>
      </c>
      <c r="AT664">
        <f>HYPERLINK("http://www.worldcat.org/oclc/5900901","WorldCat Record")</f>
        <v/>
      </c>
      <c r="AU664" t="inlineStr">
        <is>
          <t>20347359:eng</t>
        </is>
      </c>
      <c r="AV664" t="inlineStr">
        <is>
          <t>5900901</t>
        </is>
      </c>
      <c r="AW664" t="inlineStr">
        <is>
          <t>991004897969702656</t>
        </is>
      </c>
      <c r="AX664" t="inlineStr">
        <is>
          <t>991004897969702656</t>
        </is>
      </c>
      <c r="AY664" t="inlineStr">
        <is>
          <t>2255205540002656</t>
        </is>
      </c>
      <c r="AZ664" t="inlineStr">
        <is>
          <t>BOOK</t>
        </is>
      </c>
      <c r="BB664" t="inlineStr">
        <is>
          <t>9780422766708</t>
        </is>
      </c>
      <c r="BC664" t="inlineStr">
        <is>
          <t>32285001606366</t>
        </is>
      </c>
      <c r="BD664" t="inlineStr">
        <is>
          <t>893513781</t>
        </is>
      </c>
    </row>
    <row r="665">
      <c r="A665" t="inlineStr">
        <is>
          <t>No</t>
        </is>
      </c>
      <c r="B665" t="inlineStr">
        <is>
          <t>RC480.5 .B764</t>
        </is>
      </c>
      <c r="C665" t="inlineStr">
        <is>
          <t>0                      RC 0480500B  764</t>
        </is>
      </c>
      <c r="D665" t="inlineStr">
        <is>
          <t>Learning psychotherapy : rationale and ground rules / Hilde Bruch.</t>
        </is>
      </c>
      <c r="F665" t="inlineStr">
        <is>
          <t>No</t>
        </is>
      </c>
      <c r="G665" t="inlineStr">
        <is>
          <t>1</t>
        </is>
      </c>
      <c r="H665" t="inlineStr">
        <is>
          <t>No</t>
        </is>
      </c>
      <c r="I665" t="inlineStr">
        <is>
          <t>No</t>
        </is>
      </c>
      <c r="J665" t="inlineStr">
        <is>
          <t>0</t>
        </is>
      </c>
      <c r="K665" t="inlineStr">
        <is>
          <t>Bruch, Hilde, 1904-1984.</t>
        </is>
      </c>
      <c r="L665" t="inlineStr">
        <is>
          <t>Cambridge : Harvard University Press, 1974.</t>
        </is>
      </c>
      <c r="M665" t="inlineStr">
        <is>
          <t>1974</t>
        </is>
      </c>
      <c r="O665" t="inlineStr">
        <is>
          <t>eng</t>
        </is>
      </c>
      <c r="P665" t="inlineStr">
        <is>
          <t>mau</t>
        </is>
      </c>
      <c r="R665" t="inlineStr">
        <is>
          <t xml:space="preserve">RC </t>
        </is>
      </c>
      <c r="S665" t="n">
        <v>1</v>
      </c>
      <c r="T665" t="n">
        <v>1</v>
      </c>
      <c r="U665" t="inlineStr">
        <is>
          <t>2010-04-03</t>
        </is>
      </c>
      <c r="V665" t="inlineStr">
        <is>
          <t>2010-04-03</t>
        </is>
      </c>
      <c r="W665" t="inlineStr">
        <is>
          <t>2000-02-02</t>
        </is>
      </c>
      <c r="X665" t="inlineStr">
        <is>
          <t>2000-02-02</t>
        </is>
      </c>
      <c r="Y665" t="n">
        <v>682</v>
      </c>
      <c r="Z665" t="n">
        <v>581</v>
      </c>
      <c r="AA665" t="n">
        <v>590</v>
      </c>
      <c r="AB665" t="n">
        <v>3</v>
      </c>
      <c r="AC665" t="n">
        <v>3</v>
      </c>
      <c r="AD665" t="n">
        <v>22</v>
      </c>
      <c r="AE665" t="n">
        <v>22</v>
      </c>
      <c r="AF665" t="n">
        <v>6</v>
      </c>
      <c r="AG665" t="n">
        <v>6</v>
      </c>
      <c r="AH665" t="n">
        <v>6</v>
      </c>
      <c r="AI665" t="n">
        <v>6</v>
      </c>
      <c r="AJ665" t="n">
        <v>13</v>
      </c>
      <c r="AK665" t="n">
        <v>13</v>
      </c>
      <c r="AL665" t="n">
        <v>2</v>
      </c>
      <c r="AM665" t="n">
        <v>2</v>
      </c>
      <c r="AN665" t="n">
        <v>1</v>
      </c>
      <c r="AO665" t="n">
        <v>1</v>
      </c>
      <c r="AP665" t="inlineStr">
        <is>
          <t>No</t>
        </is>
      </c>
      <c r="AQ665" t="inlineStr">
        <is>
          <t>Yes</t>
        </is>
      </c>
      <c r="AR665">
        <f>HYPERLINK("http://catalog.hathitrust.org/Record/000023697","HathiTrust Record")</f>
        <v/>
      </c>
      <c r="AS665">
        <f>HYPERLINK("https://creighton-primo.hosted.exlibrisgroup.com/primo-explore/search?tab=default_tab&amp;search_scope=EVERYTHING&amp;vid=01CRU&amp;lang=en_US&amp;offset=0&amp;query=any,contains,991005245599702656","Catalog Record")</f>
        <v/>
      </c>
      <c r="AT665">
        <f>HYPERLINK("http://www.worldcat.org/oclc/1239862","WorldCat Record")</f>
        <v/>
      </c>
      <c r="AU665" t="inlineStr">
        <is>
          <t>308873741:eng</t>
        </is>
      </c>
      <c r="AV665" t="inlineStr">
        <is>
          <t>1239862</t>
        </is>
      </c>
      <c r="AW665" t="inlineStr">
        <is>
          <t>991005245599702656</t>
        </is>
      </c>
      <c r="AX665" t="inlineStr">
        <is>
          <t>991005245599702656</t>
        </is>
      </c>
      <c r="AY665" t="inlineStr">
        <is>
          <t>2266326450002656</t>
        </is>
      </c>
      <c r="AZ665" t="inlineStr">
        <is>
          <t>BOOK</t>
        </is>
      </c>
      <c r="BB665" t="inlineStr">
        <is>
          <t>9780674520257</t>
        </is>
      </c>
      <c r="BC665" t="inlineStr">
        <is>
          <t>32285003658480</t>
        </is>
      </c>
      <c r="BD665" t="inlineStr">
        <is>
          <t>893688828</t>
        </is>
      </c>
    </row>
    <row r="666">
      <c r="A666" t="inlineStr">
        <is>
          <t>No</t>
        </is>
      </c>
      <c r="B666" t="inlineStr">
        <is>
          <t>RC480.5 .B78</t>
        </is>
      </c>
      <c r="C666" t="inlineStr">
        <is>
          <t>0                      RC 0480500B  78</t>
        </is>
      </c>
      <c r="D666" t="inlineStr">
        <is>
          <t>The search for authenticity; an existential-analytic approach to psychotherapy [by] J. F. T. Bugental.</t>
        </is>
      </c>
      <c r="F666" t="inlineStr">
        <is>
          <t>No</t>
        </is>
      </c>
      <c r="G666" t="inlineStr">
        <is>
          <t>1</t>
        </is>
      </c>
      <c r="H666" t="inlineStr">
        <is>
          <t>No</t>
        </is>
      </c>
      <c r="I666" t="inlineStr">
        <is>
          <t>No</t>
        </is>
      </c>
      <c r="J666" t="inlineStr">
        <is>
          <t>0</t>
        </is>
      </c>
      <c r="K666" t="inlineStr">
        <is>
          <t>Bugental, James F. T.</t>
        </is>
      </c>
      <c r="L666" t="inlineStr">
        <is>
          <t>New York, Holt, Rinehart and Winston [1965]</t>
        </is>
      </c>
      <c r="M666" t="inlineStr">
        <is>
          <t>1965</t>
        </is>
      </c>
      <c r="O666" t="inlineStr">
        <is>
          <t>eng</t>
        </is>
      </c>
      <c r="P666" t="inlineStr">
        <is>
          <t>nyu</t>
        </is>
      </c>
      <c r="R666" t="inlineStr">
        <is>
          <t xml:space="preserve">RC </t>
        </is>
      </c>
      <c r="S666" t="n">
        <v>4</v>
      </c>
      <c r="T666" t="n">
        <v>4</v>
      </c>
      <c r="U666" t="inlineStr">
        <is>
          <t>2006-04-05</t>
        </is>
      </c>
      <c r="V666" t="inlineStr">
        <is>
          <t>2006-04-05</t>
        </is>
      </c>
      <c r="W666" t="inlineStr">
        <is>
          <t>1997-08-11</t>
        </is>
      </c>
      <c r="X666" t="inlineStr">
        <is>
          <t>1997-08-11</t>
        </is>
      </c>
      <c r="Y666" t="n">
        <v>630</v>
      </c>
      <c r="Z666" t="n">
        <v>533</v>
      </c>
      <c r="AA666" t="n">
        <v>586</v>
      </c>
      <c r="AB666" t="n">
        <v>2</v>
      </c>
      <c r="AC666" t="n">
        <v>2</v>
      </c>
      <c r="AD666" t="n">
        <v>25</v>
      </c>
      <c r="AE666" t="n">
        <v>30</v>
      </c>
      <c r="AF666" t="n">
        <v>11</v>
      </c>
      <c r="AG666" t="n">
        <v>13</v>
      </c>
      <c r="AH666" t="n">
        <v>6</v>
      </c>
      <c r="AI666" t="n">
        <v>8</v>
      </c>
      <c r="AJ666" t="n">
        <v>15</v>
      </c>
      <c r="AK666" t="n">
        <v>17</v>
      </c>
      <c r="AL666" t="n">
        <v>1</v>
      </c>
      <c r="AM666" t="n">
        <v>1</v>
      </c>
      <c r="AN666" t="n">
        <v>0</v>
      </c>
      <c r="AO666" t="n">
        <v>0</v>
      </c>
      <c r="AP666" t="inlineStr">
        <is>
          <t>No</t>
        </is>
      </c>
      <c r="AQ666" t="inlineStr">
        <is>
          <t>Yes</t>
        </is>
      </c>
      <c r="AR666">
        <f>HYPERLINK("http://catalog.hathitrust.org/Record/001564511","HathiTrust Record")</f>
        <v/>
      </c>
      <c r="AS666">
        <f>HYPERLINK("https://creighton-primo.hosted.exlibrisgroup.com/primo-explore/search?tab=default_tab&amp;search_scope=EVERYTHING&amp;vid=01CRU&amp;lang=en_US&amp;offset=0&amp;query=any,contains,991003429949702656","Catalog Record")</f>
        <v/>
      </c>
      <c r="AT666">
        <f>HYPERLINK("http://www.worldcat.org/oclc/965351","WorldCat Record")</f>
        <v/>
      </c>
      <c r="AU666" t="inlineStr">
        <is>
          <t>1919498:eng</t>
        </is>
      </c>
      <c r="AV666" t="inlineStr">
        <is>
          <t>965351</t>
        </is>
      </c>
      <c r="AW666" t="inlineStr">
        <is>
          <t>991003429949702656</t>
        </is>
      </c>
      <c r="AX666" t="inlineStr">
        <is>
          <t>991003429949702656</t>
        </is>
      </c>
      <c r="AY666" t="inlineStr">
        <is>
          <t>2258329650002656</t>
        </is>
      </c>
      <c r="AZ666" t="inlineStr">
        <is>
          <t>BOOK</t>
        </is>
      </c>
      <c r="BC666" t="inlineStr">
        <is>
          <t>32285003091278</t>
        </is>
      </c>
      <c r="BD666" t="inlineStr">
        <is>
          <t>893887451</t>
        </is>
      </c>
    </row>
    <row r="667">
      <c r="A667" t="inlineStr">
        <is>
          <t>No</t>
        </is>
      </c>
      <c r="B667" t="inlineStr">
        <is>
          <t>RC480.5 .C455</t>
        </is>
      </c>
      <c r="C667" t="inlineStr">
        <is>
          <t>0                      RC 0480500C  455</t>
        </is>
      </c>
      <c r="D667" t="inlineStr">
        <is>
          <t>Assertive black, puzzled white / by Donald K. Cheek ; foreword by Kenneth Clark.</t>
        </is>
      </c>
      <c r="F667" t="inlineStr">
        <is>
          <t>No</t>
        </is>
      </c>
      <c r="G667" t="inlineStr">
        <is>
          <t>1</t>
        </is>
      </c>
      <c r="H667" t="inlineStr">
        <is>
          <t>No</t>
        </is>
      </c>
      <c r="I667" t="inlineStr">
        <is>
          <t>No</t>
        </is>
      </c>
      <c r="J667" t="inlineStr">
        <is>
          <t>0</t>
        </is>
      </c>
      <c r="K667" t="inlineStr">
        <is>
          <t>Cheek, Donald K.</t>
        </is>
      </c>
      <c r="L667" t="inlineStr">
        <is>
          <t>San Luis Obispo, Calif. : Impact Publishers, c1976.</t>
        </is>
      </c>
      <c r="M667" t="inlineStr">
        <is>
          <t>1976</t>
        </is>
      </c>
      <c r="N667" t="inlineStr">
        <is>
          <t>1st ed.</t>
        </is>
      </c>
      <c r="O667" t="inlineStr">
        <is>
          <t>eng</t>
        </is>
      </c>
      <c r="P667" t="inlineStr">
        <is>
          <t>cau</t>
        </is>
      </c>
      <c r="R667" t="inlineStr">
        <is>
          <t xml:space="preserve">RC </t>
        </is>
      </c>
      <c r="S667" t="n">
        <v>3</v>
      </c>
      <c r="T667" t="n">
        <v>3</v>
      </c>
      <c r="U667" t="inlineStr">
        <is>
          <t>1996-11-13</t>
        </is>
      </c>
      <c r="V667" t="inlineStr">
        <is>
          <t>1996-11-13</t>
        </is>
      </c>
      <c r="W667" t="inlineStr">
        <is>
          <t>1992-12-04</t>
        </is>
      </c>
      <c r="X667" t="inlineStr">
        <is>
          <t>1992-12-04</t>
        </is>
      </c>
      <c r="Y667" t="n">
        <v>283</v>
      </c>
      <c r="Z667" t="n">
        <v>274</v>
      </c>
      <c r="AA667" t="n">
        <v>293</v>
      </c>
      <c r="AB667" t="n">
        <v>4</v>
      </c>
      <c r="AC667" t="n">
        <v>4</v>
      </c>
      <c r="AD667" t="n">
        <v>9</v>
      </c>
      <c r="AE667" t="n">
        <v>11</v>
      </c>
      <c r="AF667" t="n">
        <v>2</v>
      </c>
      <c r="AG667" t="n">
        <v>3</v>
      </c>
      <c r="AH667" t="n">
        <v>3</v>
      </c>
      <c r="AI667" t="n">
        <v>4</v>
      </c>
      <c r="AJ667" t="n">
        <v>4</v>
      </c>
      <c r="AK667" t="n">
        <v>4</v>
      </c>
      <c r="AL667" t="n">
        <v>3</v>
      </c>
      <c r="AM667" t="n">
        <v>3</v>
      </c>
      <c r="AN667" t="n">
        <v>0</v>
      </c>
      <c r="AO667" t="n">
        <v>0</v>
      </c>
      <c r="AP667" t="inlineStr">
        <is>
          <t>No</t>
        </is>
      </c>
      <c r="AQ667" t="inlineStr">
        <is>
          <t>Yes</t>
        </is>
      </c>
      <c r="AR667">
        <f>HYPERLINK("http://catalog.hathitrust.org/Record/000210975","HathiTrust Record")</f>
        <v/>
      </c>
      <c r="AS667">
        <f>HYPERLINK("https://creighton-primo.hosted.exlibrisgroup.com/primo-explore/search?tab=default_tab&amp;search_scope=EVERYTHING&amp;vid=01CRU&amp;lang=en_US&amp;offset=0&amp;query=any,contains,991004256539702656","Catalog Record")</f>
        <v/>
      </c>
      <c r="AT667">
        <f>HYPERLINK("http://www.worldcat.org/oclc/2827250","WorldCat Record")</f>
        <v/>
      </c>
      <c r="AU667" t="inlineStr">
        <is>
          <t>559783:eng</t>
        </is>
      </c>
      <c r="AV667" t="inlineStr">
        <is>
          <t>2827250</t>
        </is>
      </c>
      <c r="AW667" t="inlineStr">
        <is>
          <t>991004256539702656</t>
        </is>
      </c>
      <c r="AX667" t="inlineStr">
        <is>
          <t>991004256539702656</t>
        </is>
      </c>
      <c r="AY667" t="inlineStr">
        <is>
          <t>2256618060002656</t>
        </is>
      </c>
      <c r="AZ667" t="inlineStr">
        <is>
          <t>BOOK</t>
        </is>
      </c>
      <c r="BB667" t="inlineStr">
        <is>
          <t>9780915166329</t>
        </is>
      </c>
      <c r="BC667" t="inlineStr">
        <is>
          <t>32285001412625</t>
        </is>
      </c>
      <c r="BD667" t="inlineStr">
        <is>
          <t>893325131</t>
        </is>
      </c>
    </row>
    <row r="668">
      <c r="A668" t="inlineStr">
        <is>
          <t>No</t>
        </is>
      </c>
      <c r="B668" t="inlineStr">
        <is>
          <t>RC480.5 .C67</t>
        </is>
      </c>
      <c r="C668" t="inlineStr">
        <is>
          <t>0                      RC 0480500C  67</t>
        </is>
      </c>
      <c r="D668" t="inlineStr">
        <is>
          <t>Crisis intervention and counseling by telephone, edited by David Lester and Gene W. Brockopp.</t>
        </is>
      </c>
      <c r="F668" t="inlineStr">
        <is>
          <t>No</t>
        </is>
      </c>
      <c r="G668" t="inlineStr">
        <is>
          <t>1</t>
        </is>
      </c>
      <c r="H668" t="inlineStr">
        <is>
          <t>No</t>
        </is>
      </c>
      <c r="I668" t="inlineStr">
        <is>
          <t>No</t>
        </is>
      </c>
      <c r="J668" t="inlineStr">
        <is>
          <t>0</t>
        </is>
      </c>
      <c r="L668" t="inlineStr">
        <is>
          <t>Springfield, Ill., Thomas [1973]</t>
        </is>
      </c>
      <c r="M668" t="inlineStr">
        <is>
          <t>1973</t>
        </is>
      </c>
      <c r="O668" t="inlineStr">
        <is>
          <t>eng</t>
        </is>
      </c>
      <c r="P668" t="inlineStr">
        <is>
          <t>ilu</t>
        </is>
      </c>
      <c r="R668" t="inlineStr">
        <is>
          <t xml:space="preserve">RC </t>
        </is>
      </c>
      <c r="S668" t="n">
        <v>1</v>
      </c>
      <c r="T668" t="n">
        <v>1</v>
      </c>
      <c r="U668" t="inlineStr">
        <is>
          <t>2000-12-13</t>
        </is>
      </c>
      <c r="V668" t="inlineStr">
        <is>
          <t>2000-12-13</t>
        </is>
      </c>
      <c r="W668" t="inlineStr">
        <is>
          <t>1997-08-11</t>
        </is>
      </c>
      <c r="X668" t="inlineStr">
        <is>
          <t>1997-08-11</t>
        </is>
      </c>
      <c r="Y668" t="n">
        <v>435</v>
      </c>
      <c r="Z668" t="n">
        <v>359</v>
      </c>
      <c r="AA668" t="n">
        <v>412</v>
      </c>
      <c r="AB668" t="n">
        <v>4</v>
      </c>
      <c r="AC668" t="n">
        <v>5</v>
      </c>
      <c r="AD668" t="n">
        <v>17</v>
      </c>
      <c r="AE668" t="n">
        <v>19</v>
      </c>
      <c r="AF668" t="n">
        <v>6</v>
      </c>
      <c r="AG668" t="n">
        <v>6</v>
      </c>
      <c r="AH668" t="n">
        <v>3</v>
      </c>
      <c r="AI668" t="n">
        <v>3</v>
      </c>
      <c r="AJ668" t="n">
        <v>9</v>
      </c>
      <c r="AK668" t="n">
        <v>10</v>
      </c>
      <c r="AL668" t="n">
        <v>3</v>
      </c>
      <c r="AM668" t="n">
        <v>4</v>
      </c>
      <c r="AN668" t="n">
        <v>1</v>
      </c>
      <c r="AO668" t="n">
        <v>1</v>
      </c>
      <c r="AP668" t="inlineStr">
        <is>
          <t>No</t>
        </is>
      </c>
      <c r="AQ668" t="inlineStr">
        <is>
          <t>Yes</t>
        </is>
      </c>
      <c r="AR668">
        <f>HYPERLINK("http://catalog.hathitrust.org/Record/001564517","HathiTrust Record")</f>
        <v/>
      </c>
      <c r="AS668">
        <f>HYPERLINK("https://creighton-primo.hosted.exlibrisgroup.com/primo-explore/search?tab=default_tab&amp;search_scope=EVERYTHING&amp;vid=01CRU&amp;lang=en_US&amp;offset=0&amp;query=any,contains,991003197949702656","Catalog Record")</f>
        <v/>
      </c>
      <c r="AT668">
        <f>HYPERLINK("http://www.worldcat.org/oclc/722849","WorldCat Record")</f>
        <v/>
      </c>
      <c r="AU668" t="inlineStr">
        <is>
          <t>471373:eng</t>
        </is>
      </c>
      <c r="AV668" t="inlineStr">
        <is>
          <t>722849</t>
        </is>
      </c>
      <c r="AW668" t="inlineStr">
        <is>
          <t>991003197949702656</t>
        </is>
      </c>
      <c r="AX668" t="inlineStr">
        <is>
          <t>991003197949702656</t>
        </is>
      </c>
      <c r="AY668" t="inlineStr">
        <is>
          <t>2256841410002656</t>
        </is>
      </c>
      <c r="AZ668" t="inlineStr">
        <is>
          <t>BOOK</t>
        </is>
      </c>
      <c r="BB668" t="inlineStr">
        <is>
          <t>9780398026417</t>
        </is>
      </c>
      <c r="BC668" t="inlineStr">
        <is>
          <t>32285003091294</t>
        </is>
      </c>
      <c r="BD668" t="inlineStr">
        <is>
          <t>893511665</t>
        </is>
      </c>
    </row>
    <row r="669">
      <c r="A669" t="inlineStr">
        <is>
          <t>No</t>
        </is>
      </c>
      <c r="B669" t="inlineStr">
        <is>
          <t>RC480.5 .D38 1994</t>
        </is>
      </c>
      <c r="C669" t="inlineStr">
        <is>
          <t>0                      RC 0480500D  38          1994</t>
        </is>
      </c>
      <c r="D669" t="inlineStr">
        <is>
          <t>House of cards : psychology and psychotherapy built on myth / Robyn M. Dawes.</t>
        </is>
      </c>
      <c r="F669" t="inlineStr">
        <is>
          <t>No</t>
        </is>
      </c>
      <c r="G669" t="inlineStr">
        <is>
          <t>1</t>
        </is>
      </c>
      <c r="H669" t="inlineStr">
        <is>
          <t>No</t>
        </is>
      </c>
      <c r="I669" t="inlineStr">
        <is>
          <t>No</t>
        </is>
      </c>
      <c r="J669" t="inlineStr">
        <is>
          <t>0</t>
        </is>
      </c>
      <c r="K669" t="inlineStr">
        <is>
          <t>Dawes, Robyn M., 1936-2010.</t>
        </is>
      </c>
      <c r="L669" t="inlineStr">
        <is>
          <t>New York : Free Press ; Toronto : Maxwell Macmillan Canada ; New York : Maxwell Macmillan International, c1994.</t>
        </is>
      </c>
      <c r="M669" t="inlineStr">
        <is>
          <t>1994</t>
        </is>
      </c>
      <c r="O669" t="inlineStr">
        <is>
          <t>eng</t>
        </is>
      </c>
      <c r="P669" t="inlineStr">
        <is>
          <t>nyu</t>
        </is>
      </c>
      <c r="R669" t="inlineStr">
        <is>
          <t xml:space="preserve">RC </t>
        </is>
      </c>
      <c r="S669" t="n">
        <v>6</v>
      </c>
      <c r="T669" t="n">
        <v>6</v>
      </c>
      <c r="U669" t="inlineStr">
        <is>
          <t>1999-01-13</t>
        </is>
      </c>
      <c r="V669" t="inlineStr">
        <is>
          <t>1999-01-13</t>
        </is>
      </c>
      <c r="W669" t="inlineStr">
        <is>
          <t>1995-04-24</t>
        </is>
      </c>
      <c r="X669" t="inlineStr">
        <is>
          <t>1995-04-24</t>
        </is>
      </c>
      <c r="Y669" t="n">
        <v>984</v>
      </c>
      <c r="Z669" t="n">
        <v>867</v>
      </c>
      <c r="AA669" t="n">
        <v>966</v>
      </c>
      <c r="AB669" t="n">
        <v>6</v>
      </c>
      <c r="AC669" t="n">
        <v>7</v>
      </c>
      <c r="AD669" t="n">
        <v>33</v>
      </c>
      <c r="AE669" t="n">
        <v>36</v>
      </c>
      <c r="AF669" t="n">
        <v>12</v>
      </c>
      <c r="AG669" t="n">
        <v>14</v>
      </c>
      <c r="AH669" t="n">
        <v>7</v>
      </c>
      <c r="AI669" t="n">
        <v>7</v>
      </c>
      <c r="AJ669" t="n">
        <v>17</v>
      </c>
      <c r="AK669" t="n">
        <v>17</v>
      </c>
      <c r="AL669" t="n">
        <v>5</v>
      </c>
      <c r="AM669" t="n">
        <v>6</v>
      </c>
      <c r="AN669" t="n">
        <v>1</v>
      </c>
      <c r="AO669" t="n">
        <v>1</v>
      </c>
      <c r="AP669" t="inlineStr">
        <is>
          <t>No</t>
        </is>
      </c>
      <c r="AQ669" t="inlineStr">
        <is>
          <t>Yes</t>
        </is>
      </c>
      <c r="AR669">
        <f>HYPERLINK("http://catalog.hathitrust.org/Record/002806367","HathiTrust Record")</f>
        <v/>
      </c>
      <c r="AS669">
        <f>HYPERLINK("https://creighton-primo.hosted.exlibrisgroup.com/primo-explore/search?tab=default_tab&amp;search_scope=EVERYTHING&amp;vid=01CRU&amp;lang=en_US&amp;offset=0&amp;query=any,contains,991002225859702656","Catalog Record")</f>
        <v/>
      </c>
      <c r="AT669">
        <f>HYPERLINK("http://www.worldcat.org/oclc/28675086","WorldCat Record")</f>
        <v/>
      </c>
      <c r="AU669" t="inlineStr">
        <is>
          <t>836924838:eng</t>
        </is>
      </c>
      <c r="AV669" t="inlineStr">
        <is>
          <t>28675086</t>
        </is>
      </c>
      <c r="AW669" t="inlineStr">
        <is>
          <t>991002225859702656</t>
        </is>
      </c>
      <c r="AX669" t="inlineStr">
        <is>
          <t>991002225859702656</t>
        </is>
      </c>
      <c r="AY669" t="inlineStr">
        <is>
          <t>2271124660002656</t>
        </is>
      </c>
      <c r="AZ669" t="inlineStr">
        <is>
          <t>BOOK</t>
        </is>
      </c>
      <c r="BB669" t="inlineStr">
        <is>
          <t>9780029072059</t>
        </is>
      </c>
      <c r="BC669" t="inlineStr">
        <is>
          <t>32285002035334</t>
        </is>
      </c>
      <c r="BD669" t="inlineStr">
        <is>
          <t>893341181</t>
        </is>
      </c>
    </row>
    <row r="670">
      <c r="A670" t="inlineStr">
        <is>
          <t>No</t>
        </is>
      </c>
      <c r="B670" t="inlineStr">
        <is>
          <t>RC480.5 .D58 1984</t>
        </is>
      </c>
      <c r="C670" t="inlineStr">
        <is>
          <t>0                      RC 0480500D  58          1984</t>
        </is>
      </c>
      <c r="D670" t="inlineStr">
        <is>
          <t>Does psychotherapy really help people? / edited by Jusuf Hariman.</t>
        </is>
      </c>
      <c r="F670" t="inlineStr">
        <is>
          <t>No</t>
        </is>
      </c>
      <c r="G670" t="inlineStr">
        <is>
          <t>1</t>
        </is>
      </c>
      <c r="H670" t="inlineStr">
        <is>
          <t>No</t>
        </is>
      </c>
      <c r="I670" t="inlineStr">
        <is>
          <t>No</t>
        </is>
      </c>
      <c r="J670" t="inlineStr">
        <is>
          <t>0</t>
        </is>
      </c>
      <c r="L670" t="inlineStr">
        <is>
          <t>Springfield, Ill. : C.C. Thomas, c1984.</t>
        </is>
      </c>
      <c r="M670" t="inlineStr">
        <is>
          <t>1984</t>
        </is>
      </c>
      <c r="O670" t="inlineStr">
        <is>
          <t>eng</t>
        </is>
      </c>
      <c r="P670" t="inlineStr">
        <is>
          <t>ilu</t>
        </is>
      </c>
      <c r="R670" t="inlineStr">
        <is>
          <t xml:space="preserve">RC </t>
        </is>
      </c>
      <c r="S670" t="n">
        <v>7</v>
      </c>
      <c r="T670" t="n">
        <v>7</v>
      </c>
      <c r="U670" t="inlineStr">
        <is>
          <t>2004-02-26</t>
        </is>
      </c>
      <c r="V670" t="inlineStr">
        <is>
          <t>2004-02-26</t>
        </is>
      </c>
      <c r="W670" t="inlineStr">
        <is>
          <t>1993-03-23</t>
        </is>
      </c>
      <c r="X670" t="inlineStr">
        <is>
          <t>1993-03-23</t>
        </is>
      </c>
      <c r="Y670" t="n">
        <v>128</v>
      </c>
      <c r="Z670" t="n">
        <v>108</v>
      </c>
      <c r="AA670" t="n">
        <v>110</v>
      </c>
      <c r="AB670" t="n">
        <v>3</v>
      </c>
      <c r="AC670" t="n">
        <v>3</v>
      </c>
      <c r="AD670" t="n">
        <v>6</v>
      </c>
      <c r="AE670" t="n">
        <v>6</v>
      </c>
      <c r="AF670" t="n">
        <v>0</v>
      </c>
      <c r="AG670" t="n">
        <v>0</v>
      </c>
      <c r="AH670" t="n">
        <v>1</v>
      </c>
      <c r="AI670" t="n">
        <v>1</v>
      </c>
      <c r="AJ670" t="n">
        <v>4</v>
      </c>
      <c r="AK670" t="n">
        <v>4</v>
      </c>
      <c r="AL670" t="n">
        <v>2</v>
      </c>
      <c r="AM670" t="n">
        <v>2</v>
      </c>
      <c r="AN670" t="n">
        <v>0</v>
      </c>
      <c r="AO670" t="n">
        <v>0</v>
      </c>
      <c r="AP670" t="inlineStr">
        <is>
          <t>No</t>
        </is>
      </c>
      <c r="AQ670" t="inlineStr">
        <is>
          <t>Yes</t>
        </is>
      </c>
      <c r="AR670">
        <f>HYPERLINK("http://catalog.hathitrust.org/Record/000461447","HathiTrust Record")</f>
        <v/>
      </c>
      <c r="AS670">
        <f>HYPERLINK("https://creighton-primo.hosted.exlibrisgroup.com/primo-explore/search?tab=default_tab&amp;search_scope=EVERYTHING&amp;vid=01CRU&amp;lang=en_US&amp;offset=0&amp;query=any,contains,991000372189702656","Catalog Record")</f>
        <v/>
      </c>
      <c r="AT670">
        <f>HYPERLINK("http://www.worldcat.org/oclc/10432474","WorldCat Record")</f>
        <v/>
      </c>
      <c r="AU670" t="inlineStr">
        <is>
          <t>3464473:eng</t>
        </is>
      </c>
      <c r="AV670" t="inlineStr">
        <is>
          <t>10432474</t>
        </is>
      </c>
      <c r="AW670" t="inlineStr">
        <is>
          <t>991000372189702656</t>
        </is>
      </c>
      <c r="AX670" t="inlineStr">
        <is>
          <t>991000372189702656</t>
        </is>
      </c>
      <c r="AY670" t="inlineStr">
        <is>
          <t>2262813480002656</t>
        </is>
      </c>
      <c r="AZ670" t="inlineStr">
        <is>
          <t>BOOK</t>
        </is>
      </c>
      <c r="BB670" t="inlineStr">
        <is>
          <t>9780398050023</t>
        </is>
      </c>
      <c r="BC670" t="inlineStr">
        <is>
          <t>32285001606374</t>
        </is>
      </c>
      <c r="BD670" t="inlineStr">
        <is>
          <t>893689640</t>
        </is>
      </c>
    </row>
    <row r="671">
      <c r="A671" t="inlineStr">
        <is>
          <t>No</t>
        </is>
      </c>
      <c r="B671" t="inlineStr">
        <is>
          <t>RC480.5 .E423</t>
        </is>
      </c>
      <c r="C671" t="inlineStr">
        <is>
          <t>0                      RC 0480500E  423</t>
        </is>
      </c>
      <c r="D671" t="inlineStr">
        <is>
          <t>Reason and emotion in psychotherapy.</t>
        </is>
      </c>
      <c r="F671" t="inlineStr">
        <is>
          <t>No</t>
        </is>
      </c>
      <c r="G671" t="inlineStr">
        <is>
          <t>1</t>
        </is>
      </c>
      <c r="H671" t="inlineStr">
        <is>
          <t>No</t>
        </is>
      </c>
      <c r="I671" t="inlineStr">
        <is>
          <t>No</t>
        </is>
      </c>
      <c r="J671" t="inlineStr">
        <is>
          <t>0</t>
        </is>
      </c>
      <c r="K671" t="inlineStr">
        <is>
          <t>Ellis, Albert, 1913-2007.</t>
        </is>
      </c>
      <c r="L671" t="inlineStr">
        <is>
          <t>New York, L. Stuart [1962]</t>
        </is>
      </c>
      <c r="M671" t="inlineStr">
        <is>
          <t>1962</t>
        </is>
      </c>
      <c r="O671" t="inlineStr">
        <is>
          <t>eng</t>
        </is>
      </c>
      <c r="P671" t="inlineStr">
        <is>
          <t>nyu</t>
        </is>
      </c>
      <c r="R671" t="inlineStr">
        <is>
          <t xml:space="preserve">RC </t>
        </is>
      </c>
      <c r="S671" t="n">
        <v>1</v>
      </c>
      <c r="T671" t="n">
        <v>1</v>
      </c>
      <c r="U671" t="inlineStr">
        <is>
          <t>2008-04-22</t>
        </is>
      </c>
      <c r="V671" t="inlineStr">
        <is>
          <t>2008-04-22</t>
        </is>
      </c>
      <c r="W671" t="inlineStr">
        <is>
          <t>1997-08-11</t>
        </is>
      </c>
      <c r="X671" t="inlineStr">
        <is>
          <t>1997-08-11</t>
        </is>
      </c>
      <c r="Y671" t="n">
        <v>558</v>
      </c>
      <c r="Z671" t="n">
        <v>482</v>
      </c>
      <c r="AA671" t="n">
        <v>801</v>
      </c>
      <c r="AB671" t="n">
        <v>6</v>
      </c>
      <c r="AC671" t="n">
        <v>8</v>
      </c>
      <c r="AD671" t="n">
        <v>21</v>
      </c>
      <c r="AE671" t="n">
        <v>32</v>
      </c>
      <c r="AF671" t="n">
        <v>9</v>
      </c>
      <c r="AG671" t="n">
        <v>14</v>
      </c>
      <c r="AH671" t="n">
        <v>3</v>
      </c>
      <c r="AI671" t="n">
        <v>5</v>
      </c>
      <c r="AJ671" t="n">
        <v>10</v>
      </c>
      <c r="AK671" t="n">
        <v>16</v>
      </c>
      <c r="AL671" t="n">
        <v>4</v>
      </c>
      <c r="AM671" t="n">
        <v>6</v>
      </c>
      <c r="AN671" t="n">
        <v>0</v>
      </c>
      <c r="AO671" t="n">
        <v>0</v>
      </c>
      <c r="AP671" t="inlineStr">
        <is>
          <t>No</t>
        </is>
      </c>
      <c r="AQ671" t="inlineStr">
        <is>
          <t>No</t>
        </is>
      </c>
      <c r="AR671">
        <f>HYPERLINK("http://catalog.hathitrust.org/Record/006054613","HathiTrust Record")</f>
        <v/>
      </c>
      <c r="AS671">
        <f>HYPERLINK("https://creighton-primo.hosted.exlibrisgroup.com/primo-explore/search?tab=default_tab&amp;search_scope=EVERYTHING&amp;vid=01CRU&amp;lang=en_US&amp;offset=0&amp;query=any,contains,991001189369702656","Catalog Record")</f>
        <v/>
      </c>
      <c r="AT671">
        <f>HYPERLINK("http://www.worldcat.org/oclc/191004","WorldCat Record")</f>
        <v/>
      </c>
      <c r="AU671" t="inlineStr">
        <is>
          <t>60674583:eng</t>
        </is>
      </c>
      <c r="AV671" t="inlineStr">
        <is>
          <t>191004</t>
        </is>
      </c>
      <c r="AW671" t="inlineStr">
        <is>
          <t>991001189369702656</t>
        </is>
      </c>
      <c r="AX671" t="inlineStr">
        <is>
          <t>991001189369702656</t>
        </is>
      </c>
      <c r="AY671" t="inlineStr">
        <is>
          <t>2259149440002656</t>
        </is>
      </c>
      <c r="AZ671" t="inlineStr">
        <is>
          <t>BOOK</t>
        </is>
      </c>
      <c r="BC671" t="inlineStr">
        <is>
          <t>32285003091310</t>
        </is>
      </c>
      <c r="BD671" t="inlineStr">
        <is>
          <t>893791251</t>
        </is>
      </c>
    </row>
    <row r="672">
      <c r="A672" t="inlineStr">
        <is>
          <t>No</t>
        </is>
      </c>
      <c r="B672" t="inlineStr">
        <is>
          <t>RC480.5 .F25</t>
        </is>
      </c>
      <c r="C672" t="inlineStr">
        <is>
          <t>0                      RC 0480500F  25</t>
        </is>
      </c>
      <c r="D672" t="inlineStr">
        <is>
          <t>The pursuit of meaning; logotherapy applied to life [by] Joseph B. Fabry.</t>
        </is>
      </c>
      <c r="F672" t="inlineStr">
        <is>
          <t>No</t>
        </is>
      </c>
      <c r="G672" t="inlineStr">
        <is>
          <t>1</t>
        </is>
      </c>
      <c r="H672" t="inlineStr">
        <is>
          <t>No</t>
        </is>
      </c>
      <c r="I672" t="inlineStr">
        <is>
          <t>No</t>
        </is>
      </c>
      <c r="J672" t="inlineStr">
        <is>
          <t>0</t>
        </is>
      </c>
      <c r="K672" t="inlineStr">
        <is>
          <t>Fabry, Joseph B.</t>
        </is>
      </c>
      <c r="L672" t="inlineStr">
        <is>
          <t>Boston, Beacon Press [1968]</t>
        </is>
      </c>
      <c r="M672" t="inlineStr">
        <is>
          <t>1968</t>
        </is>
      </c>
      <c r="O672" t="inlineStr">
        <is>
          <t>eng</t>
        </is>
      </c>
      <c r="P672" t="inlineStr">
        <is>
          <t>mau</t>
        </is>
      </c>
      <c r="R672" t="inlineStr">
        <is>
          <t xml:space="preserve">RC </t>
        </is>
      </c>
      <c r="S672" t="n">
        <v>3</v>
      </c>
      <c r="T672" t="n">
        <v>3</v>
      </c>
      <c r="U672" t="inlineStr">
        <is>
          <t>2003-03-01</t>
        </is>
      </c>
      <c r="V672" t="inlineStr">
        <is>
          <t>2003-03-01</t>
        </is>
      </c>
      <c r="W672" t="inlineStr">
        <is>
          <t>1997-08-11</t>
        </is>
      </c>
      <c r="X672" t="inlineStr">
        <is>
          <t>1997-08-11</t>
        </is>
      </c>
      <c r="Y672" t="n">
        <v>467</v>
      </c>
      <c r="Z672" t="n">
        <v>434</v>
      </c>
      <c r="AA672" t="n">
        <v>468</v>
      </c>
      <c r="AB672" t="n">
        <v>2</v>
      </c>
      <c r="AC672" t="n">
        <v>2</v>
      </c>
      <c r="AD672" t="n">
        <v>17</v>
      </c>
      <c r="AE672" t="n">
        <v>18</v>
      </c>
      <c r="AF672" t="n">
        <v>10</v>
      </c>
      <c r="AG672" t="n">
        <v>11</v>
      </c>
      <c r="AH672" t="n">
        <v>2</v>
      </c>
      <c r="AI672" t="n">
        <v>2</v>
      </c>
      <c r="AJ672" t="n">
        <v>7</v>
      </c>
      <c r="AK672" t="n">
        <v>7</v>
      </c>
      <c r="AL672" t="n">
        <v>1</v>
      </c>
      <c r="AM672" t="n">
        <v>1</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HYPERLINK("https://creighton-primo.hosted.exlibrisgroup.com/primo-explore/search?tab=default_tab&amp;search_scope=EVERYTHING&amp;vid=01CRU&amp;lang=en_US&amp;offset=0&amp;query=any,contains,991002257309702656","Catalog Record")</f>
        <v/>
      </c>
      <c r="AT672">
        <f>HYPERLINK("http://www.worldcat.org/oclc/302258","WorldCat Record")</f>
        <v/>
      </c>
      <c r="AU672" t="inlineStr">
        <is>
          <t>1346470:eng</t>
        </is>
      </c>
      <c r="AV672" t="inlineStr">
        <is>
          <t>302258</t>
        </is>
      </c>
      <c r="AW672" t="inlineStr">
        <is>
          <t>991002257309702656</t>
        </is>
      </c>
      <c r="AX672" t="inlineStr">
        <is>
          <t>991002257309702656</t>
        </is>
      </c>
      <c r="AY672" t="inlineStr">
        <is>
          <t>2272132100002656</t>
        </is>
      </c>
      <c r="AZ672" t="inlineStr">
        <is>
          <t>BOOK</t>
        </is>
      </c>
      <c r="BC672" t="inlineStr">
        <is>
          <t>32285003091336</t>
        </is>
      </c>
      <c r="BD672" t="inlineStr">
        <is>
          <t>893785914</t>
        </is>
      </c>
    </row>
    <row r="673">
      <c r="A673" t="inlineStr">
        <is>
          <t>No</t>
        </is>
      </c>
      <c r="B673" t="inlineStr">
        <is>
          <t>RC480.5 .F325 2005</t>
        </is>
      </c>
      <c r="C673" t="inlineStr">
        <is>
          <t>0                      RC 0480500F  325         2005</t>
        </is>
      </c>
      <c r="D673" t="inlineStr">
        <is>
          <t>Personality-guided behavior therapy / Richard F. Farmer, Rosmery [i.e. Rosemery] O. Nelson-Gray.</t>
        </is>
      </c>
      <c r="F673" t="inlineStr">
        <is>
          <t>No</t>
        </is>
      </c>
      <c r="G673" t="inlineStr">
        <is>
          <t>1</t>
        </is>
      </c>
      <c r="H673" t="inlineStr">
        <is>
          <t>No</t>
        </is>
      </c>
      <c r="I673" t="inlineStr">
        <is>
          <t>No</t>
        </is>
      </c>
      <c r="J673" t="inlineStr">
        <is>
          <t>0</t>
        </is>
      </c>
      <c r="K673" t="inlineStr">
        <is>
          <t>Farmer, Richard F.</t>
        </is>
      </c>
      <c r="L673" t="inlineStr">
        <is>
          <t>Washington, DC : American Psychological Association, c2005.</t>
        </is>
      </c>
      <c r="M673" t="inlineStr">
        <is>
          <t>2005</t>
        </is>
      </c>
      <c r="N673" t="inlineStr">
        <is>
          <t>1st ed.</t>
        </is>
      </c>
      <c r="O673" t="inlineStr">
        <is>
          <t>eng</t>
        </is>
      </c>
      <c r="P673" t="inlineStr">
        <is>
          <t>dcu</t>
        </is>
      </c>
      <c r="R673" t="inlineStr">
        <is>
          <t xml:space="preserve">RC </t>
        </is>
      </c>
      <c r="S673" t="n">
        <v>1</v>
      </c>
      <c r="T673" t="n">
        <v>1</v>
      </c>
      <c r="U673" t="inlineStr">
        <is>
          <t>2007-03-26</t>
        </is>
      </c>
      <c r="V673" t="inlineStr">
        <is>
          <t>2007-03-26</t>
        </is>
      </c>
      <c r="W673" t="inlineStr">
        <is>
          <t>2007-03-26</t>
        </is>
      </c>
      <c r="X673" t="inlineStr">
        <is>
          <t>2007-03-26</t>
        </is>
      </c>
      <c r="Y673" t="n">
        <v>206</v>
      </c>
      <c r="Z673" t="n">
        <v>168</v>
      </c>
      <c r="AA673" t="n">
        <v>257</v>
      </c>
      <c r="AB673" t="n">
        <v>2</v>
      </c>
      <c r="AC673" t="n">
        <v>3</v>
      </c>
      <c r="AD673" t="n">
        <v>5</v>
      </c>
      <c r="AE673" t="n">
        <v>13</v>
      </c>
      <c r="AF673" t="n">
        <v>2</v>
      </c>
      <c r="AG673" t="n">
        <v>5</v>
      </c>
      <c r="AH673" t="n">
        <v>1</v>
      </c>
      <c r="AI673" t="n">
        <v>1</v>
      </c>
      <c r="AJ673" t="n">
        <v>3</v>
      </c>
      <c r="AK673" t="n">
        <v>8</v>
      </c>
      <c r="AL673" t="n">
        <v>1</v>
      </c>
      <c r="AM673" t="n">
        <v>2</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HYPERLINK("https://creighton-primo.hosted.exlibrisgroup.com/primo-explore/search?tab=default_tab&amp;search_scope=EVERYTHING&amp;vid=01CRU&amp;lang=en_US&amp;offset=0&amp;query=any,contains,991005052819702656","Catalog Record")</f>
        <v/>
      </c>
      <c r="AT673">
        <f>HYPERLINK("http://www.worldcat.org/oclc/57123773","WorldCat Record")</f>
        <v/>
      </c>
      <c r="AU673" t="inlineStr">
        <is>
          <t>949153:eng</t>
        </is>
      </c>
      <c r="AV673" t="inlineStr">
        <is>
          <t>57123773</t>
        </is>
      </c>
      <c r="AW673" t="inlineStr">
        <is>
          <t>991005052819702656</t>
        </is>
      </c>
      <c r="AX673" t="inlineStr">
        <is>
          <t>991005052819702656</t>
        </is>
      </c>
      <c r="AY673" t="inlineStr">
        <is>
          <t>2269210210002656</t>
        </is>
      </c>
      <c r="AZ673" t="inlineStr">
        <is>
          <t>BOOK</t>
        </is>
      </c>
      <c r="BB673" t="inlineStr">
        <is>
          <t>9781591472728</t>
        </is>
      </c>
      <c r="BC673" t="inlineStr">
        <is>
          <t>32285005282990</t>
        </is>
      </c>
      <c r="BD673" t="inlineStr">
        <is>
          <t>893810814</t>
        </is>
      </c>
    </row>
    <row r="674">
      <c r="A674" t="inlineStr">
        <is>
          <t>No</t>
        </is>
      </c>
      <c r="B674" t="inlineStr">
        <is>
          <t>RC480.5 .F53</t>
        </is>
      </c>
      <c r="C674" t="inlineStr">
        <is>
          <t>0                      RC 0480500F  53</t>
        </is>
      </c>
      <c r="D674" t="inlineStr">
        <is>
          <t>Basic psychological therapies : comparative effectiveness / A. James Fix, E. A. Haffke.</t>
        </is>
      </c>
      <c r="F674" t="inlineStr">
        <is>
          <t>No</t>
        </is>
      </c>
      <c r="G674" t="inlineStr">
        <is>
          <t>1</t>
        </is>
      </c>
      <c r="H674" t="inlineStr">
        <is>
          <t>No</t>
        </is>
      </c>
      <c r="I674" t="inlineStr">
        <is>
          <t>No</t>
        </is>
      </c>
      <c r="J674" t="inlineStr">
        <is>
          <t>0</t>
        </is>
      </c>
      <c r="K674" t="inlineStr">
        <is>
          <t>Fix, A. James.</t>
        </is>
      </c>
      <c r="L674" t="inlineStr">
        <is>
          <t>New York : Human Sciences Press, c1976.</t>
        </is>
      </c>
      <c r="M674" t="inlineStr">
        <is>
          <t>1976</t>
        </is>
      </c>
      <c r="O674" t="inlineStr">
        <is>
          <t>eng</t>
        </is>
      </c>
      <c r="P674" t="inlineStr">
        <is>
          <t>nyu</t>
        </is>
      </c>
      <c r="Q674" t="inlineStr">
        <is>
          <t>Psychotherapy series</t>
        </is>
      </c>
      <c r="R674" t="inlineStr">
        <is>
          <t xml:space="preserve">RC </t>
        </is>
      </c>
      <c r="S674" t="n">
        <v>1</v>
      </c>
      <c r="T674" t="n">
        <v>1</v>
      </c>
      <c r="U674" t="inlineStr">
        <is>
          <t>1998-03-22</t>
        </is>
      </c>
      <c r="V674" t="inlineStr">
        <is>
          <t>1998-03-22</t>
        </is>
      </c>
      <c r="W674" t="inlineStr">
        <is>
          <t>1997-08-11</t>
        </is>
      </c>
      <c r="X674" t="inlineStr">
        <is>
          <t>1997-08-11</t>
        </is>
      </c>
      <c r="Y674" t="n">
        <v>381</v>
      </c>
      <c r="Z674" t="n">
        <v>315</v>
      </c>
      <c r="AA674" t="n">
        <v>320</v>
      </c>
      <c r="AB674" t="n">
        <v>4</v>
      </c>
      <c r="AC674" t="n">
        <v>4</v>
      </c>
      <c r="AD674" t="n">
        <v>15</v>
      </c>
      <c r="AE674" t="n">
        <v>15</v>
      </c>
      <c r="AF674" t="n">
        <v>4</v>
      </c>
      <c r="AG674" t="n">
        <v>4</v>
      </c>
      <c r="AH674" t="n">
        <v>5</v>
      </c>
      <c r="AI674" t="n">
        <v>5</v>
      </c>
      <c r="AJ674" t="n">
        <v>9</v>
      </c>
      <c r="AK674" t="n">
        <v>9</v>
      </c>
      <c r="AL674" t="n">
        <v>3</v>
      </c>
      <c r="AM674" t="n">
        <v>3</v>
      </c>
      <c r="AN674" t="n">
        <v>0</v>
      </c>
      <c r="AO674" t="n">
        <v>0</v>
      </c>
      <c r="AP674" t="inlineStr">
        <is>
          <t>No</t>
        </is>
      </c>
      <c r="AQ674" t="inlineStr">
        <is>
          <t>Yes</t>
        </is>
      </c>
      <c r="AR674">
        <f>HYPERLINK("http://catalog.hathitrust.org/Record/000707732","HathiTrust Record")</f>
        <v/>
      </c>
      <c r="AS674">
        <f>HYPERLINK("https://creighton-primo.hosted.exlibrisgroup.com/primo-explore/search?tab=default_tab&amp;search_scope=EVERYTHING&amp;vid=01CRU&amp;lang=en_US&amp;offset=0&amp;query=any,contains,991003950669702656","Catalog Record")</f>
        <v/>
      </c>
      <c r="AT674">
        <f>HYPERLINK("http://www.worldcat.org/oclc/1957977","WorldCat Record")</f>
        <v/>
      </c>
      <c r="AU674" t="inlineStr">
        <is>
          <t>423209863:eng</t>
        </is>
      </c>
      <c r="AV674" t="inlineStr">
        <is>
          <t>1957977</t>
        </is>
      </c>
      <c r="AW674" t="inlineStr">
        <is>
          <t>991003950669702656</t>
        </is>
      </c>
      <c r="AX674" t="inlineStr">
        <is>
          <t>991003950669702656</t>
        </is>
      </c>
      <c r="AY674" t="inlineStr">
        <is>
          <t>2264665760002656</t>
        </is>
      </c>
      <c r="AZ674" t="inlineStr">
        <is>
          <t>BOOK</t>
        </is>
      </c>
      <c r="BB674" t="inlineStr">
        <is>
          <t>9780877052371</t>
        </is>
      </c>
      <c r="BC674" t="inlineStr">
        <is>
          <t>32285003091344</t>
        </is>
      </c>
      <c r="BD674" t="inlineStr">
        <is>
          <t>893410932</t>
        </is>
      </c>
    </row>
    <row r="675">
      <c r="A675" t="inlineStr">
        <is>
          <t>No</t>
        </is>
      </c>
      <c r="B675" t="inlineStr">
        <is>
          <t>RC480.5 .F713 1965</t>
        </is>
      </c>
      <c r="C675" t="inlineStr">
        <is>
          <t>0                      RC 0480500F  713         1965</t>
        </is>
      </c>
      <c r="D675" t="inlineStr">
        <is>
          <t>The doctor and the soul : from psychotherapy to logotherapy / by Viktor E. Frankl ; translated from the German by Richard and Clara Winston.</t>
        </is>
      </c>
      <c r="F675" t="inlineStr">
        <is>
          <t>No</t>
        </is>
      </c>
      <c r="G675" t="inlineStr">
        <is>
          <t>1</t>
        </is>
      </c>
      <c r="H675" t="inlineStr">
        <is>
          <t>No</t>
        </is>
      </c>
      <c r="I675" t="inlineStr">
        <is>
          <t>No</t>
        </is>
      </c>
      <c r="J675" t="inlineStr">
        <is>
          <t>0</t>
        </is>
      </c>
      <c r="K675" t="inlineStr">
        <is>
          <t>Frankl, Viktor E. (Viktor Emil), 1905-1997.</t>
        </is>
      </c>
      <c r="L675" t="inlineStr">
        <is>
          <t>New York : A. A. Knopf, 1965.</t>
        </is>
      </c>
      <c r="M675" t="inlineStr">
        <is>
          <t>1965</t>
        </is>
      </c>
      <c r="N675" t="inlineStr">
        <is>
          <t>2nd expanded ed. : with revisions and an added chapter written in English by the author.</t>
        </is>
      </c>
      <c r="O675" t="inlineStr">
        <is>
          <t>eng</t>
        </is>
      </c>
      <c r="P675" t="inlineStr">
        <is>
          <t>nyu</t>
        </is>
      </c>
      <c r="R675" t="inlineStr">
        <is>
          <t xml:space="preserve">RC </t>
        </is>
      </c>
      <c r="S675" t="n">
        <v>6</v>
      </c>
      <c r="T675" t="n">
        <v>6</v>
      </c>
      <c r="U675" t="inlineStr">
        <is>
          <t>2010-10-18</t>
        </is>
      </c>
      <c r="V675" t="inlineStr">
        <is>
          <t>2010-10-18</t>
        </is>
      </c>
      <c r="W675" t="inlineStr">
        <is>
          <t>1990-07-27</t>
        </is>
      </c>
      <c r="X675" t="inlineStr">
        <is>
          <t>1990-07-27</t>
        </is>
      </c>
      <c r="Y675" t="n">
        <v>469</v>
      </c>
      <c r="Z675" t="n">
        <v>425</v>
      </c>
      <c r="AA675" t="n">
        <v>1288</v>
      </c>
      <c r="AB675" t="n">
        <v>7</v>
      </c>
      <c r="AC675" t="n">
        <v>13</v>
      </c>
      <c r="AD675" t="n">
        <v>18</v>
      </c>
      <c r="AE675" t="n">
        <v>50</v>
      </c>
      <c r="AF675" t="n">
        <v>3</v>
      </c>
      <c r="AG675" t="n">
        <v>17</v>
      </c>
      <c r="AH675" t="n">
        <v>2</v>
      </c>
      <c r="AI675" t="n">
        <v>9</v>
      </c>
      <c r="AJ675" t="n">
        <v>9</v>
      </c>
      <c r="AK675" t="n">
        <v>26</v>
      </c>
      <c r="AL675" t="n">
        <v>5</v>
      </c>
      <c r="AM675" t="n">
        <v>9</v>
      </c>
      <c r="AN675" t="n">
        <v>0</v>
      </c>
      <c r="AO675" t="n">
        <v>0</v>
      </c>
      <c r="AP675" t="inlineStr">
        <is>
          <t>No</t>
        </is>
      </c>
      <c r="AQ675" t="inlineStr">
        <is>
          <t>Yes</t>
        </is>
      </c>
      <c r="AR675">
        <f>HYPERLINK("http://catalog.hathitrust.org/Record/000401787","HathiTrust Record")</f>
        <v/>
      </c>
      <c r="AS675">
        <f>HYPERLINK("https://creighton-primo.hosted.exlibrisgroup.com/primo-explore/search?tab=default_tab&amp;search_scope=EVERYTHING&amp;vid=01CRU&amp;lang=en_US&amp;offset=0&amp;query=any,contains,991005318039702656","Catalog Record")</f>
        <v/>
      </c>
      <c r="AT675">
        <f>HYPERLINK("http://www.worldcat.org/oclc/2632039","WorldCat Record")</f>
        <v/>
      </c>
      <c r="AU675" t="inlineStr">
        <is>
          <t>346538580:eng</t>
        </is>
      </c>
      <c r="AV675" t="inlineStr">
        <is>
          <t>2632039</t>
        </is>
      </c>
      <c r="AW675" t="inlineStr">
        <is>
          <t>991005318039702656</t>
        </is>
      </c>
      <c r="AX675" t="inlineStr">
        <is>
          <t>991005318039702656</t>
        </is>
      </c>
      <c r="AY675" t="inlineStr">
        <is>
          <t>2257079150002656</t>
        </is>
      </c>
      <c r="AZ675" t="inlineStr">
        <is>
          <t>BOOK</t>
        </is>
      </c>
      <c r="BC675" t="inlineStr">
        <is>
          <t>32285000023589</t>
        </is>
      </c>
      <c r="BD675" t="inlineStr">
        <is>
          <t>893443757</t>
        </is>
      </c>
    </row>
    <row r="676">
      <c r="A676" t="inlineStr">
        <is>
          <t>No</t>
        </is>
      </c>
      <c r="B676" t="inlineStr">
        <is>
          <t>RC480.5 .F73 1967</t>
        </is>
      </c>
      <c r="C676" t="inlineStr">
        <is>
          <t>0                      RC 0480500F  73          1967</t>
        </is>
      </c>
      <c r="D676" t="inlineStr">
        <is>
          <t>Psychotherapy and existentialism : selected papers on logotherapy / by Viktor E. Frankl, with contributions by James C. Crumbaugh, Hans O. Gerz [and] Leonard T. Maholick.</t>
        </is>
      </c>
      <c r="F676" t="inlineStr">
        <is>
          <t>No</t>
        </is>
      </c>
      <c r="G676" t="inlineStr">
        <is>
          <t>1</t>
        </is>
      </c>
      <c r="H676" t="inlineStr">
        <is>
          <t>No</t>
        </is>
      </c>
      <c r="I676" t="inlineStr">
        <is>
          <t>No</t>
        </is>
      </c>
      <c r="J676" t="inlineStr">
        <is>
          <t>0</t>
        </is>
      </c>
      <c r="K676" t="inlineStr">
        <is>
          <t>Frankl, Viktor E. (Viktor Emil), 1905-1997.</t>
        </is>
      </c>
      <c r="L676" t="inlineStr">
        <is>
          <t>New York : Simon and Schuster, [1967]</t>
        </is>
      </c>
      <c r="M676" t="inlineStr">
        <is>
          <t>1967</t>
        </is>
      </c>
      <c r="O676" t="inlineStr">
        <is>
          <t>eng</t>
        </is>
      </c>
      <c r="P676" t="inlineStr">
        <is>
          <t xml:space="preserve">xx </t>
        </is>
      </c>
      <c r="R676" t="inlineStr">
        <is>
          <t xml:space="preserve">RC </t>
        </is>
      </c>
      <c r="S676" t="n">
        <v>6</v>
      </c>
      <c r="T676" t="n">
        <v>6</v>
      </c>
      <c r="U676" t="inlineStr">
        <is>
          <t>2009-06-26</t>
        </is>
      </c>
      <c r="V676" t="inlineStr">
        <is>
          <t>2009-06-26</t>
        </is>
      </c>
      <c r="W676" t="inlineStr">
        <is>
          <t>1992-01-14</t>
        </is>
      </c>
      <c r="X676" t="inlineStr">
        <is>
          <t>1992-01-14</t>
        </is>
      </c>
      <c r="Y676" t="n">
        <v>216</v>
      </c>
      <c r="Z676" t="n">
        <v>193</v>
      </c>
      <c r="AA676" t="n">
        <v>903</v>
      </c>
      <c r="AB676" t="n">
        <v>1</v>
      </c>
      <c r="AC676" t="n">
        <v>7</v>
      </c>
      <c r="AD676" t="n">
        <v>13</v>
      </c>
      <c r="AE676" t="n">
        <v>44</v>
      </c>
      <c r="AF676" t="n">
        <v>6</v>
      </c>
      <c r="AG676" t="n">
        <v>20</v>
      </c>
      <c r="AH676" t="n">
        <v>2</v>
      </c>
      <c r="AI676" t="n">
        <v>8</v>
      </c>
      <c r="AJ676" t="n">
        <v>8</v>
      </c>
      <c r="AK676" t="n">
        <v>22</v>
      </c>
      <c r="AL676" t="n">
        <v>0</v>
      </c>
      <c r="AM676" t="n">
        <v>4</v>
      </c>
      <c r="AN676" t="n">
        <v>0</v>
      </c>
      <c r="AO676" t="n">
        <v>0</v>
      </c>
      <c r="AP676" t="inlineStr">
        <is>
          <t>No</t>
        </is>
      </c>
      <c r="AQ676" t="inlineStr">
        <is>
          <t>Yes</t>
        </is>
      </c>
      <c r="AR676">
        <f>HYPERLINK("http://catalog.hathitrust.org/Record/000013269","HathiTrust Record")</f>
        <v/>
      </c>
      <c r="AS676">
        <f>HYPERLINK("https://creighton-primo.hosted.exlibrisgroup.com/primo-explore/search?tab=default_tab&amp;search_scope=EVERYTHING&amp;vid=01CRU&amp;lang=en_US&amp;offset=0&amp;query=any,contains,991003330239702656","Catalog Record")</f>
        <v/>
      </c>
      <c r="AT676">
        <f>HYPERLINK("http://www.worldcat.org/oclc/860501","WorldCat Record")</f>
        <v/>
      </c>
      <c r="AU676" t="inlineStr">
        <is>
          <t>198151938:eng</t>
        </is>
      </c>
      <c r="AV676" t="inlineStr">
        <is>
          <t>860501</t>
        </is>
      </c>
      <c r="AW676" t="inlineStr">
        <is>
          <t>991003330239702656</t>
        </is>
      </c>
      <c r="AX676" t="inlineStr">
        <is>
          <t>991003330239702656</t>
        </is>
      </c>
      <c r="AY676" t="inlineStr">
        <is>
          <t>2260829080002656</t>
        </is>
      </c>
      <c r="AZ676" t="inlineStr">
        <is>
          <t>BOOK</t>
        </is>
      </c>
      <c r="BC676" t="inlineStr">
        <is>
          <t>32285000884618</t>
        </is>
      </c>
      <c r="BD676" t="inlineStr">
        <is>
          <t>893511842</t>
        </is>
      </c>
    </row>
    <row r="677">
      <c r="A677" t="inlineStr">
        <is>
          <t>No</t>
        </is>
      </c>
      <c r="B677" t="inlineStr">
        <is>
          <t>RC480.5 .F74 1969a</t>
        </is>
      </c>
      <c r="C677" t="inlineStr">
        <is>
          <t>0                      RC 0480500F  74          1969a</t>
        </is>
      </c>
      <c r="D677" t="inlineStr">
        <is>
          <t>The will to meaning : foundations and applications of logotherapy / Viktor E. Frankl.</t>
        </is>
      </c>
      <c r="F677" t="inlineStr">
        <is>
          <t>No</t>
        </is>
      </c>
      <c r="G677" t="inlineStr">
        <is>
          <t>1</t>
        </is>
      </c>
      <c r="H677" t="inlineStr">
        <is>
          <t>No</t>
        </is>
      </c>
      <c r="I677" t="inlineStr">
        <is>
          <t>No</t>
        </is>
      </c>
      <c r="J677" t="inlineStr">
        <is>
          <t>0</t>
        </is>
      </c>
      <c r="K677" t="inlineStr">
        <is>
          <t>Frankl, Viktor E. (Viktor Emil), 1905-1997.</t>
        </is>
      </c>
      <c r="L677" t="inlineStr">
        <is>
          <t>New York : New American Library, 1969.</t>
        </is>
      </c>
      <c r="M677" t="inlineStr">
        <is>
          <t>1969</t>
        </is>
      </c>
      <c r="O677" t="inlineStr">
        <is>
          <t>eng</t>
        </is>
      </c>
      <c r="P677" t="inlineStr">
        <is>
          <t>nyu</t>
        </is>
      </c>
      <c r="R677" t="inlineStr">
        <is>
          <t xml:space="preserve">RC </t>
        </is>
      </c>
      <c r="S677" t="n">
        <v>8</v>
      </c>
      <c r="T677" t="n">
        <v>8</v>
      </c>
      <c r="U677" t="inlineStr">
        <is>
          <t>2010-04-28</t>
        </is>
      </c>
      <c r="V677" t="inlineStr">
        <is>
          <t>2010-04-28</t>
        </is>
      </c>
      <c r="W677" t="inlineStr">
        <is>
          <t>1994-08-23</t>
        </is>
      </c>
      <c r="X677" t="inlineStr">
        <is>
          <t>1994-08-23</t>
        </is>
      </c>
      <c r="Y677" t="n">
        <v>276</v>
      </c>
      <c r="Z677" t="n">
        <v>235</v>
      </c>
      <c r="AA677" t="n">
        <v>969</v>
      </c>
      <c r="AB677" t="n">
        <v>2</v>
      </c>
      <c r="AC677" t="n">
        <v>6</v>
      </c>
      <c r="AD677" t="n">
        <v>15</v>
      </c>
      <c r="AE677" t="n">
        <v>40</v>
      </c>
      <c r="AF677" t="n">
        <v>7</v>
      </c>
      <c r="AG677" t="n">
        <v>17</v>
      </c>
      <c r="AH677" t="n">
        <v>4</v>
      </c>
      <c r="AI677" t="n">
        <v>8</v>
      </c>
      <c r="AJ677" t="n">
        <v>6</v>
      </c>
      <c r="AK677" t="n">
        <v>20</v>
      </c>
      <c r="AL677" t="n">
        <v>1</v>
      </c>
      <c r="AM677" t="n">
        <v>4</v>
      </c>
      <c r="AN677" t="n">
        <v>0</v>
      </c>
      <c r="AO677" t="n">
        <v>0</v>
      </c>
      <c r="AP677" t="inlineStr">
        <is>
          <t>No</t>
        </is>
      </c>
      <c r="AQ677" t="inlineStr">
        <is>
          <t>Yes</t>
        </is>
      </c>
      <c r="AR677">
        <f>HYPERLINK("http://catalog.hathitrust.org/Record/000018469","HathiTrust Record")</f>
        <v/>
      </c>
      <c r="AS677">
        <f>HYPERLINK("https://creighton-primo.hosted.exlibrisgroup.com/primo-explore/search?tab=default_tab&amp;search_scope=EVERYTHING&amp;vid=01CRU&amp;lang=en_US&amp;offset=0&amp;query=any,contains,991001446629702656","Catalog Record")</f>
        <v/>
      </c>
      <c r="AT677">
        <f>HYPERLINK("http://www.worldcat.org/oclc/1037976","WorldCat Record")</f>
        <v/>
      </c>
      <c r="AU677" t="inlineStr">
        <is>
          <t>197789857:eng</t>
        </is>
      </c>
      <c r="AV677" t="inlineStr">
        <is>
          <t>1037976</t>
        </is>
      </c>
      <c r="AW677" t="inlineStr">
        <is>
          <t>991001446629702656</t>
        </is>
      </c>
      <c r="AX677" t="inlineStr">
        <is>
          <t>991001446629702656</t>
        </is>
      </c>
      <c r="AY677" t="inlineStr">
        <is>
          <t>2259549230002656</t>
        </is>
      </c>
      <c r="AZ677" t="inlineStr">
        <is>
          <t>BOOK</t>
        </is>
      </c>
      <c r="BC677" t="inlineStr">
        <is>
          <t>32285001938397</t>
        </is>
      </c>
      <c r="BD677" t="inlineStr">
        <is>
          <t>893891580</t>
        </is>
      </c>
    </row>
    <row r="678">
      <c r="A678" t="inlineStr">
        <is>
          <t>No</t>
        </is>
      </c>
      <c r="B678" t="inlineStr">
        <is>
          <t>RC480.5 .F75</t>
        </is>
      </c>
      <c r="C678" t="inlineStr">
        <is>
          <t>0                      RC 0480500F  75</t>
        </is>
      </c>
      <c r="D678" t="inlineStr">
        <is>
          <t>The courage to change : from insight to self-innovation / by Edrita Fried.</t>
        </is>
      </c>
      <c r="F678" t="inlineStr">
        <is>
          <t>No</t>
        </is>
      </c>
      <c r="G678" t="inlineStr">
        <is>
          <t>1</t>
        </is>
      </c>
      <c r="H678" t="inlineStr">
        <is>
          <t>No</t>
        </is>
      </c>
      <c r="I678" t="inlineStr">
        <is>
          <t>No</t>
        </is>
      </c>
      <c r="J678" t="inlineStr">
        <is>
          <t>0</t>
        </is>
      </c>
      <c r="K678" t="inlineStr">
        <is>
          <t>Fried, Edrita.</t>
        </is>
      </c>
      <c r="L678" t="inlineStr">
        <is>
          <t>New York : Brunner/Mazel, c1980.</t>
        </is>
      </c>
      <c r="M678" t="inlineStr">
        <is>
          <t>1980</t>
        </is>
      </c>
      <c r="O678" t="inlineStr">
        <is>
          <t>eng</t>
        </is>
      </c>
      <c r="P678" t="inlineStr">
        <is>
          <t>nyu</t>
        </is>
      </c>
      <c r="R678" t="inlineStr">
        <is>
          <t xml:space="preserve">RC </t>
        </is>
      </c>
      <c r="S678" t="n">
        <v>5</v>
      </c>
      <c r="T678" t="n">
        <v>5</v>
      </c>
      <c r="U678" t="inlineStr">
        <is>
          <t>2006-09-17</t>
        </is>
      </c>
      <c r="V678" t="inlineStr">
        <is>
          <t>2006-09-17</t>
        </is>
      </c>
      <c r="W678" t="inlineStr">
        <is>
          <t>1993-03-23</t>
        </is>
      </c>
      <c r="X678" t="inlineStr">
        <is>
          <t>1993-03-23</t>
        </is>
      </c>
      <c r="Y678" t="n">
        <v>231</v>
      </c>
      <c r="Z678" t="n">
        <v>179</v>
      </c>
      <c r="AA678" t="n">
        <v>202</v>
      </c>
      <c r="AB678" t="n">
        <v>2</v>
      </c>
      <c r="AC678" t="n">
        <v>2</v>
      </c>
      <c r="AD678" t="n">
        <v>6</v>
      </c>
      <c r="AE678" t="n">
        <v>6</v>
      </c>
      <c r="AF678" t="n">
        <v>3</v>
      </c>
      <c r="AG678" t="n">
        <v>3</v>
      </c>
      <c r="AH678" t="n">
        <v>2</v>
      </c>
      <c r="AI678" t="n">
        <v>2</v>
      </c>
      <c r="AJ678" t="n">
        <v>3</v>
      </c>
      <c r="AK678" t="n">
        <v>3</v>
      </c>
      <c r="AL678" t="n">
        <v>1</v>
      </c>
      <c r="AM678" t="n">
        <v>1</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HYPERLINK("https://creighton-primo.hosted.exlibrisgroup.com/primo-explore/search?tab=default_tab&amp;search_scope=EVERYTHING&amp;vid=01CRU&amp;lang=en_US&amp;offset=0&amp;query=any,contains,991004873689702656","Catalog Record")</f>
        <v/>
      </c>
      <c r="AT678">
        <f>HYPERLINK("http://www.worldcat.org/oclc/5777071","WorldCat Record")</f>
        <v/>
      </c>
      <c r="AU678" t="inlineStr">
        <is>
          <t>460980:eng</t>
        </is>
      </c>
      <c r="AV678" t="inlineStr">
        <is>
          <t>5777071</t>
        </is>
      </c>
      <c r="AW678" t="inlineStr">
        <is>
          <t>991004873689702656</t>
        </is>
      </c>
      <c r="AX678" t="inlineStr">
        <is>
          <t>991004873689702656</t>
        </is>
      </c>
      <c r="AY678" t="inlineStr">
        <is>
          <t>2256268170002656</t>
        </is>
      </c>
      <c r="AZ678" t="inlineStr">
        <is>
          <t>BOOK</t>
        </is>
      </c>
      <c r="BB678" t="inlineStr">
        <is>
          <t>9780876302132</t>
        </is>
      </c>
      <c r="BC678" t="inlineStr">
        <is>
          <t>32285001606408</t>
        </is>
      </c>
      <c r="BD678" t="inlineStr">
        <is>
          <t>893706943</t>
        </is>
      </c>
    </row>
    <row r="679">
      <c r="A679" t="inlineStr">
        <is>
          <t>No</t>
        </is>
      </c>
      <c r="B679" t="inlineStr">
        <is>
          <t>RC480.5 .G64</t>
        </is>
      </c>
      <c r="C679" t="inlineStr">
        <is>
          <t>0                      RC 0480500G  64</t>
        </is>
      </c>
      <c r="D679" t="inlineStr">
        <is>
          <t>How to do psychotherapy and how to evaluate it : a manual for beginners / [by] John Mordechai Gottman [and] Sandra Risa Leiblum. With pref. by Leonard Ullmann.</t>
        </is>
      </c>
      <c r="F679" t="inlineStr">
        <is>
          <t>No</t>
        </is>
      </c>
      <c r="G679" t="inlineStr">
        <is>
          <t>1</t>
        </is>
      </c>
      <c r="H679" t="inlineStr">
        <is>
          <t>No</t>
        </is>
      </c>
      <c r="I679" t="inlineStr">
        <is>
          <t>No</t>
        </is>
      </c>
      <c r="J679" t="inlineStr">
        <is>
          <t>0</t>
        </is>
      </c>
      <c r="K679" t="inlineStr">
        <is>
          <t>Gottman, John Mordechai.</t>
        </is>
      </c>
      <c r="L679" t="inlineStr">
        <is>
          <t>New York : Holt, Rinehart and Winston, [1974]</t>
        </is>
      </c>
      <c r="M679" t="inlineStr">
        <is>
          <t>1974</t>
        </is>
      </c>
      <c r="O679" t="inlineStr">
        <is>
          <t>eng</t>
        </is>
      </c>
      <c r="P679" t="inlineStr">
        <is>
          <t>nyu</t>
        </is>
      </c>
      <c r="Q679" t="inlineStr">
        <is>
          <t>The Person in psychology series</t>
        </is>
      </c>
      <c r="R679" t="inlineStr">
        <is>
          <t xml:space="preserve">RC </t>
        </is>
      </c>
      <c r="S679" t="n">
        <v>5</v>
      </c>
      <c r="T679" t="n">
        <v>5</v>
      </c>
      <c r="U679" t="inlineStr">
        <is>
          <t>2010-04-03</t>
        </is>
      </c>
      <c r="V679" t="inlineStr">
        <is>
          <t>2010-04-03</t>
        </is>
      </c>
      <c r="W679" t="inlineStr">
        <is>
          <t>1993-12-14</t>
        </is>
      </c>
      <c r="X679" t="inlineStr">
        <is>
          <t>1993-12-14</t>
        </is>
      </c>
      <c r="Y679" t="n">
        <v>380</v>
      </c>
      <c r="Z679" t="n">
        <v>303</v>
      </c>
      <c r="AA679" t="n">
        <v>319</v>
      </c>
      <c r="AB679" t="n">
        <v>4</v>
      </c>
      <c r="AC679" t="n">
        <v>4</v>
      </c>
      <c r="AD679" t="n">
        <v>16</v>
      </c>
      <c r="AE679" t="n">
        <v>18</v>
      </c>
      <c r="AF679" t="n">
        <v>6</v>
      </c>
      <c r="AG679" t="n">
        <v>7</v>
      </c>
      <c r="AH679" t="n">
        <v>3</v>
      </c>
      <c r="AI679" t="n">
        <v>4</v>
      </c>
      <c r="AJ679" t="n">
        <v>9</v>
      </c>
      <c r="AK679" t="n">
        <v>9</v>
      </c>
      <c r="AL679" t="n">
        <v>2</v>
      </c>
      <c r="AM679" t="n">
        <v>2</v>
      </c>
      <c r="AN679" t="n">
        <v>0</v>
      </c>
      <c r="AO679" t="n">
        <v>0</v>
      </c>
      <c r="AP679" t="inlineStr">
        <is>
          <t>No</t>
        </is>
      </c>
      <c r="AQ679" t="inlineStr">
        <is>
          <t>Yes</t>
        </is>
      </c>
      <c r="AR679">
        <f>HYPERLINK("http://catalog.hathitrust.org/Record/000010067","HathiTrust Record")</f>
        <v/>
      </c>
      <c r="AS679">
        <f>HYPERLINK("https://creighton-primo.hosted.exlibrisgroup.com/primo-explore/search?tab=default_tab&amp;search_scope=EVERYTHING&amp;vid=01CRU&amp;lang=en_US&amp;offset=0&amp;query=any,contains,991003168019702656","Catalog Record")</f>
        <v/>
      </c>
      <c r="AT679">
        <f>HYPERLINK("http://www.worldcat.org/oclc/704990","WorldCat Record")</f>
        <v/>
      </c>
      <c r="AU679" t="inlineStr">
        <is>
          <t>196543179:eng</t>
        </is>
      </c>
      <c r="AV679" t="inlineStr">
        <is>
          <t>704990</t>
        </is>
      </c>
      <c r="AW679" t="inlineStr">
        <is>
          <t>991003168019702656</t>
        </is>
      </c>
      <c r="AX679" t="inlineStr">
        <is>
          <t>991003168019702656</t>
        </is>
      </c>
      <c r="AY679" t="inlineStr">
        <is>
          <t>2259223610002656</t>
        </is>
      </c>
      <c r="AZ679" t="inlineStr">
        <is>
          <t>BOOK</t>
        </is>
      </c>
      <c r="BB679" t="inlineStr">
        <is>
          <t>9780030076510</t>
        </is>
      </c>
      <c r="BC679" t="inlineStr">
        <is>
          <t>32285001808285</t>
        </is>
      </c>
      <c r="BD679" t="inlineStr">
        <is>
          <t>893336207</t>
        </is>
      </c>
    </row>
    <row r="680">
      <c r="A680" t="inlineStr">
        <is>
          <t>No</t>
        </is>
      </c>
      <c r="B680" t="inlineStr">
        <is>
          <t>RC480.5 .H25</t>
        </is>
      </c>
      <c r="C680" t="inlineStr">
        <is>
          <t>0                      RC 0480500H  25</t>
        </is>
      </c>
      <c r="D680" t="inlineStr">
        <is>
          <t>Strategies of psychotherapy.</t>
        </is>
      </c>
      <c r="F680" t="inlineStr">
        <is>
          <t>No</t>
        </is>
      </c>
      <c r="G680" t="inlineStr">
        <is>
          <t>1</t>
        </is>
      </c>
      <c r="H680" t="inlineStr">
        <is>
          <t>No</t>
        </is>
      </c>
      <c r="I680" t="inlineStr">
        <is>
          <t>No</t>
        </is>
      </c>
      <c r="J680" t="inlineStr">
        <is>
          <t>0</t>
        </is>
      </c>
      <c r="K680" t="inlineStr">
        <is>
          <t>Haley, Jay, 1923-2007.</t>
        </is>
      </c>
      <c r="L680" t="inlineStr">
        <is>
          <t>New York, Grune &amp; Stratton, 1963.</t>
        </is>
      </c>
      <c r="M680" t="inlineStr">
        <is>
          <t>1963</t>
        </is>
      </c>
      <c r="O680" t="inlineStr">
        <is>
          <t>eng</t>
        </is>
      </c>
      <c r="P680" t="inlineStr">
        <is>
          <t>nyu</t>
        </is>
      </c>
      <c r="R680" t="inlineStr">
        <is>
          <t xml:space="preserve">RC </t>
        </is>
      </c>
      <c r="S680" t="n">
        <v>1</v>
      </c>
      <c r="T680" t="n">
        <v>1</v>
      </c>
      <c r="U680" t="inlineStr">
        <is>
          <t>2002-11-11</t>
        </is>
      </c>
      <c r="V680" t="inlineStr">
        <is>
          <t>2002-11-11</t>
        </is>
      </c>
      <c r="W680" t="inlineStr">
        <is>
          <t>1997-08-11</t>
        </is>
      </c>
      <c r="X680" t="inlineStr">
        <is>
          <t>1997-08-11</t>
        </is>
      </c>
      <c r="Y680" t="n">
        <v>632</v>
      </c>
      <c r="Z680" t="n">
        <v>502</v>
      </c>
      <c r="AA680" t="n">
        <v>643</v>
      </c>
      <c r="AB680" t="n">
        <v>4</v>
      </c>
      <c r="AC680" t="n">
        <v>5</v>
      </c>
      <c r="AD680" t="n">
        <v>25</v>
      </c>
      <c r="AE680" t="n">
        <v>30</v>
      </c>
      <c r="AF680" t="n">
        <v>9</v>
      </c>
      <c r="AG680" t="n">
        <v>11</v>
      </c>
      <c r="AH680" t="n">
        <v>6</v>
      </c>
      <c r="AI680" t="n">
        <v>6</v>
      </c>
      <c r="AJ680" t="n">
        <v>15</v>
      </c>
      <c r="AK680" t="n">
        <v>18</v>
      </c>
      <c r="AL680" t="n">
        <v>2</v>
      </c>
      <c r="AM680" t="n">
        <v>3</v>
      </c>
      <c r="AN680" t="n">
        <v>0</v>
      </c>
      <c r="AO680" t="n">
        <v>0</v>
      </c>
      <c r="AP680" t="inlineStr">
        <is>
          <t>No</t>
        </is>
      </c>
      <c r="AQ680" t="inlineStr">
        <is>
          <t>Yes</t>
        </is>
      </c>
      <c r="AR680">
        <f>HYPERLINK("http://catalog.hathitrust.org/Record/000005377","HathiTrust Record")</f>
        <v/>
      </c>
      <c r="AS680">
        <f>HYPERLINK("https://creighton-primo.hosted.exlibrisgroup.com/primo-explore/search?tab=default_tab&amp;search_scope=EVERYTHING&amp;vid=01CRU&amp;lang=en_US&amp;offset=0&amp;query=any,contains,991005318029702656","Catalog Record")</f>
        <v/>
      </c>
      <c r="AT680">
        <f>HYPERLINK("http://www.worldcat.org/oclc/381451","WorldCat Record")</f>
        <v/>
      </c>
      <c r="AU680" t="inlineStr">
        <is>
          <t>304455656:eng</t>
        </is>
      </c>
      <c r="AV680" t="inlineStr">
        <is>
          <t>381451</t>
        </is>
      </c>
      <c r="AW680" t="inlineStr">
        <is>
          <t>991005318029702656</t>
        </is>
      </c>
      <c r="AX680" t="inlineStr">
        <is>
          <t>991005318029702656</t>
        </is>
      </c>
      <c r="AY680" t="inlineStr">
        <is>
          <t>2259923690002656</t>
        </is>
      </c>
      <c r="AZ680" t="inlineStr">
        <is>
          <t>BOOK</t>
        </is>
      </c>
      <c r="BB680" t="inlineStr">
        <is>
          <t>9780931513060</t>
        </is>
      </c>
      <c r="BC680" t="inlineStr">
        <is>
          <t>32285003091377</t>
        </is>
      </c>
      <c r="BD680" t="inlineStr">
        <is>
          <t>893412662</t>
        </is>
      </c>
    </row>
    <row r="681">
      <c r="A681" t="inlineStr">
        <is>
          <t>No</t>
        </is>
      </c>
      <c r="B681" t="inlineStr">
        <is>
          <t>RC480.5 .H38 1995</t>
        </is>
      </c>
      <c r="C681" t="inlineStr">
        <is>
          <t>0                      RC 0480500H  38          1995</t>
        </is>
      </c>
      <c r="D681" t="inlineStr">
        <is>
          <t>Self-narratives : the construction of meaning in psychotherapy / Hubert J.M. Hermans, Els Hermans-Jansen.</t>
        </is>
      </c>
      <c r="F681" t="inlineStr">
        <is>
          <t>No</t>
        </is>
      </c>
      <c r="G681" t="inlineStr">
        <is>
          <t>1</t>
        </is>
      </c>
      <c r="H681" t="inlineStr">
        <is>
          <t>No</t>
        </is>
      </c>
      <c r="I681" t="inlineStr">
        <is>
          <t>No</t>
        </is>
      </c>
      <c r="J681" t="inlineStr">
        <is>
          <t>0</t>
        </is>
      </c>
      <c r="K681" t="inlineStr">
        <is>
          <t>Hermans, H. J. M.</t>
        </is>
      </c>
      <c r="L681" t="inlineStr">
        <is>
          <t>New York : Guilford Press, c1995.</t>
        </is>
      </c>
      <c r="M681" t="inlineStr">
        <is>
          <t>1995</t>
        </is>
      </c>
      <c r="O681" t="inlineStr">
        <is>
          <t>eng</t>
        </is>
      </c>
      <c r="P681" t="inlineStr">
        <is>
          <t>nyu</t>
        </is>
      </c>
      <c r="R681" t="inlineStr">
        <is>
          <t xml:space="preserve">RC </t>
        </is>
      </c>
      <c r="S681" t="n">
        <v>4</v>
      </c>
      <c r="T681" t="n">
        <v>4</v>
      </c>
      <c r="U681" t="inlineStr">
        <is>
          <t>2006-04-05</t>
        </is>
      </c>
      <c r="V681" t="inlineStr">
        <is>
          <t>2006-04-05</t>
        </is>
      </c>
      <c r="W681" t="inlineStr">
        <is>
          <t>1996-10-21</t>
        </is>
      </c>
      <c r="X681" t="inlineStr">
        <is>
          <t>1996-10-21</t>
        </is>
      </c>
      <c r="Y681" t="n">
        <v>242</v>
      </c>
      <c r="Z681" t="n">
        <v>172</v>
      </c>
      <c r="AA681" t="n">
        <v>172</v>
      </c>
      <c r="AB681" t="n">
        <v>2</v>
      </c>
      <c r="AC681" t="n">
        <v>2</v>
      </c>
      <c r="AD681" t="n">
        <v>14</v>
      </c>
      <c r="AE681" t="n">
        <v>14</v>
      </c>
      <c r="AF681" t="n">
        <v>5</v>
      </c>
      <c r="AG681" t="n">
        <v>5</v>
      </c>
      <c r="AH681" t="n">
        <v>3</v>
      </c>
      <c r="AI681" t="n">
        <v>3</v>
      </c>
      <c r="AJ681" t="n">
        <v>9</v>
      </c>
      <c r="AK681" t="n">
        <v>9</v>
      </c>
      <c r="AL681" t="n">
        <v>1</v>
      </c>
      <c r="AM681" t="n">
        <v>1</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HYPERLINK("https://creighton-primo.hosted.exlibrisgroup.com/primo-explore/search?tab=default_tab&amp;search_scope=EVERYTHING&amp;vid=01CRU&amp;lang=en_US&amp;offset=0&amp;query=any,contains,991002474149702656","Catalog Record")</f>
        <v/>
      </c>
      <c r="AT681">
        <f>HYPERLINK("http://www.worldcat.org/oclc/32205638","WorldCat Record")</f>
        <v/>
      </c>
      <c r="AU681" t="inlineStr">
        <is>
          <t>867371916:eng</t>
        </is>
      </c>
      <c r="AV681" t="inlineStr">
        <is>
          <t>32205638</t>
        </is>
      </c>
      <c r="AW681" t="inlineStr">
        <is>
          <t>991002474149702656</t>
        </is>
      </c>
      <c r="AX681" t="inlineStr">
        <is>
          <t>991002474149702656</t>
        </is>
      </c>
      <c r="AY681" t="inlineStr">
        <is>
          <t>2270026020002656</t>
        </is>
      </c>
      <c r="AZ681" t="inlineStr">
        <is>
          <t>BOOK</t>
        </is>
      </c>
      <c r="BB681" t="inlineStr">
        <is>
          <t>9780898628784</t>
        </is>
      </c>
      <c r="BC681" t="inlineStr">
        <is>
          <t>32285002366895</t>
        </is>
      </c>
      <c r="BD681" t="inlineStr">
        <is>
          <t>893609902</t>
        </is>
      </c>
    </row>
    <row r="682">
      <c r="A682" t="inlineStr">
        <is>
          <t>No</t>
        </is>
      </c>
      <c r="B682" t="inlineStr">
        <is>
          <t>RC480.5 .H54</t>
        </is>
      </c>
      <c r="C682" t="inlineStr">
        <is>
          <t>0                      RC 0480500H  54</t>
        </is>
      </c>
      <c r="D682" t="inlineStr">
        <is>
          <t>The History of psychotherapy : from healing magic to encounter / edited by Jan Ehrenwald.</t>
        </is>
      </c>
      <c r="F682" t="inlineStr">
        <is>
          <t>No</t>
        </is>
      </c>
      <c r="G682" t="inlineStr">
        <is>
          <t>1</t>
        </is>
      </c>
      <c r="H682" t="inlineStr">
        <is>
          <t>No</t>
        </is>
      </c>
      <c r="I682" t="inlineStr">
        <is>
          <t>No</t>
        </is>
      </c>
      <c r="J682" t="inlineStr">
        <is>
          <t>0</t>
        </is>
      </c>
      <c r="L682" t="inlineStr">
        <is>
          <t>New York : J. Aronson, c1976.</t>
        </is>
      </c>
      <c r="M682" t="inlineStr">
        <is>
          <t>1976</t>
        </is>
      </c>
      <c r="O682" t="inlineStr">
        <is>
          <t>eng</t>
        </is>
      </c>
      <c r="P682" t="inlineStr">
        <is>
          <t>nyu</t>
        </is>
      </c>
      <c r="R682" t="inlineStr">
        <is>
          <t xml:space="preserve">RC </t>
        </is>
      </c>
      <c r="S682" t="n">
        <v>4</v>
      </c>
      <c r="T682" t="n">
        <v>4</v>
      </c>
      <c r="U682" t="inlineStr">
        <is>
          <t>1997-03-17</t>
        </is>
      </c>
      <c r="V682" t="inlineStr">
        <is>
          <t>1997-03-17</t>
        </is>
      </c>
      <c r="W682" t="inlineStr">
        <is>
          <t>1994-05-12</t>
        </is>
      </c>
      <c r="X682" t="inlineStr">
        <is>
          <t>1994-05-12</t>
        </is>
      </c>
      <c r="Y682" t="n">
        <v>583</v>
      </c>
      <c r="Z682" t="n">
        <v>513</v>
      </c>
      <c r="AA682" t="n">
        <v>534</v>
      </c>
      <c r="AB682" t="n">
        <v>7</v>
      </c>
      <c r="AC682" t="n">
        <v>7</v>
      </c>
      <c r="AD682" t="n">
        <v>19</v>
      </c>
      <c r="AE682" t="n">
        <v>22</v>
      </c>
      <c r="AF682" t="n">
        <v>5</v>
      </c>
      <c r="AG682" t="n">
        <v>6</v>
      </c>
      <c r="AH682" t="n">
        <v>3</v>
      </c>
      <c r="AI682" t="n">
        <v>5</v>
      </c>
      <c r="AJ682" t="n">
        <v>7</v>
      </c>
      <c r="AK682" t="n">
        <v>8</v>
      </c>
      <c r="AL682" t="n">
        <v>5</v>
      </c>
      <c r="AM682" t="n">
        <v>5</v>
      </c>
      <c r="AN682" t="n">
        <v>0</v>
      </c>
      <c r="AO682" t="n">
        <v>0</v>
      </c>
      <c r="AP682" t="inlineStr">
        <is>
          <t>No</t>
        </is>
      </c>
      <c r="AQ682" t="inlineStr">
        <is>
          <t>Yes</t>
        </is>
      </c>
      <c r="AR682">
        <f>HYPERLINK("http://catalog.hathitrust.org/Record/000725707","HathiTrust Record")</f>
        <v/>
      </c>
      <c r="AS682">
        <f>HYPERLINK("https://creighton-primo.hosted.exlibrisgroup.com/primo-explore/search?tab=default_tab&amp;search_scope=EVERYTHING&amp;vid=01CRU&amp;lang=en_US&amp;offset=0&amp;query=any,contains,991005050039702656","Catalog Record")</f>
        <v/>
      </c>
      <c r="AT682">
        <f>HYPERLINK("http://www.worldcat.org/oclc/6864086","WorldCat Record")</f>
        <v/>
      </c>
      <c r="AU682" t="inlineStr">
        <is>
          <t>55797945:eng</t>
        </is>
      </c>
      <c r="AV682" t="inlineStr">
        <is>
          <t>6864086</t>
        </is>
      </c>
      <c r="AW682" t="inlineStr">
        <is>
          <t>991005050039702656</t>
        </is>
      </c>
      <c r="AX682" t="inlineStr">
        <is>
          <t>991005050039702656</t>
        </is>
      </c>
      <c r="AY682" t="inlineStr">
        <is>
          <t>2269509810002656</t>
        </is>
      </c>
      <c r="AZ682" t="inlineStr">
        <is>
          <t>BOOK</t>
        </is>
      </c>
      <c r="BB682" t="inlineStr">
        <is>
          <t>9780876682807</t>
        </is>
      </c>
      <c r="BC682" t="inlineStr">
        <is>
          <t>32285001910701</t>
        </is>
      </c>
      <c r="BD682" t="inlineStr">
        <is>
          <t>893889603</t>
        </is>
      </c>
    </row>
    <row r="683">
      <c r="A683" t="inlineStr">
        <is>
          <t>No</t>
        </is>
      </c>
      <c r="B683" t="inlineStr">
        <is>
          <t>RC480.5 .H69 1987</t>
        </is>
      </c>
      <c r="C683" t="inlineStr">
        <is>
          <t>0                      RC 0480500H  69          1987</t>
        </is>
      </c>
      <c r="D683" t="inlineStr">
        <is>
          <t>Adaptive counseling and therapy : a systematic approach to selecting effective treatments / George S. Howard, Don W. Nance, Pennie Myers.</t>
        </is>
      </c>
      <c r="F683" t="inlineStr">
        <is>
          <t>No</t>
        </is>
      </c>
      <c r="G683" t="inlineStr">
        <is>
          <t>1</t>
        </is>
      </c>
      <c r="H683" t="inlineStr">
        <is>
          <t>No</t>
        </is>
      </c>
      <c r="I683" t="inlineStr">
        <is>
          <t>No</t>
        </is>
      </c>
      <c r="J683" t="inlineStr">
        <is>
          <t>0</t>
        </is>
      </c>
      <c r="K683" t="inlineStr">
        <is>
          <t>Howard, George S.</t>
        </is>
      </c>
      <c r="L683" t="inlineStr">
        <is>
          <t>San Francisco : Jossey-Bass, 1987.</t>
        </is>
      </c>
      <c r="M683" t="inlineStr">
        <is>
          <t>1987</t>
        </is>
      </c>
      <c r="N683" t="inlineStr">
        <is>
          <t>1st ed.</t>
        </is>
      </c>
      <c r="O683" t="inlineStr">
        <is>
          <t>eng</t>
        </is>
      </c>
      <c r="P683" t="inlineStr">
        <is>
          <t>cau</t>
        </is>
      </c>
      <c r="Q683" t="inlineStr">
        <is>
          <t>The Jossey-Bass social and behavioral science series</t>
        </is>
      </c>
      <c r="R683" t="inlineStr">
        <is>
          <t xml:space="preserve">RC </t>
        </is>
      </c>
      <c r="S683" t="n">
        <v>5</v>
      </c>
      <c r="T683" t="n">
        <v>5</v>
      </c>
      <c r="U683" t="inlineStr">
        <is>
          <t>2007-01-30</t>
        </is>
      </c>
      <c r="V683" t="inlineStr">
        <is>
          <t>2007-01-30</t>
        </is>
      </c>
      <c r="W683" t="inlineStr">
        <is>
          <t>1990-04-17</t>
        </is>
      </c>
      <c r="X683" t="inlineStr">
        <is>
          <t>1990-04-17</t>
        </is>
      </c>
      <c r="Y683" t="n">
        <v>358</v>
      </c>
      <c r="Z683" t="n">
        <v>289</v>
      </c>
      <c r="AA683" t="n">
        <v>291</v>
      </c>
      <c r="AB683" t="n">
        <v>3</v>
      </c>
      <c r="AC683" t="n">
        <v>3</v>
      </c>
      <c r="AD683" t="n">
        <v>12</v>
      </c>
      <c r="AE683" t="n">
        <v>12</v>
      </c>
      <c r="AF683" t="n">
        <v>3</v>
      </c>
      <c r="AG683" t="n">
        <v>3</v>
      </c>
      <c r="AH683" t="n">
        <v>2</v>
      </c>
      <c r="AI683" t="n">
        <v>2</v>
      </c>
      <c r="AJ683" t="n">
        <v>8</v>
      </c>
      <c r="AK683" t="n">
        <v>8</v>
      </c>
      <c r="AL683" t="n">
        <v>2</v>
      </c>
      <c r="AM683" t="n">
        <v>2</v>
      </c>
      <c r="AN683" t="n">
        <v>0</v>
      </c>
      <c r="AO683" t="n">
        <v>0</v>
      </c>
      <c r="AP683" t="inlineStr">
        <is>
          <t>No</t>
        </is>
      </c>
      <c r="AQ683" t="inlineStr">
        <is>
          <t>Yes</t>
        </is>
      </c>
      <c r="AR683">
        <f>HYPERLINK("http://catalog.hathitrust.org/Record/000829392","HathiTrust Record")</f>
        <v/>
      </c>
      <c r="AS683">
        <f>HYPERLINK("https://creighton-primo.hosted.exlibrisgroup.com/primo-explore/search?tab=default_tab&amp;search_scope=EVERYTHING&amp;vid=01CRU&amp;lang=en_US&amp;offset=0&amp;query=any,contains,991000991109702656","Catalog Record")</f>
        <v/>
      </c>
      <c r="AT683">
        <f>HYPERLINK("http://www.worldcat.org/oclc/15107969","WorldCat Record")</f>
        <v/>
      </c>
      <c r="AU683" t="inlineStr">
        <is>
          <t>836703632:eng</t>
        </is>
      </c>
      <c r="AV683" t="inlineStr">
        <is>
          <t>15107969</t>
        </is>
      </c>
      <c r="AW683" t="inlineStr">
        <is>
          <t>991000991109702656</t>
        </is>
      </c>
      <c r="AX683" t="inlineStr">
        <is>
          <t>991000991109702656</t>
        </is>
      </c>
      <c r="AY683" t="inlineStr">
        <is>
          <t>2266694880002656</t>
        </is>
      </c>
      <c r="AZ683" t="inlineStr">
        <is>
          <t>BOOK</t>
        </is>
      </c>
      <c r="BB683" t="inlineStr">
        <is>
          <t>9781555420383</t>
        </is>
      </c>
      <c r="BC683" t="inlineStr">
        <is>
          <t>32285000121516</t>
        </is>
      </c>
      <c r="BD683" t="inlineStr">
        <is>
          <t>893690227</t>
        </is>
      </c>
    </row>
    <row r="684">
      <c r="A684" t="inlineStr">
        <is>
          <t>No</t>
        </is>
      </c>
      <c r="B684" t="inlineStr">
        <is>
          <t>RC480.5 .K4</t>
        </is>
      </c>
      <c r="C684" t="inlineStr">
        <is>
          <t>0                      RC 0480500K  4</t>
        </is>
      </c>
      <c r="D684" t="inlineStr">
        <is>
          <t>Please understand me : an essay on temperament styles / David Keirsey, Marilyn Bates.</t>
        </is>
      </c>
      <c r="F684" t="inlineStr">
        <is>
          <t>No</t>
        </is>
      </c>
      <c r="G684" t="inlineStr">
        <is>
          <t>1</t>
        </is>
      </c>
      <c r="H684" t="inlineStr">
        <is>
          <t>No</t>
        </is>
      </c>
      <c r="I684" t="inlineStr">
        <is>
          <t>No</t>
        </is>
      </c>
      <c r="J684" t="inlineStr">
        <is>
          <t>0</t>
        </is>
      </c>
      <c r="K684" t="inlineStr">
        <is>
          <t>Keirsey, David.</t>
        </is>
      </c>
      <c r="L684" t="inlineStr">
        <is>
          <t>Del Mar, CA : Promethean Books, 1978.</t>
        </is>
      </c>
      <c r="M684" t="inlineStr">
        <is>
          <t>1978</t>
        </is>
      </c>
      <c r="O684" t="inlineStr">
        <is>
          <t>eng</t>
        </is>
      </c>
      <c r="P684" t="inlineStr">
        <is>
          <t>cau</t>
        </is>
      </c>
      <c r="R684" t="inlineStr">
        <is>
          <t xml:space="preserve">RC </t>
        </is>
      </c>
      <c r="S684" t="n">
        <v>16</v>
      </c>
      <c r="T684" t="n">
        <v>16</v>
      </c>
      <c r="U684" t="inlineStr">
        <is>
          <t>2010-10-24</t>
        </is>
      </c>
      <c r="V684" t="inlineStr">
        <is>
          <t>2010-10-24</t>
        </is>
      </c>
      <c r="W684" t="inlineStr">
        <is>
          <t>1992-12-08</t>
        </is>
      </c>
      <c r="X684" t="inlineStr">
        <is>
          <t>1992-12-08</t>
        </is>
      </c>
      <c r="Y684" t="n">
        <v>86</v>
      </c>
      <c r="Z684" t="n">
        <v>82</v>
      </c>
      <c r="AA684" t="n">
        <v>2038</v>
      </c>
      <c r="AB684" t="n">
        <v>1</v>
      </c>
      <c r="AC684" t="n">
        <v>15</v>
      </c>
      <c r="AD684" t="n">
        <v>5</v>
      </c>
      <c r="AE684" t="n">
        <v>39</v>
      </c>
      <c r="AF684" t="n">
        <v>2</v>
      </c>
      <c r="AG684" t="n">
        <v>16</v>
      </c>
      <c r="AH684" t="n">
        <v>2</v>
      </c>
      <c r="AI684" t="n">
        <v>6</v>
      </c>
      <c r="AJ684" t="n">
        <v>3</v>
      </c>
      <c r="AK684" t="n">
        <v>15</v>
      </c>
      <c r="AL684" t="n">
        <v>0</v>
      </c>
      <c r="AM684" t="n">
        <v>8</v>
      </c>
      <c r="AN684" t="n">
        <v>0</v>
      </c>
      <c r="AO684" t="n">
        <v>1</v>
      </c>
      <c r="AP684" t="inlineStr">
        <is>
          <t>No</t>
        </is>
      </c>
      <c r="AQ684" t="inlineStr">
        <is>
          <t>Yes</t>
        </is>
      </c>
      <c r="AR684">
        <f>HYPERLINK("http://catalog.hathitrust.org/Record/009427706","HathiTrust Record")</f>
        <v/>
      </c>
      <c r="AS684">
        <f>HYPERLINK("https://creighton-primo.hosted.exlibrisgroup.com/primo-explore/search?tab=default_tab&amp;search_scope=EVERYTHING&amp;vid=01CRU&amp;lang=en_US&amp;offset=0&amp;query=any,contains,991004958719702656","Catalog Record")</f>
        <v/>
      </c>
      <c r="AT684">
        <f>HYPERLINK("http://www.worldcat.org/oclc/6296543","WorldCat Record")</f>
        <v/>
      </c>
      <c r="AU684" t="inlineStr">
        <is>
          <t>4600097:eng</t>
        </is>
      </c>
      <c r="AV684" t="inlineStr">
        <is>
          <t>6296543</t>
        </is>
      </c>
      <c r="AW684" t="inlineStr">
        <is>
          <t>991004958719702656</t>
        </is>
      </c>
      <c r="AX684" t="inlineStr">
        <is>
          <t>991004958719702656</t>
        </is>
      </c>
      <c r="AY684" t="inlineStr">
        <is>
          <t>2269327410002656</t>
        </is>
      </c>
      <c r="AZ684" t="inlineStr">
        <is>
          <t>BOOK</t>
        </is>
      </c>
      <c r="BB684" t="inlineStr">
        <is>
          <t>9780935652024</t>
        </is>
      </c>
      <c r="BC684" t="inlineStr">
        <is>
          <t>32285004388566</t>
        </is>
      </c>
      <c r="BD684" t="inlineStr">
        <is>
          <t>893719599</t>
        </is>
      </c>
    </row>
    <row r="685">
      <c r="A685" t="inlineStr">
        <is>
          <t>No</t>
        </is>
      </c>
      <c r="B685" t="inlineStr">
        <is>
          <t>RC480.5 .L45 1987</t>
        </is>
      </c>
      <c r="C685" t="inlineStr">
        <is>
          <t>0                      RC 0480500L  45          1987</t>
        </is>
      </c>
      <c r="D685" t="inlineStr">
        <is>
          <t>Psychotherapy : the listening voice : Rogers and Erickson / Richard A. Leva.</t>
        </is>
      </c>
      <c r="F685" t="inlineStr">
        <is>
          <t>No</t>
        </is>
      </c>
      <c r="G685" t="inlineStr">
        <is>
          <t>1</t>
        </is>
      </c>
      <c r="H685" t="inlineStr">
        <is>
          <t>No</t>
        </is>
      </c>
      <c r="I685" t="inlineStr">
        <is>
          <t>No</t>
        </is>
      </c>
      <c r="J685" t="inlineStr">
        <is>
          <t>0</t>
        </is>
      </c>
      <c r="K685" t="inlineStr">
        <is>
          <t>Leva, Richard A., 1936-</t>
        </is>
      </c>
      <c r="L685" t="inlineStr">
        <is>
          <t>Muncie, Ind. : Accelerated Development, c1987.</t>
        </is>
      </c>
      <c r="M685" t="inlineStr">
        <is>
          <t>1987</t>
        </is>
      </c>
      <c r="O685" t="inlineStr">
        <is>
          <t>eng</t>
        </is>
      </c>
      <c r="P685" t="inlineStr">
        <is>
          <t>inu</t>
        </is>
      </c>
      <c r="R685" t="inlineStr">
        <is>
          <t xml:space="preserve">RC </t>
        </is>
      </c>
      <c r="S685" t="n">
        <v>21</v>
      </c>
      <c r="T685" t="n">
        <v>21</v>
      </c>
      <c r="U685" t="inlineStr">
        <is>
          <t>2003-09-10</t>
        </is>
      </c>
      <c r="V685" t="inlineStr">
        <is>
          <t>2003-09-10</t>
        </is>
      </c>
      <c r="W685" t="inlineStr">
        <is>
          <t>1990-06-13</t>
        </is>
      </c>
      <c r="X685" t="inlineStr">
        <is>
          <t>1990-06-13</t>
        </is>
      </c>
      <c r="Y685" t="n">
        <v>87</v>
      </c>
      <c r="Z685" t="n">
        <v>78</v>
      </c>
      <c r="AA685" t="n">
        <v>80</v>
      </c>
      <c r="AB685" t="n">
        <v>3</v>
      </c>
      <c r="AC685" t="n">
        <v>3</v>
      </c>
      <c r="AD685" t="n">
        <v>4</v>
      </c>
      <c r="AE685" t="n">
        <v>4</v>
      </c>
      <c r="AF685" t="n">
        <v>1</v>
      </c>
      <c r="AG685" t="n">
        <v>1</v>
      </c>
      <c r="AH685" t="n">
        <v>0</v>
      </c>
      <c r="AI685" t="n">
        <v>0</v>
      </c>
      <c r="AJ685" t="n">
        <v>1</v>
      </c>
      <c r="AK685" t="n">
        <v>1</v>
      </c>
      <c r="AL685" t="n">
        <v>2</v>
      </c>
      <c r="AM685" t="n">
        <v>2</v>
      </c>
      <c r="AN685" t="n">
        <v>0</v>
      </c>
      <c r="AO685" t="n">
        <v>0</v>
      </c>
      <c r="AP685" t="inlineStr">
        <is>
          <t>No</t>
        </is>
      </c>
      <c r="AQ685" t="inlineStr">
        <is>
          <t>No</t>
        </is>
      </c>
      <c r="AS685">
        <f>HYPERLINK("https://creighton-primo.hosted.exlibrisgroup.com/primo-explore/search?tab=default_tab&amp;search_scope=EVERYTHING&amp;vid=01CRU&amp;lang=en_US&amp;offset=0&amp;query=any,contains,991001208409702656","Catalog Record")</f>
        <v/>
      </c>
      <c r="AT685">
        <f>HYPERLINK("http://www.worldcat.org/oclc/17369820","WorldCat Record")</f>
        <v/>
      </c>
      <c r="AU685" t="inlineStr">
        <is>
          <t>15714236:eng</t>
        </is>
      </c>
      <c r="AV685" t="inlineStr">
        <is>
          <t>17369820</t>
        </is>
      </c>
      <c r="AW685" t="inlineStr">
        <is>
          <t>991001208409702656</t>
        </is>
      </c>
      <c r="AX685" t="inlineStr">
        <is>
          <t>991001208409702656</t>
        </is>
      </c>
      <c r="AY685" t="inlineStr">
        <is>
          <t>2267644140002656</t>
        </is>
      </c>
      <c r="AZ685" t="inlineStr">
        <is>
          <t>BOOK</t>
        </is>
      </c>
      <c r="BB685" t="inlineStr">
        <is>
          <t>9780915202683</t>
        </is>
      </c>
      <c r="BC685" t="inlineStr">
        <is>
          <t>32285000191501</t>
        </is>
      </c>
      <c r="BD685" t="inlineStr">
        <is>
          <t>893590110</t>
        </is>
      </c>
    </row>
    <row r="686">
      <c r="A686" t="inlineStr">
        <is>
          <t>No</t>
        </is>
      </c>
      <c r="B686" t="inlineStr">
        <is>
          <t>RC480.5 .L58</t>
        </is>
      </c>
      <c r="C686" t="inlineStr">
        <is>
          <t>0                      RC 0480500L  58</t>
        </is>
      </c>
      <c r="D686" t="inlineStr">
        <is>
          <t>Three psychotherapies : a clinical comparison / [edited] by Clemens A. Loew, Henry Grayson, and Gloria Heiman Loew ; with contributions by Yael Danieli ... [et al.].</t>
        </is>
      </c>
      <c r="F686" t="inlineStr">
        <is>
          <t>No</t>
        </is>
      </c>
      <c r="G686" t="inlineStr">
        <is>
          <t>1</t>
        </is>
      </c>
      <c r="H686" t="inlineStr">
        <is>
          <t>No</t>
        </is>
      </c>
      <c r="I686" t="inlineStr">
        <is>
          <t>No</t>
        </is>
      </c>
      <c r="J686" t="inlineStr">
        <is>
          <t>0</t>
        </is>
      </c>
      <c r="K686" t="inlineStr">
        <is>
          <t>Loew, Clemens A., 1937-</t>
        </is>
      </c>
      <c r="L686" t="inlineStr">
        <is>
          <t>New York : Brunner/Mazel, [1975]</t>
        </is>
      </c>
      <c r="M686" t="inlineStr">
        <is>
          <t>1975</t>
        </is>
      </c>
      <c r="O686" t="inlineStr">
        <is>
          <t>eng</t>
        </is>
      </c>
      <c r="P686" t="inlineStr">
        <is>
          <t>nyu</t>
        </is>
      </c>
      <c r="R686" t="inlineStr">
        <is>
          <t xml:space="preserve">RC </t>
        </is>
      </c>
      <c r="S686" t="n">
        <v>5</v>
      </c>
      <c r="T686" t="n">
        <v>5</v>
      </c>
      <c r="U686" t="inlineStr">
        <is>
          <t>1995-11-06</t>
        </is>
      </c>
      <c r="V686" t="inlineStr">
        <is>
          <t>1995-11-06</t>
        </is>
      </c>
      <c r="W686" t="inlineStr">
        <is>
          <t>1993-03-19</t>
        </is>
      </c>
      <c r="X686" t="inlineStr">
        <is>
          <t>1993-03-19</t>
        </is>
      </c>
      <c r="Y686" t="n">
        <v>448</v>
      </c>
      <c r="Z686" t="n">
        <v>388</v>
      </c>
      <c r="AA686" t="n">
        <v>404</v>
      </c>
      <c r="AB686" t="n">
        <v>2</v>
      </c>
      <c r="AC686" t="n">
        <v>2</v>
      </c>
      <c r="AD686" t="n">
        <v>17</v>
      </c>
      <c r="AE686" t="n">
        <v>19</v>
      </c>
      <c r="AF686" t="n">
        <v>6</v>
      </c>
      <c r="AG686" t="n">
        <v>7</v>
      </c>
      <c r="AH686" t="n">
        <v>4</v>
      </c>
      <c r="AI686" t="n">
        <v>5</v>
      </c>
      <c r="AJ686" t="n">
        <v>13</v>
      </c>
      <c r="AK686" t="n">
        <v>13</v>
      </c>
      <c r="AL686" t="n">
        <v>1</v>
      </c>
      <c r="AM686" t="n">
        <v>1</v>
      </c>
      <c r="AN686" t="n">
        <v>0</v>
      </c>
      <c r="AO686" t="n">
        <v>0</v>
      </c>
      <c r="AP686" t="inlineStr">
        <is>
          <t>No</t>
        </is>
      </c>
      <c r="AQ686" t="inlineStr">
        <is>
          <t>Yes</t>
        </is>
      </c>
      <c r="AR686">
        <f>HYPERLINK("http://catalog.hathitrust.org/Record/000034846","HathiTrust Record")</f>
        <v/>
      </c>
      <c r="AS686">
        <f>HYPERLINK("https://creighton-primo.hosted.exlibrisgroup.com/primo-explore/search?tab=default_tab&amp;search_scope=EVERYTHING&amp;vid=01CRU&amp;lang=en_US&amp;offset=0&amp;query=any,contains,991005319089702656","Catalog Record")</f>
        <v/>
      </c>
      <c r="AT686">
        <f>HYPERLINK("http://www.worldcat.org/oclc/1121310","WorldCat Record")</f>
        <v/>
      </c>
      <c r="AU686" t="inlineStr">
        <is>
          <t>2025811:eng</t>
        </is>
      </c>
      <c r="AV686" t="inlineStr">
        <is>
          <t>1121310</t>
        </is>
      </c>
      <c r="AW686" t="inlineStr">
        <is>
          <t>991005319089702656</t>
        </is>
      </c>
      <c r="AX686" t="inlineStr">
        <is>
          <t>991005319089702656</t>
        </is>
      </c>
      <c r="AY686" t="inlineStr">
        <is>
          <t>2268438870002656</t>
        </is>
      </c>
      <c r="AZ686" t="inlineStr">
        <is>
          <t>BOOK</t>
        </is>
      </c>
      <c r="BB686" t="inlineStr">
        <is>
          <t>9780876300985</t>
        </is>
      </c>
      <c r="BC686" t="inlineStr">
        <is>
          <t>32285001575736</t>
        </is>
      </c>
      <c r="BD686" t="inlineStr">
        <is>
          <t>893613506</t>
        </is>
      </c>
    </row>
    <row r="687">
      <c r="A687" t="inlineStr">
        <is>
          <t>No</t>
        </is>
      </c>
      <c r="B687" t="inlineStr">
        <is>
          <t>RC480.5 .L593 1986</t>
        </is>
      </c>
      <c r="C687" t="inlineStr">
        <is>
          <t>0                      RC 0480500L  593         1986</t>
        </is>
      </c>
      <c r="D687" t="inlineStr">
        <is>
          <t>The modes and morals of psychotherapy / Perry London.</t>
        </is>
      </c>
      <c r="F687" t="inlineStr">
        <is>
          <t>No</t>
        </is>
      </c>
      <c r="G687" t="inlineStr">
        <is>
          <t>1</t>
        </is>
      </c>
      <c r="H687" t="inlineStr">
        <is>
          <t>No</t>
        </is>
      </c>
      <c r="I687" t="inlineStr">
        <is>
          <t>No</t>
        </is>
      </c>
      <c r="J687" t="inlineStr">
        <is>
          <t>0</t>
        </is>
      </c>
      <c r="K687" t="inlineStr">
        <is>
          <t>London, Perry.</t>
        </is>
      </c>
      <c r="L687" t="inlineStr">
        <is>
          <t>Washington : Hemisphere Pub. Corp., c1986.</t>
        </is>
      </c>
      <c r="M687" t="inlineStr">
        <is>
          <t>1986</t>
        </is>
      </c>
      <c r="N687" t="inlineStr">
        <is>
          <t>2nd ed.</t>
        </is>
      </c>
      <c r="O687" t="inlineStr">
        <is>
          <t>eng</t>
        </is>
      </c>
      <c r="P687" t="inlineStr">
        <is>
          <t>dcu</t>
        </is>
      </c>
      <c r="Q687" t="inlineStr">
        <is>
          <t>The series in clinical and community psychology</t>
        </is>
      </c>
      <c r="R687" t="inlineStr">
        <is>
          <t xml:space="preserve">RC </t>
        </is>
      </c>
      <c r="S687" t="n">
        <v>9</v>
      </c>
      <c r="T687" t="n">
        <v>9</v>
      </c>
      <c r="U687" t="inlineStr">
        <is>
          <t>1998-11-08</t>
        </is>
      </c>
      <c r="V687" t="inlineStr">
        <is>
          <t>1998-11-08</t>
        </is>
      </c>
      <c r="W687" t="inlineStr">
        <is>
          <t>1993-08-20</t>
        </is>
      </c>
      <c r="X687" t="inlineStr">
        <is>
          <t>1993-08-20</t>
        </is>
      </c>
      <c r="Y687" t="n">
        <v>398</v>
      </c>
      <c r="Z687" t="n">
        <v>338</v>
      </c>
      <c r="AA687" t="n">
        <v>717</v>
      </c>
      <c r="AB687" t="n">
        <v>3</v>
      </c>
      <c r="AC687" t="n">
        <v>3</v>
      </c>
      <c r="AD687" t="n">
        <v>13</v>
      </c>
      <c r="AE687" t="n">
        <v>23</v>
      </c>
      <c r="AF687" t="n">
        <v>4</v>
      </c>
      <c r="AG687" t="n">
        <v>6</v>
      </c>
      <c r="AH687" t="n">
        <v>3</v>
      </c>
      <c r="AI687" t="n">
        <v>6</v>
      </c>
      <c r="AJ687" t="n">
        <v>7</v>
      </c>
      <c r="AK687" t="n">
        <v>15</v>
      </c>
      <c r="AL687" t="n">
        <v>1</v>
      </c>
      <c r="AM687" t="n">
        <v>1</v>
      </c>
      <c r="AN687" t="n">
        <v>0</v>
      </c>
      <c r="AO687" t="n">
        <v>0</v>
      </c>
      <c r="AP687" t="inlineStr">
        <is>
          <t>No</t>
        </is>
      </c>
      <c r="AQ687" t="inlineStr">
        <is>
          <t>Yes</t>
        </is>
      </c>
      <c r="AR687">
        <f>HYPERLINK("http://catalog.hathitrust.org/Record/000423409","HathiTrust Record")</f>
        <v/>
      </c>
      <c r="AS687">
        <f>HYPERLINK("https://creighton-primo.hosted.exlibrisgroup.com/primo-explore/search?tab=default_tab&amp;search_scope=EVERYTHING&amp;vid=01CRU&amp;lang=en_US&amp;offset=0&amp;query=any,contains,991000565549702656","Catalog Record")</f>
        <v/>
      </c>
      <c r="AT687">
        <f>HYPERLINK("http://www.worldcat.org/oclc/11621834","WorldCat Record")</f>
        <v/>
      </c>
      <c r="AU687" t="inlineStr">
        <is>
          <t>1332169:eng</t>
        </is>
      </c>
      <c r="AV687" t="inlineStr">
        <is>
          <t>11621834</t>
        </is>
      </c>
      <c r="AW687" t="inlineStr">
        <is>
          <t>991000565549702656</t>
        </is>
      </c>
      <c r="AX687" t="inlineStr">
        <is>
          <t>991000565549702656</t>
        </is>
      </c>
      <c r="AY687" t="inlineStr">
        <is>
          <t>2263352310002656</t>
        </is>
      </c>
      <c r="AZ687" t="inlineStr">
        <is>
          <t>BOOK</t>
        </is>
      </c>
      <c r="BB687" t="inlineStr">
        <is>
          <t>9780891162902</t>
        </is>
      </c>
      <c r="BC687" t="inlineStr">
        <is>
          <t>32285001760759</t>
        </is>
      </c>
      <c r="BD687" t="inlineStr">
        <is>
          <t>893608045</t>
        </is>
      </c>
    </row>
    <row r="688">
      <c r="A688" t="inlineStr">
        <is>
          <t>No</t>
        </is>
      </c>
      <c r="B688" t="inlineStr">
        <is>
          <t>RC480.5 .M24</t>
        </is>
      </c>
      <c r="C688" t="inlineStr">
        <is>
          <t>0                      RC 0480500M  24</t>
        </is>
      </c>
      <c r="D688" t="inlineStr">
        <is>
          <t>Crisis intervention in the community / [by] Richard K. McGee.</t>
        </is>
      </c>
      <c r="F688" t="inlineStr">
        <is>
          <t>No</t>
        </is>
      </c>
      <c r="G688" t="inlineStr">
        <is>
          <t>1</t>
        </is>
      </c>
      <c r="H688" t="inlineStr">
        <is>
          <t>No</t>
        </is>
      </c>
      <c r="I688" t="inlineStr">
        <is>
          <t>No</t>
        </is>
      </c>
      <c r="J688" t="inlineStr">
        <is>
          <t>0</t>
        </is>
      </c>
      <c r="K688" t="inlineStr">
        <is>
          <t>McGee, Richard K.</t>
        </is>
      </c>
      <c r="L688" t="inlineStr">
        <is>
          <t>Baltimore : University Park Press, [1974]</t>
        </is>
      </c>
      <c r="M688" t="inlineStr">
        <is>
          <t>1973</t>
        </is>
      </c>
      <c r="O688" t="inlineStr">
        <is>
          <t>eng</t>
        </is>
      </c>
      <c r="P688" t="inlineStr">
        <is>
          <t>mdu</t>
        </is>
      </c>
      <c r="R688" t="inlineStr">
        <is>
          <t xml:space="preserve">RC </t>
        </is>
      </c>
      <c r="S688" t="n">
        <v>1</v>
      </c>
      <c r="T688" t="n">
        <v>1</v>
      </c>
      <c r="U688" t="inlineStr">
        <is>
          <t>2000-12-13</t>
        </is>
      </c>
      <c r="V688" t="inlineStr">
        <is>
          <t>2000-12-13</t>
        </is>
      </c>
      <c r="W688" t="inlineStr">
        <is>
          <t>2000-02-02</t>
        </is>
      </c>
      <c r="X688" t="inlineStr">
        <is>
          <t>2000-02-02</t>
        </is>
      </c>
      <c r="Y688" t="n">
        <v>541</v>
      </c>
      <c r="Z688" t="n">
        <v>461</v>
      </c>
      <c r="AA688" t="n">
        <v>515</v>
      </c>
      <c r="AB688" t="n">
        <v>3</v>
      </c>
      <c r="AC688" t="n">
        <v>4</v>
      </c>
      <c r="AD688" t="n">
        <v>18</v>
      </c>
      <c r="AE688" t="n">
        <v>21</v>
      </c>
      <c r="AF688" t="n">
        <v>5</v>
      </c>
      <c r="AG688" t="n">
        <v>5</v>
      </c>
      <c r="AH688" t="n">
        <v>2</v>
      </c>
      <c r="AI688" t="n">
        <v>3</v>
      </c>
      <c r="AJ688" t="n">
        <v>10</v>
      </c>
      <c r="AK688" t="n">
        <v>12</v>
      </c>
      <c r="AL688" t="n">
        <v>2</v>
      </c>
      <c r="AM688" t="n">
        <v>3</v>
      </c>
      <c r="AN688" t="n">
        <v>1</v>
      </c>
      <c r="AO688" t="n">
        <v>1</v>
      </c>
      <c r="AP688" t="inlineStr">
        <is>
          <t>No</t>
        </is>
      </c>
      <c r="AQ688" t="inlineStr">
        <is>
          <t>Yes</t>
        </is>
      </c>
      <c r="AR688">
        <f>HYPERLINK("http://catalog.hathitrust.org/Record/000010562","HathiTrust Record")</f>
        <v/>
      </c>
      <c r="AS688">
        <f>HYPERLINK("https://creighton-primo.hosted.exlibrisgroup.com/primo-explore/search?tab=default_tab&amp;search_scope=EVERYTHING&amp;vid=01CRU&amp;lang=en_US&amp;offset=0&amp;query=any,contains,991003206089702656","Catalog Record")</f>
        <v/>
      </c>
      <c r="AT688">
        <f>HYPERLINK("http://www.worldcat.org/oclc/730813","WorldCat Record")</f>
        <v/>
      </c>
      <c r="AU688" t="inlineStr">
        <is>
          <t>1755114:eng</t>
        </is>
      </c>
      <c r="AV688" t="inlineStr">
        <is>
          <t>730813</t>
        </is>
      </c>
      <c r="AW688" t="inlineStr">
        <is>
          <t>991003206089702656</t>
        </is>
      </c>
      <c r="AX688" t="inlineStr">
        <is>
          <t>991003206089702656</t>
        </is>
      </c>
      <c r="AY688" t="inlineStr">
        <is>
          <t>2267050330002656</t>
        </is>
      </c>
      <c r="AZ688" t="inlineStr">
        <is>
          <t>BOOK</t>
        </is>
      </c>
      <c r="BB688" t="inlineStr">
        <is>
          <t>9780839107224</t>
        </is>
      </c>
      <c r="BC688" t="inlineStr">
        <is>
          <t>32285003658472</t>
        </is>
      </c>
      <c r="BD688" t="inlineStr">
        <is>
          <t>893617094</t>
        </is>
      </c>
    </row>
    <row r="689">
      <c r="A689" t="inlineStr">
        <is>
          <t>No</t>
        </is>
      </c>
      <c r="B689" t="inlineStr">
        <is>
          <t>RC480.5 .N34 1985</t>
        </is>
      </c>
      <c r="C689" t="inlineStr">
        <is>
          <t>0                      RC 0480500N  34          1985</t>
        </is>
      </c>
      <c r="D689" t="inlineStr">
        <is>
          <t>Negative outcome in psychotherapy and what to do about it / [edited by] Daniel T. Mays, Cyril M. Franks.</t>
        </is>
      </c>
      <c r="F689" t="inlineStr">
        <is>
          <t>No</t>
        </is>
      </c>
      <c r="G689" t="inlineStr">
        <is>
          <t>1</t>
        </is>
      </c>
      <c r="H689" t="inlineStr">
        <is>
          <t>No</t>
        </is>
      </c>
      <c r="I689" t="inlineStr">
        <is>
          <t>No</t>
        </is>
      </c>
      <c r="J689" t="inlineStr">
        <is>
          <t>0</t>
        </is>
      </c>
      <c r="L689" t="inlineStr">
        <is>
          <t>New York : Springer Pub. Co., c1985.</t>
        </is>
      </c>
      <c r="M689" t="inlineStr">
        <is>
          <t>1985</t>
        </is>
      </c>
      <c r="O689" t="inlineStr">
        <is>
          <t>eng</t>
        </is>
      </c>
      <c r="P689" t="inlineStr">
        <is>
          <t>nyu</t>
        </is>
      </c>
      <c r="R689" t="inlineStr">
        <is>
          <t xml:space="preserve">RC </t>
        </is>
      </c>
      <c r="S689" t="n">
        <v>2</v>
      </c>
      <c r="T689" t="n">
        <v>2</v>
      </c>
      <c r="U689" t="inlineStr">
        <is>
          <t>1995-11-10</t>
        </is>
      </c>
      <c r="V689" t="inlineStr">
        <is>
          <t>1995-11-10</t>
        </is>
      </c>
      <c r="W689" t="inlineStr">
        <is>
          <t>1993-03-23</t>
        </is>
      </c>
      <c r="X689" t="inlineStr">
        <is>
          <t>1993-03-23</t>
        </is>
      </c>
      <c r="Y689" t="n">
        <v>335</v>
      </c>
      <c r="Z689" t="n">
        <v>288</v>
      </c>
      <c r="AA689" t="n">
        <v>299</v>
      </c>
      <c r="AB689" t="n">
        <v>2</v>
      </c>
      <c r="AC689" t="n">
        <v>2</v>
      </c>
      <c r="AD689" t="n">
        <v>13</v>
      </c>
      <c r="AE689" t="n">
        <v>13</v>
      </c>
      <c r="AF689" t="n">
        <v>3</v>
      </c>
      <c r="AG689" t="n">
        <v>3</v>
      </c>
      <c r="AH689" t="n">
        <v>4</v>
      </c>
      <c r="AI689" t="n">
        <v>4</v>
      </c>
      <c r="AJ689" t="n">
        <v>8</v>
      </c>
      <c r="AK689" t="n">
        <v>8</v>
      </c>
      <c r="AL689" t="n">
        <v>1</v>
      </c>
      <c r="AM689" t="n">
        <v>1</v>
      </c>
      <c r="AN689" t="n">
        <v>0</v>
      </c>
      <c r="AO689" t="n">
        <v>0</v>
      </c>
      <c r="AP689" t="inlineStr">
        <is>
          <t>No</t>
        </is>
      </c>
      <c r="AQ689" t="inlineStr">
        <is>
          <t>Yes</t>
        </is>
      </c>
      <c r="AR689">
        <f>HYPERLINK("http://catalog.hathitrust.org/Record/000461090","HathiTrust Record")</f>
        <v/>
      </c>
      <c r="AS689">
        <f>HYPERLINK("https://creighton-primo.hosted.exlibrisgroup.com/primo-explore/search?tab=default_tab&amp;search_scope=EVERYTHING&amp;vid=01CRU&amp;lang=en_US&amp;offset=0&amp;query=any,contains,991000567739702656","Catalog Record")</f>
        <v/>
      </c>
      <c r="AT689">
        <f>HYPERLINK("http://www.worldcat.org/oclc/11623383","WorldCat Record")</f>
        <v/>
      </c>
      <c r="AU689" t="inlineStr">
        <is>
          <t>355905085:eng</t>
        </is>
      </c>
      <c r="AV689" t="inlineStr">
        <is>
          <t>11623383</t>
        </is>
      </c>
      <c r="AW689" t="inlineStr">
        <is>
          <t>991000567739702656</t>
        </is>
      </c>
      <c r="AX689" t="inlineStr">
        <is>
          <t>991000567739702656</t>
        </is>
      </c>
      <c r="AY689" t="inlineStr">
        <is>
          <t>2262146700002656</t>
        </is>
      </c>
      <c r="AZ689" t="inlineStr">
        <is>
          <t>BOOK</t>
        </is>
      </c>
      <c r="BB689" t="inlineStr">
        <is>
          <t>9780826140302</t>
        </is>
      </c>
      <c r="BC689" t="inlineStr">
        <is>
          <t>32285001606457</t>
        </is>
      </c>
      <c r="BD689" t="inlineStr">
        <is>
          <t>893333589</t>
        </is>
      </c>
    </row>
    <row r="690">
      <c r="A690" t="inlineStr">
        <is>
          <t>No</t>
        </is>
      </c>
      <c r="B690" t="inlineStr">
        <is>
          <t>RC480.5 .N39 1977b</t>
        </is>
      </c>
      <c r="C690" t="inlineStr">
        <is>
          <t>0                      RC 0480500N  39          1977b</t>
        </is>
      </c>
      <c r="D690" t="inlineStr">
        <is>
          <t>Emotion, thought, &amp; therapy : a study of Hume and Spinoza and the relationship of philosophical theories of the emotions to psychological theories of therapy / Jerome Neu.</t>
        </is>
      </c>
      <c r="F690" t="inlineStr">
        <is>
          <t>No</t>
        </is>
      </c>
      <c r="G690" t="inlineStr">
        <is>
          <t>1</t>
        </is>
      </c>
      <c r="H690" t="inlineStr">
        <is>
          <t>No</t>
        </is>
      </c>
      <c r="I690" t="inlineStr">
        <is>
          <t>No</t>
        </is>
      </c>
      <c r="J690" t="inlineStr">
        <is>
          <t>0</t>
        </is>
      </c>
      <c r="K690" t="inlineStr">
        <is>
          <t>Neu, Jerome.</t>
        </is>
      </c>
      <c r="L690" t="inlineStr">
        <is>
          <t>Berkeley : University of California Press, 1977.</t>
        </is>
      </c>
      <c r="M690" t="inlineStr">
        <is>
          <t>1977</t>
        </is>
      </c>
      <c r="O690" t="inlineStr">
        <is>
          <t>eng</t>
        </is>
      </c>
      <c r="P690" t="inlineStr">
        <is>
          <t>cau</t>
        </is>
      </c>
      <c r="R690" t="inlineStr">
        <is>
          <t xml:space="preserve">RC </t>
        </is>
      </c>
      <c r="S690" t="n">
        <v>1</v>
      </c>
      <c r="T690" t="n">
        <v>1</v>
      </c>
      <c r="U690" t="inlineStr">
        <is>
          <t>1994-04-04</t>
        </is>
      </c>
      <c r="V690" t="inlineStr">
        <is>
          <t>1994-04-04</t>
        </is>
      </c>
      <c r="W690" t="inlineStr">
        <is>
          <t>1993-03-23</t>
        </is>
      </c>
      <c r="X690" t="inlineStr">
        <is>
          <t>1993-03-23</t>
        </is>
      </c>
      <c r="Y690" t="n">
        <v>346</v>
      </c>
      <c r="Z690" t="n">
        <v>308</v>
      </c>
      <c r="AA690" t="n">
        <v>337</v>
      </c>
      <c r="AB690" t="n">
        <v>2</v>
      </c>
      <c r="AC690" t="n">
        <v>2</v>
      </c>
      <c r="AD690" t="n">
        <v>22</v>
      </c>
      <c r="AE690" t="n">
        <v>23</v>
      </c>
      <c r="AF690" t="n">
        <v>5</v>
      </c>
      <c r="AG690" t="n">
        <v>5</v>
      </c>
      <c r="AH690" t="n">
        <v>6</v>
      </c>
      <c r="AI690" t="n">
        <v>6</v>
      </c>
      <c r="AJ690" t="n">
        <v>16</v>
      </c>
      <c r="AK690" t="n">
        <v>17</v>
      </c>
      <c r="AL690" t="n">
        <v>1</v>
      </c>
      <c r="AM690" t="n">
        <v>1</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HYPERLINK("https://creighton-primo.hosted.exlibrisgroup.com/primo-explore/search?tab=default_tab&amp;search_scope=EVERYTHING&amp;vid=01CRU&amp;lang=en_US&amp;offset=0&amp;query=any,contains,991004538349702656","Catalog Record")</f>
        <v/>
      </c>
      <c r="AT690">
        <f>HYPERLINK("http://www.worldcat.org/oclc/3882469","WorldCat Record")</f>
        <v/>
      </c>
      <c r="AU690" t="inlineStr">
        <is>
          <t>889617891:eng</t>
        </is>
      </c>
      <c r="AV690" t="inlineStr">
        <is>
          <t>3882469</t>
        </is>
      </c>
      <c r="AW690" t="inlineStr">
        <is>
          <t>991004538349702656</t>
        </is>
      </c>
      <c r="AX690" t="inlineStr">
        <is>
          <t>991004538349702656</t>
        </is>
      </c>
      <c r="AY690" t="inlineStr">
        <is>
          <t>2259270010002656</t>
        </is>
      </c>
      <c r="AZ690" t="inlineStr">
        <is>
          <t>BOOK</t>
        </is>
      </c>
      <c r="BB690" t="inlineStr">
        <is>
          <t>9780520032880</t>
        </is>
      </c>
      <c r="BC690" t="inlineStr">
        <is>
          <t>32285001606465</t>
        </is>
      </c>
      <c r="BD690" t="inlineStr">
        <is>
          <t>893895126</t>
        </is>
      </c>
    </row>
    <row r="691">
      <c r="A691" t="inlineStr">
        <is>
          <t>No</t>
        </is>
      </c>
      <c r="B691" t="inlineStr">
        <is>
          <t>RC480.5 .P478 1993</t>
        </is>
      </c>
      <c r="C691" t="inlineStr">
        <is>
          <t>0                      RC 0480500P  478         1993</t>
        </is>
      </c>
      <c r="D691" t="inlineStr">
        <is>
          <t>On the shoulders of women : the feminization of psychotherapy / Ilene J. Philipson.</t>
        </is>
      </c>
      <c r="F691" t="inlineStr">
        <is>
          <t>No</t>
        </is>
      </c>
      <c r="G691" t="inlineStr">
        <is>
          <t>1</t>
        </is>
      </c>
      <c r="H691" t="inlineStr">
        <is>
          <t>No</t>
        </is>
      </c>
      <c r="I691" t="inlineStr">
        <is>
          <t>No</t>
        </is>
      </c>
      <c r="J691" t="inlineStr">
        <is>
          <t>0</t>
        </is>
      </c>
      <c r="K691" t="inlineStr">
        <is>
          <t>Philipson, Ilene J.</t>
        </is>
      </c>
      <c r="L691" t="inlineStr">
        <is>
          <t>New York : Guilford Press, c1993.</t>
        </is>
      </c>
      <c r="M691" t="inlineStr">
        <is>
          <t>1993</t>
        </is>
      </c>
      <c r="O691" t="inlineStr">
        <is>
          <t>eng</t>
        </is>
      </c>
      <c r="P691" t="inlineStr">
        <is>
          <t>nyu</t>
        </is>
      </c>
      <c r="R691" t="inlineStr">
        <is>
          <t xml:space="preserve">RC </t>
        </is>
      </c>
      <c r="S691" t="n">
        <v>4</v>
      </c>
      <c r="T691" t="n">
        <v>4</v>
      </c>
      <c r="U691" t="inlineStr">
        <is>
          <t>1995-03-11</t>
        </is>
      </c>
      <c r="V691" t="inlineStr">
        <is>
          <t>1995-03-11</t>
        </is>
      </c>
      <c r="W691" t="inlineStr">
        <is>
          <t>1995-01-03</t>
        </is>
      </c>
      <c r="X691" t="inlineStr">
        <is>
          <t>1995-01-03</t>
        </is>
      </c>
      <c r="Y691" t="n">
        <v>366</v>
      </c>
      <c r="Z691" t="n">
        <v>313</v>
      </c>
      <c r="AA691" t="n">
        <v>314</v>
      </c>
      <c r="AB691" t="n">
        <v>3</v>
      </c>
      <c r="AC691" t="n">
        <v>3</v>
      </c>
      <c r="AD691" t="n">
        <v>22</v>
      </c>
      <c r="AE691" t="n">
        <v>22</v>
      </c>
      <c r="AF691" t="n">
        <v>5</v>
      </c>
      <c r="AG691" t="n">
        <v>5</v>
      </c>
      <c r="AH691" t="n">
        <v>7</v>
      </c>
      <c r="AI691" t="n">
        <v>7</v>
      </c>
      <c r="AJ691" t="n">
        <v>16</v>
      </c>
      <c r="AK691" t="n">
        <v>16</v>
      </c>
      <c r="AL691" t="n">
        <v>2</v>
      </c>
      <c r="AM691" t="n">
        <v>2</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HYPERLINK("https://creighton-primo.hosted.exlibrisgroup.com/primo-explore/search?tab=default_tab&amp;search_scope=EVERYTHING&amp;vid=01CRU&amp;lang=en_US&amp;offset=0&amp;query=any,contains,991002203449702656","Catalog Record")</f>
        <v/>
      </c>
      <c r="AT691">
        <f>HYPERLINK("http://www.worldcat.org/oclc/28338620","WorldCat Record")</f>
        <v/>
      </c>
      <c r="AU691" t="inlineStr">
        <is>
          <t>476575446:eng</t>
        </is>
      </c>
      <c r="AV691" t="inlineStr">
        <is>
          <t>28338620</t>
        </is>
      </c>
      <c r="AW691" t="inlineStr">
        <is>
          <t>991002203449702656</t>
        </is>
      </c>
      <c r="AX691" t="inlineStr">
        <is>
          <t>991002203449702656</t>
        </is>
      </c>
      <c r="AY691" t="inlineStr">
        <is>
          <t>2261477750002656</t>
        </is>
      </c>
      <c r="AZ691" t="inlineStr">
        <is>
          <t>BOOK</t>
        </is>
      </c>
      <c r="BB691" t="inlineStr">
        <is>
          <t>9780898620177</t>
        </is>
      </c>
      <c r="BC691" t="inlineStr">
        <is>
          <t>32285001990513</t>
        </is>
      </c>
      <c r="BD691" t="inlineStr">
        <is>
          <t>893433605</t>
        </is>
      </c>
    </row>
    <row r="692">
      <c r="A692" t="inlineStr">
        <is>
          <t>No</t>
        </is>
      </c>
      <c r="B692" t="inlineStr">
        <is>
          <t>RC480.5 .P7</t>
        </is>
      </c>
      <c r="C692" t="inlineStr">
        <is>
          <t>0                      RC 0480500P  7</t>
        </is>
      </c>
      <c r="D692" t="inlineStr">
        <is>
          <t>At a journal workshop : the basic text and guide for using the Intensive journal / by Ira Progoff.</t>
        </is>
      </c>
      <c r="F692" t="inlineStr">
        <is>
          <t>No</t>
        </is>
      </c>
      <c r="G692" t="inlineStr">
        <is>
          <t>1</t>
        </is>
      </c>
      <c r="H692" t="inlineStr">
        <is>
          <t>No</t>
        </is>
      </c>
      <c r="I692" t="inlineStr">
        <is>
          <t>No</t>
        </is>
      </c>
      <c r="J692" t="inlineStr">
        <is>
          <t>0</t>
        </is>
      </c>
      <c r="K692" t="inlineStr">
        <is>
          <t>Progoff, Ira.</t>
        </is>
      </c>
      <c r="L692" t="inlineStr">
        <is>
          <t>New York : Dialogue House Library, c1975, 1976 printing.</t>
        </is>
      </c>
      <c r="M692" t="inlineStr">
        <is>
          <t>1975</t>
        </is>
      </c>
      <c r="O692" t="inlineStr">
        <is>
          <t>eng</t>
        </is>
      </c>
      <c r="P692" t="inlineStr">
        <is>
          <t>nyu</t>
        </is>
      </c>
      <c r="R692" t="inlineStr">
        <is>
          <t xml:space="preserve">RC </t>
        </is>
      </c>
      <c r="S692" t="n">
        <v>20</v>
      </c>
      <c r="T692" t="n">
        <v>20</v>
      </c>
      <c r="U692" t="inlineStr">
        <is>
          <t>2008-02-01</t>
        </is>
      </c>
      <c r="V692" t="inlineStr">
        <is>
          <t>2008-02-01</t>
        </is>
      </c>
      <c r="W692" t="inlineStr">
        <is>
          <t>1992-04-30</t>
        </is>
      </c>
      <c r="X692" t="inlineStr">
        <is>
          <t>1992-04-30</t>
        </is>
      </c>
      <c r="Y692" t="n">
        <v>668</v>
      </c>
      <c r="Z692" t="n">
        <v>594</v>
      </c>
      <c r="AA692" t="n">
        <v>787</v>
      </c>
      <c r="AB692" t="n">
        <v>4</v>
      </c>
      <c r="AC692" t="n">
        <v>5</v>
      </c>
      <c r="AD692" t="n">
        <v>18</v>
      </c>
      <c r="AE692" t="n">
        <v>24</v>
      </c>
      <c r="AF692" t="n">
        <v>7</v>
      </c>
      <c r="AG692" t="n">
        <v>9</v>
      </c>
      <c r="AH692" t="n">
        <v>2</v>
      </c>
      <c r="AI692" t="n">
        <v>3</v>
      </c>
      <c r="AJ692" t="n">
        <v>13</v>
      </c>
      <c r="AK692" t="n">
        <v>16</v>
      </c>
      <c r="AL692" t="n">
        <v>1</v>
      </c>
      <c r="AM692" t="n">
        <v>2</v>
      </c>
      <c r="AN692" t="n">
        <v>0</v>
      </c>
      <c r="AO692" t="n">
        <v>0</v>
      </c>
      <c r="AP692" t="inlineStr">
        <is>
          <t>No</t>
        </is>
      </c>
      <c r="AQ692" t="inlineStr">
        <is>
          <t>Yes</t>
        </is>
      </c>
      <c r="AR692">
        <f>HYPERLINK("http://catalog.hathitrust.org/Record/000032169","HathiTrust Record")</f>
        <v/>
      </c>
      <c r="AS692">
        <f>HYPERLINK("https://creighton-primo.hosted.exlibrisgroup.com/primo-explore/search?tab=default_tab&amp;search_scope=EVERYTHING&amp;vid=01CRU&amp;lang=en_US&amp;offset=0&amp;query=any,contains,991003827459702656","Catalog Record")</f>
        <v/>
      </c>
      <c r="AT692">
        <f>HYPERLINK("http://www.worldcat.org/oclc/1580592","WorldCat Record")</f>
        <v/>
      </c>
      <c r="AU692" t="inlineStr">
        <is>
          <t>4608553:eng</t>
        </is>
      </c>
      <c r="AV692" t="inlineStr">
        <is>
          <t>1580592</t>
        </is>
      </c>
      <c r="AW692" t="inlineStr">
        <is>
          <t>991003827459702656</t>
        </is>
      </c>
      <c r="AX692" t="inlineStr">
        <is>
          <t>991003827459702656</t>
        </is>
      </c>
      <c r="AY692" t="inlineStr">
        <is>
          <t>2267080760002656</t>
        </is>
      </c>
      <c r="AZ692" t="inlineStr">
        <is>
          <t>BOOK</t>
        </is>
      </c>
      <c r="BB692" t="inlineStr">
        <is>
          <t>9780879410032</t>
        </is>
      </c>
      <c r="BC692" t="inlineStr">
        <is>
          <t>32285001103729</t>
        </is>
      </c>
      <c r="BD692" t="inlineStr">
        <is>
          <t>893343070</t>
        </is>
      </c>
    </row>
    <row r="693">
      <c r="A693" t="inlineStr">
        <is>
          <t>No</t>
        </is>
      </c>
      <c r="B693" t="inlineStr">
        <is>
          <t>RC480.5 .P775</t>
        </is>
      </c>
      <c r="C693" t="inlineStr">
        <is>
          <t>0                      RC 0480500P  775</t>
        </is>
      </c>
      <c r="D693" t="inlineStr">
        <is>
          <t>Psychotherapy process : current issues and future directions / edited by Michael J. Mahoney.</t>
        </is>
      </c>
      <c r="F693" t="inlineStr">
        <is>
          <t>No</t>
        </is>
      </c>
      <c r="G693" t="inlineStr">
        <is>
          <t>1</t>
        </is>
      </c>
      <c r="H693" t="inlineStr">
        <is>
          <t>No</t>
        </is>
      </c>
      <c r="I693" t="inlineStr">
        <is>
          <t>No</t>
        </is>
      </c>
      <c r="J693" t="inlineStr">
        <is>
          <t>0</t>
        </is>
      </c>
      <c r="L693" t="inlineStr">
        <is>
          <t>New York : Plenum Press, c1980</t>
        </is>
      </c>
      <c r="M693" t="inlineStr">
        <is>
          <t>1980</t>
        </is>
      </c>
      <c r="O693" t="inlineStr">
        <is>
          <t>eng</t>
        </is>
      </c>
      <c r="P693" t="inlineStr">
        <is>
          <t>nyu</t>
        </is>
      </c>
      <c r="R693" t="inlineStr">
        <is>
          <t xml:space="preserve">RC </t>
        </is>
      </c>
      <c r="S693" t="n">
        <v>7</v>
      </c>
      <c r="T693" t="n">
        <v>7</v>
      </c>
      <c r="U693" t="inlineStr">
        <is>
          <t>1997-03-15</t>
        </is>
      </c>
      <c r="V693" t="inlineStr">
        <is>
          <t>1997-03-15</t>
        </is>
      </c>
      <c r="W693" t="inlineStr">
        <is>
          <t>1990-03-01</t>
        </is>
      </c>
      <c r="X693" t="inlineStr">
        <is>
          <t>1990-03-01</t>
        </is>
      </c>
      <c r="Y693" t="n">
        <v>326</v>
      </c>
      <c r="Z693" t="n">
        <v>235</v>
      </c>
      <c r="AA693" t="n">
        <v>257</v>
      </c>
      <c r="AB693" t="n">
        <v>3</v>
      </c>
      <c r="AC693" t="n">
        <v>3</v>
      </c>
      <c r="AD693" t="n">
        <v>9</v>
      </c>
      <c r="AE693" t="n">
        <v>11</v>
      </c>
      <c r="AF693" t="n">
        <v>4</v>
      </c>
      <c r="AG693" t="n">
        <v>6</v>
      </c>
      <c r="AH693" t="n">
        <v>0</v>
      </c>
      <c r="AI693" t="n">
        <v>0</v>
      </c>
      <c r="AJ693" t="n">
        <v>4</v>
      </c>
      <c r="AK693" t="n">
        <v>5</v>
      </c>
      <c r="AL693" t="n">
        <v>2</v>
      </c>
      <c r="AM693" t="n">
        <v>2</v>
      </c>
      <c r="AN693" t="n">
        <v>0</v>
      </c>
      <c r="AO693" t="n">
        <v>0</v>
      </c>
      <c r="AP693" t="inlineStr">
        <is>
          <t>No</t>
        </is>
      </c>
      <c r="AQ693" t="inlineStr">
        <is>
          <t>Yes</t>
        </is>
      </c>
      <c r="AR693">
        <f>HYPERLINK("http://catalog.hathitrust.org/Record/000265007","HathiTrust Record")</f>
        <v/>
      </c>
      <c r="AS693">
        <f>HYPERLINK("https://creighton-primo.hosted.exlibrisgroup.com/primo-explore/search?tab=default_tab&amp;search_scope=EVERYTHING&amp;vid=01CRU&amp;lang=en_US&amp;offset=0&amp;query=any,contains,991004778739702656","Catalog Record")</f>
        <v/>
      </c>
      <c r="AT693">
        <f>HYPERLINK("http://www.worldcat.org/oclc/5101941","WorldCat Record")</f>
        <v/>
      </c>
      <c r="AU693" t="inlineStr">
        <is>
          <t>437216:eng</t>
        </is>
      </c>
      <c r="AV693" t="inlineStr">
        <is>
          <t>5101941</t>
        </is>
      </c>
      <c r="AW693" t="inlineStr">
        <is>
          <t>991004778739702656</t>
        </is>
      </c>
      <c r="AX693" t="inlineStr">
        <is>
          <t>991004778739702656</t>
        </is>
      </c>
      <c r="AY693" t="inlineStr">
        <is>
          <t>2259119020002656</t>
        </is>
      </c>
      <c r="AZ693" t="inlineStr">
        <is>
          <t>BOOK</t>
        </is>
      </c>
      <c r="BB693" t="inlineStr">
        <is>
          <t>9780306402449</t>
        </is>
      </c>
      <c r="BC693" t="inlineStr">
        <is>
          <t>32285000075415</t>
        </is>
      </c>
      <c r="BD693" t="inlineStr">
        <is>
          <t>893606465</t>
        </is>
      </c>
    </row>
    <row r="694">
      <c r="A694" t="inlineStr">
        <is>
          <t>No</t>
        </is>
      </c>
      <c r="B694" t="inlineStr">
        <is>
          <t>RC480.5 .R39</t>
        </is>
      </c>
      <c r="C694" t="inlineStr">
        <is>
          <t>0                      RC 0480500R  39</t>
        </is>
      </c>
      <c r="D694" t="inlineStr">
        <is>
          <t>The quiet therapies : Japanese pathways to personal growth / David K. Reynolds ; afterword by George DeVos.</t>
        </is>
      </c>
      <c r="F694" t="inlineStr">
        <is>
          <t>No</t>
        </is>
      </c>
      <c r="G694" t="inlineStr">
        <is>
          <t>1</t>
        </is>
      </c>
      <c r="H694" t="inlineStr">
        <is>
          <t>No</t>
        </is>
      </c>
      <c r="I694" t="inlineStr">
        <is>
          <t>No</t>
        </is>
      </c>
      <c r="J694" t="inlineStr">
        <is>
          <t>0</t>
        </is>
      </c>
      <c r="K694" t="inlineStr">
        <is>
          <t>Reynolds, David K.</t>
        </is>
      </c>
      <c r="L694" t="inlineStr">
        <is>
          <t>Honolulu : University Press of Hawaii, c1980.</t>
        </is>
      </c>
      <c r="M694" t="inlineStr">
        <is>
          <t>1980</t>
        </is>
      </c>
      <c r="O694" t="inlineStr">
        <is>
          <t>eng</t>
        </is>
      </c>
      <c r="P694" t="inlineStr">
        <is>
          <t>hiu</t>
        </is>
      </c>
      <c r="R694" t="inlineStr">
        <is>
          <t xml:space="preserve">RC </t>
        </is>
      </c>
      <c r="S694" t="n">
        <v>2</v>
      </c>
      <c r="T694" t="n">
        <v>2</v>
      </c>
      <c r="U694" t="inlineStr">
        <is>
          <t>1993-06-23</t>
        </is>
      </c>
      <c r="V694" t="inlineStr">
        <is>
          <t>1993-06-23</t>
        </is>
      </c>
      <c r="W694" t="inlineStr">
        <is>
          <t>1993-03-23</t>
        </is>
      </c>
      <c r="X694" t="inlineStr">
        <is>
          <t>1993-03-23</t>
        </is>
      </c>
      <c r="Y694" t="n">
        <v>658</v>
      </c>
      <c r="Z694" t="n">
        <v>575</v>
      </c>
      <c r="AA694" t="n">
        <v>875</v>
      </c>
      <c r="AB694" t="n">
        <v>4</v>
      </c>
      <c r="AC694" t="n">
        <v>5</v>
      </c>
      <c r="AD694" t="n">
        <v>25</v>
      </c>
      <c r="AE694" t="n">
        <v>28</v>
      </c>
      <c r="AF694" t="n">
        <v>12</v>
      </c>
      <c r="AG694" t="n">
        <v>13</v>
      </c>
      <c r="AH694" t="n">
        <v>3</v>
      </c>
      <c r="AI694" t="n">
        <v>3</v>
      </c>
      <c r="AJ694" t="n">
        <v>11</v>
      </c>
      <c r="AK694" t="n">
        <v>13</v>
      </c>
      <c r="AL694" t="n">
        <v>3</v>
      </c>
      <c r="AM694" t="n">
        <v>4</v>
      </c>
      <c r="AN694" t="n">
        <v>0</v>
      </c>
      <c r="AO694" t="n">
        <v>0</v>
      </c>
      <c r="AP694" t="inlineStr">
        <is>
          <t>No</t>
        </is>
      </c>
      <c r="AQ694" t="inlineStr">
        <is>
          <t>Yes</t>
        </is>
      </c>
      <c r="AR694">
        <f>HYPERLINK("http://catalog.hathitrust.org/Record/000224338","HathiTrust Record")</f>
        <v/>
      </c>
      <c r="AS694">
        <f>HYPERLINK("https://creighton-primo.hosted.exlibrisgroup.com/primo-explore/search?tab=default_tab&amp;search_scope=EVERYTHING&amp;vid=01CRU&amp;lang=en_US&amp;offset=0&amp;query=any,contains,991004984359702656","Catalog Record")</f>
        <v/>
      </c>
      <c r="AT694">
        <f>HYPERLINK("http://www.worldcat.org/oclc/6446708","WorldCat Record")</f>
        <v/>
      </c>
      <c r="AU694" t="inlineStr">
        <is>
          <t>492412:eng</t>
        </is>
      </c>
      <c r="AV694" t="inlineStr">
        <is>
          <t>6446708</t>
        </is>
      </c>
      <c r="AW694" t="inlineStr">
        <is>
          <t>991004984359702656</t>
        </is>
      </c>
      <c r="AX694" t="inlineStr">
        <is>
          <t>991004984359702656</t>
        </is>
      </c>
      <c r="AY694" t="inlineStr">
        <is>
          <t>2255933950002656</t>
        </is>
      </c>
      <c r="AZ694" t="inlineStr">
        <is>
          <t>BOOK</t>
        </is>
      </c>
      <c r="BB694" t="inlineStr">
        <is>
          <t>9780824806903</t>
        </is>
      </c>
      <c r="BC694" t="inlineStr">
        <is>
          <t>32285001606473</t>
        </is>
      </c>
      <c r="BD694" t="inlineStr">
        <is>
          <t>893606666</t>
        </is>
      </c>
    </row>
    <row r="695">
      <c r="A695" t="inlineStr">
        <is>
          <t>No</t>
        </is>
      </c>
      <c r="B695" t="inlineStr">
        <is>
          <t>RC480.5 .S43 1983</t>
        </is>
      </c>
      <c r="C695" t="inlineStr">
        <is>
          <t>0                      RC 0480500S  43          1983</t>
        </is>
      </c>
      <c r="D695" t="inlineStr">
        <is>
          <t>Healing in psychotherapy : the process of holistic change / Diane Shainberg.</t>
        </is>
      </c>
      <c r="F695" t="inlineStr">
        <is>
          <t>No</t>
        </is>
      </c>
      <c r="G695" t="inlineStr">
        <is>
          <t>1</t>
        </is>
      </c>
      <c r="H695" t="inlineStr">
        <is>
          <t>No</t>
        </is>
      </c>
      <c r="I695" t="inlineStr">
        <is>
          <t>No</t>
        </is>
      </c>
      <c r="J695" t="inlineStr">
        <is>
          <t>0</t>
        </is>
      </c>
      <c r="K695" t="inlineStr">
        <is>
          <t>Shainberg, Diane, 1933-</t>
        </is>
      </c>
      <c r="L695" t="inlineStr">
        <is>
          <t>New York : Gordon and Breach Science Publishers, c1983.</t>
        </is>
      </c>
      <c r="M695" t="inlineStr">
        <is>
          <t>1983</t>
        </is>
      </c>
      <c r="O695" t="inlineStr">
        <is>
          <t>eng</t>
        </is>
      </c>
      <c r="P695" t="inlineStr">
        <is>
          <t>nyu</t>
        </is>
      </c>
      <c r="Q695" t="inlineStr">
        <is>
          <t>Perspectives in psychotherapy, 0735-4037 ; v. 1</t>
        </is>
      </c>
      <c r="R695" t="inlineStr">
        <is>
          <t xml:space="preserve">RC </t>
        </is>
      </c>
      <c r="S695" t="n">
        <v>3</v>
      </c>
      <c r="T695" t="n">
        <v>3</v>
      </c>
      <c r="U695" t="inlineStr">
        <is>
          <t>1998-11-14</t>
        </is>
      </c>
      <c r="V695" t="inlineStr">
        <is>
          <t>1998-11-14</t>
        </is>
      </c>
      <c r="W695" t="inlineStr">
        <is>
          <t>1993-03-18</t>
        </is>
      </c>
      <c r="X695" t="inlineStr">
        <is>
          <t>1993-03-18</t>
        </is>
      </c>
      <c r="Y695" t="n">
        <v>168</v>
      </c>
      <c r="Z695" t="n">
        <v>129</v>
      </c>
      <c r="AA695" t="n">
        <v>131</v>
      </c>
      <c r="AB695" t="n">
        <v>2</v>
      </c>
      <c r="AC695" t="n">
        <v>2</v>
      </c>
      <c r="AD695" t="n">
        <v>7</v>
      </c>
      <c r="AE695" t="n">
        <v>7</v>
      </c>
      <c r="AF695" t="n">
        <v>2</v>
      </c>
      <c r="AG695" t="n">
        <v>2</v>
      </c>
      <c r="AH695" t="n">
        <v>0</v>
      </c>
      <c r="AI695" t="n">
        <v>0</v>
      </c>
      <c r="AJ695" t="n">
        <v>5</v>
      </c>
      <c r="AK695" t="n">
        <v>5</v>
      </c>
      <c r="AL695" t="n">
        <v>1</v>
      </c>
      <c r="AM695" t="n">
        <v>1</v>
      </c>
      <c r="AN695" t="n">
        <v>0</v>
      </c>
      <c r="AO695" t="n">
        <v>0</v>
      </c>
      <c r="AP695" t="inlineStr">
        <is>
          <t>No</t>
        </is>
      </c>
      <c r="AQ695" t="inlineStr">
        <is>
          <t>Yes</t>
        </is>
      </c>
      <c r="AR695">
        <f>HYPERLINK("http://catalog.hathitrust.org/Record/000355366","HathiTrust Record")</f>
        <v/>
      </c>
      <c r="AS695">
        <f>HYPERLINK("https://creighton-primo.hosted.exlibrisgroup.com/primo-explore/search?tab=default_tab&amp;search_scope=EVERYTHING&amp;vid=01CRU&amp;lang=en_US&amp;offset=0&amp;query=any,contains,991000135749702656","Catalog Record")</f>
        <v/>
      </c>
      <c r="AT695">
        <f>HYPERLINK("http://www.worldcat.org/oclc/9132770","WorldCat Record")</f>
        <v/>
      </c>
      <c r="AU695" t="inlineStr">
        <is>
          <t>234402514:eng</t>
        </is>
      </c>
      <c r="AV695" t="inlineStr">
        <is>
          <t>9132770</t>
        </is>
      </c>
      <c r="AW695" t="inlineStr">
        <is>
          <t>991000135749702656</t>
        </is>
      </c>
      <c r="AX695" t="inlineStr">
        <is>
          <t>991000135749702656</t>
        </is>
      </c>
      <c r="AY695" t="inlineStr">
        <is>
          <t>2267676560002656</t>
        </is>
      </c>
      <c r="AZ695" t="inlineStr">
        <is>
          <t>BOOK</t>
        </is>
      </c>
      <c r="BB695" t="inlineStr">
        <is>
          <t>9780677061009</t>
        </is>
      </c>
      <c r="BC695" t="inlineStr">
        <is>
          <t>32285001575728</t>
        </is>
      </c>
      <c r="BD695" t="inlineStr">
        <is>
          <t>893333243</t>
        </is>
      </c>
    </row>
    <row r="696">
      <c r="A696" t="inlineStr">
        <is>
          <t>No</t>
        </is>
      </c>
      <c r="B696" t="inlineStr">
        <is>
          <t>RC480.5 .S443</t>
        </is>
      </c>
      <c r="C696" t="inlineStr">
        <is>
          <t>0                      RC 0480500S  443</t>
        </is>
      </c>
      <c r="D696" t="inlineStr">
        <is>
          <t>Trusting yourself : psychotherapy as a beginning / Steve Shapiro, Hilary Tyrka.</t>
        </is>
      </c>
      <c r="F696" t="inlineStr">
        <is>
          <t>No</t>
        </is>
      </c>
      <c r="G696" t="inlineStr">
        <is>
          <t>1</t>
        </is>
      </c>
      <c r="H696" t="inlineStr">
        <is>
          <t>No</t>
        </is>
      </c>
      <c r="I696" t="inlineStr">
        <is>
          <t>No</t>
        </is>
      </c>
      <c r="J696" t="inlineStr">
        <is>
          <t>0</t>
        </is>
      </c>
      <c r="K696" t="inlineStr">
        <is>
          <t>Shapiro, Stephen A.</t>
        </is>
      </c>
      <c r="L696" t="inlineStr">
        <is>
          <t>Englewood Cliffs, N.J. : Prentice-Hall, [1975]</t>
        </is>
      </c>
      <c r="M696" t="inlineStr">
        <is>
          <t>1975</t>
        </is>
      </c>
      <c r="O696" t="inlineStr">
        <is>
          <t>eng</t>
        </is>
      </c>
      <c r="P696" t="inlineStr">
        <is>
          <t>nju</t>
        </is>
      </c>
      <c r="Q696" t="inlineStr">
        <is>
          <t>A Spectrum book ; S-365</t>
        </is>
      </c>
      <c r="R696" t="inlineStr">
        <is>
          <t xml:space="preserve">RC </t>
        </is>
      </c>
      <c r="S696" t="n">
        <v>2</v>
      </c>
      <c r="T696" t="n">
        <v>2</v>
      </c>
      <c r="U696" t="inlineStr">
        <is>
          <t>2001-06-19</t>
        </is>
      </c>
      <c r="V696" t="inlineStr">
        <is>
          <t>2001-06-19</t>
        </is>
      </c>
      <c r="W696" t="inlineStr">
        <is>
          <t>1997-08-11</t>
        </is>
      </c>
      <c r="X696" t="inlineStr">
        <is>
          <t>1997-08-11</t>
        </is>
      </c>
      <c r="Y696" t="n">
        <v>146</v>
      </c>
      <c r="Z696" t="n">
        <v>112</v>
      </c>
      <c r="AA696" t="n">
        <v>114</v>
      </c>
      <c r="AB696" t="n">
        <v>2</v>
      </c>
      <c r="AC696" t="n">
        <v>2</v>
      </c>
      <c r="AD696" t="n">
        <v>5</v>
      </c>
      <c r="AE696" t="n">
        <v>5</v>
      </c>
      <c r="AF696" t="n">
        <v>1</v>
      </c>
      <c r="AG696" t="n">
        <v>1</v>
      </c>
      <c r="AH696" t="n">
        <v>1</v>
      </c>
      <c r="AI696" t="n">
        <v>1</v>
      </c>
      <c r="AJ696" t="n">
        <v>3</v>
      </c>
      <c r="AK696" t="n">
        <v>3</v>
      </c>
      <c r="AL696" t="n">
        <v>1</v>
      </c>
      <c r="AM696" t="n">
        <v>1</v>
      </c>
      <c r="AN696" t="n">
        <v>0</v>
      </c>
      <c r="AO696" t="n">
        <v>0</v>
      </c>
      <c r="AP696" t="inlineStr">
        <is>
          <t>No</t>
        </is>
      </c>
      <c r="AQ696" t="inlineStr">
        <is>
          <t>Yes</t>
        </is>
      </c>
      <c r="AR696">
        <f>HYPERLINK("http://catalog.hathitrust.org/Record/000023466","HathiTrust Record")</f>
        <v/>
      </c>
      <c r="AS696">
        <f>HYPERLINK("https://creighton-primo.hosted.exlibrisgroup.com/primo-explore/search?tab=default_tab&amp;search_scope=EVERYTHING&amp;vid=01CRU&amp;lang=en_US&amp;offset=0&amp;query=any,contains,991004346809702656","Catalog Record")</f>
        <v/>
      </c>
      <c r="AT696">
        <f>HYPERLINK("http://www.worldcat.org/oclc/3103737","WorldCat Record")</f>
        <v/>
      </c>
      <c r="AU696" t="inlineStr">
        <is>
          <t>7582556:eng</t>
        </is>
      </c>
      <c r="AV696" t="inlineStr">
        <is>
          <t>3103737</t>
        </is>
      </c>
      <c r="AW696" t="inlineStr">
        <is>
          <t>991004346809702656</t>
        </is>
      </c>
      <c r="AX696" t="inlineStr">
        <is>
          <t>991004346809702656</t>
        </is>
      </c>
      <c r="AY696" t="inlineStr">
        <is>
          <t>2272634480002656</t>
        </is>
      </c>
      <c r="AZ696" t="inlineStr">
        <is>
          <t>BOOK</t>
        </is>
      </c>
      <c r="BB696" t="inlineStr">
        <is>
          <t>9780139310300</t>
        </is>
      </c>
      <c r="BC696" t="inlineStr">
        <is>
          <t>32285003091518</t>
        </is>
      </c>
      <c r="BD696" t="inlineStr">
        <is>
          <t>893882362</t>
        </is>
      </c>
    </row>
    <row r="697">
      <c r="A697" t="inlineStr">
        <is>
          <t>No</t>
        </is>
      </c>
      <c r="B697" t="inlineStr">
        <is>
          <t>RC480.5 .S523</t>
        </is>
      </c>
      <c r="C697" t="inlineStr">
        <is>
          <t>0                      RC 0480500S  523</t>
        </is>
      </c>
      <c r="D697" t="inlineStr">
        <is>
          <t>Actualizing therapy : foundations for a scientific ethic / Everett L. Shostrom, with Lila Knapp and Robert R. Knapp.</t>
        </is>
      </c>
      <c r="F697" t="inlineStr">
        <is>
          <t>No</t>
        </is>
      </c>
      <c r="G697" t="inlineStr">
        <is>
          <t>1</t>
        </is>
      </c>
      <c r="H697" t="inlineStr">
        <is>
          <t>No</t>
        </is>
      </c>
      <c r="I697" t="inlineStr">
        <is>
          <t>No</t>
        </is>
      </c>
      <c r="J697" t="inlineStr">
        <is>
          <t>0</t>
        </is>
      </c>
      <c r="K697" t="inlineStr">
        <is>
          <t>Shostrom, Everett L., 1921-1992.</t>
        </is>
      </c>
      <c r="L697" t="inlineStr">
        <is>
          <t>San Diego, Calif. : EdITS Publishers, 1976.</t>
        </is>
      </c>
      <c r="M697" t="inlineStr">
        <is>
          <t>1976</t>
        </is>
      </c>
      <c r="O697" t="inlineStr">
        <is>
          <t>eng</t>
        </is>
      </c>
      <c r="P697" t="inlineStr">
        <is>
          <t>cau</t>
        </is>
      </c>
      <c r="R697" t="inlineStr">
        <is>
          <t xml:space="preserve">RC </t>
        </is>
      </c>
      <c r="S697" t="n">
        <v>3</v>
      </c>
      <c r="T697" t="n">
        <v>3</v>
      </c>
      <c r="U697" t="inlineStr">
        <is>
          <t>1995-11-11</t>
        </is>
      </c>
      <c r="V697" t="inlineStr">
        <is>
          <t>1995-11-11</t>
        </is>
      </c>
      <c r="W697" t="inlineStr">
        <is>
          <t>1992-03-11</t>
        </is>
      </c>
      <c r="X697" t="inlineStr">
        <is>
          <t>1992-03-11</t>
        </is>
      </c>
      <c r="Y697" t="n">
        <v>452</v>
      </c>
      <c r="Z697" t="n">
        <v>412</v>
      </c>
      <c r="AA697" t="n">
        <v>418</v>
      </c>
      <c r="AB697" t="n">
        <v>6</v>
      </c>
      <c r="AC697" t="n">
        <v>6</v>
      </c>
      <c r="AD697" t="n">
        <v>23</v>
      </c>
      <c r="AE697" t="n">
        <v>23</v>
      </c>
      <c r="AF697" t="n">
        <v>7</v>
      </c>
      <c r="AG697" t="n">
        <v>7</v>
      </c>
      <c r="AH697" t="n">
        <v>3</v>
      </c>
      <c r="AI697" t="n">
        <v>3</v>
      </c>
      <c r="AJ697" t="n">
        <v>14</v>
      </c>
      <c r="AK697" t="n">
        <v>14</v>
      </c>
      <c r="AL697" t="n">
        <v>5</v>
      </c>
      <c r="AM697" t="n">
        <v>5</v>
      </c>
      <c r="AN697" t="n">
        <v>0</v>
      </c>
      <c r="AO697" t="n">
        <v>0</v>
      </c>
      <c r="AP697" t="inlineStr">
        <is>
          <t>No</t>
        </is>
      </c>
      <c r="AQ697" t="inlineStr">
        <is>
          <t>Yes</t>
        </is>
      </c>
      <c r="AR697">
        <f>HYPERLINK("http://catalog.hathitrust.org/Record/004422196","HathiTrust Record")</f>
        <v/>
      </c>
      <c r="AS697">
        <f>HYPERLINK("https://creighton-primo.hosted.exlibrisgroup.com/primo-explore/search?tab=default_tab&amp;search_scope=EVERYTHING&amp;vid=01CRU&amp;lang=en_US&amp;offset=0&amp;query=any,contains,991004115859702656","Catalog Record")</f>
        <v/>
      </c>
      <c r="AT697">
        <f>HYPERLINK("http://www.worldcat.org/oclc/2412280","WorldCat Record")</f>
        <v/>
      </c>
      <c r="AU697" t="inlineStr">
        <is>
          <t>836507612:eng</t>
        </is>
      </c>
      <c r="AV697" t="inlineStr">
        <is>
          <t>2412280</t>
        </is>
      </c>
      <c r="AW697" t="inlineStr">
        <is>
          <t>991004115859702656</t>
        </is>
      </c>
      <c r="AX697" t="inlineStr">
        <is>
          <t>991004115859702656</t>
        </is>
      </c>
      <c r="AY697" t="inlineStr">
        <is>
          <t>2266746930002656</t>
        </is>
      </c>
      <c r="AZ697" t="inlineStr">
        <is>
          <t>BOOK</t>
        </is>
      </c>
      <c r="BB697" t="inlineStr">
        <is>
          <t>9780912736143</t>
        </is>
      </c>
      <c r="BC697" t="inlineStr">
        <is>
          <t>32285000996388</t>
        </is>
      </c>
      <c r="BD697" t="inlineStr">
        <is>
          <t>893599450</t>
        </is>
      </c>
    </row>
    <row r="698">
      <c r="A698" t="inlineStr">
        <is>
          <t>No</t>
        </is>
      </c>
      <c r="B698" t="inlineStr">
        <is>
          <t>RC480.5 .S54</t>
        </is>
      </c>
      <c r="C698" t="inlineStr">
        <is>
          <t>0                      RC 0480500S  54</t>
        </is>
      </c>
      <c r="D698" t="inlineStr">
        <is>
          <t>Psychotherapy : a personal approach / D. J. Smail.</t>
        </is>
      </c>
      <c r="F698" t="inlineStr">
        <is>
          <t>No</t>
        </is>
      </c>
      <c r="G698" t="inlineStr">
        <is>
          <t>1</t>
        </is>
      </c>
      <c r="H698" t="inlineStr">
        <is>
          <t>No</t>
        </is>
      </c>
      <c r="I698" t="inlineStr">
        <is>
          <t>No</t>
        </is>
      </c>
      <c r="J698" t="inlineStr">
        <is>
          <t>0</t>
        </is>
      </c>
      <c r="K698" t="inlineStr">
        <is>
          <t>Smail, D. J. (David John)</t>
        </is>
      </c>
      <c r="L698" t="inlineStr">
        <is>
          <t>London : Dent, 1978.</t>
        </is>
      </c>
      <c r="M698" t="inlineStr">
        <is>
          <t>1978</t>
        </is>
      </c>
      <c r="O698" t="inlineStr">
        <is>
          <t>eng</t>
        </is>
      </c>
      <c r="P698" t="inlineStr">
        <is>
          <t>enk</t>
        </is>
      </c>
      <c r="R698" t="inlineStr">
        <is>
          <t xml:space="preserve">RC </t>
        </is>
      </c>
      <c r="S698" t="n">
        <v>2</v>
      </c>
      <c r="T698" t="n">
        <v>2</v>
      </c>
      <c r="U698" t="inlineStr">
        <is>
          <t>1996-10-30</t>
        </is>
      </c>
      <c r="V698" t="inlineStr">
        <is>
          <t>1996-10-30</t>
        </is>
      </c>
      <c r="W698" t="inlineStr">
        <is>
          <t>1993-03-23</t>
        </is>
      </c>
      <c r="X698" t="inlineStr">
        <is>
          <t>1993-03-23</t>
        </is>
      </c>
      <c r="Y698" t="n">
        <v>215</v>
      </c>
      <c r="Z698" t="n">
        <v>154</v>
      </c>
      <c r="AA698" t="n">
        <v>155</v>
      </c>
      <c r="AB698" t="n">
        <v>3</v>
      </c>
      <c r="AC698" t="n">
        <v>3</v>
      </c>
      <c r="AD698" t="n">
        <v>10</v>
      </c>
      <c r="AE698" t="n">
        <v>10</v>
      </c>
      <c r="AF698" t="n">
        <v>2</v>
      </c>
      <c r="AG698" t="n">
        <v>2</v>
      </c>
      <c r="AH698" t="n">
        <v>3</v>
      </c>
      <c r="AI698" t="n">
        <v>3</v>
      </c>
      <c r="AJ698" t="n">
        <v>4</v>
      </c>
      <c r="AK698" t="n">
        <v>4</v>
      </c>
      <c r="AL698" t="n">
        <v>2</v>
      </c>
      <c r="AM698" t="n">
        <v>2</v>
      </c>
      <c r="AN698" t="n">
        <v>0</v>
      </c>
      <c r="AO698" t="n">
        <v>0</v>
      </c>
      <c r="AP698" t="inlineStr">
        <is>
          <t>No</t>
        </is>
      </c>
      <c r="AQ698" t="inlineStr">
        <is>
          <t>Yes</t>
        </is>
      </c>
      <c r="AR698">
        <f>HYPERLINK("http://catalog.hathitrust.org/Record/000737708","HathiTrust Record")</f>
        <v/>
      </c>
      <c r="AS698">
        <f>HYPERLINK("https://creighton-primo.hosted.exlibrisgroup.com/primo-explore/search?tab=default_tab&amp;search_scope=EVERYTHING&amp;vid=01CRU&amp;lang=en_US&amp;offset=0&amp;query=any,contains,991004621529702656","Catalog Record")</f>
        <v/>
      </c>
      <c r="AT698">
        <f>HYPERLINK("http://www.worldcat.org/oclc/4300337","WorldCat Record")</f>
        <v/>
      </c>
      <c r="AU698" t="inlineStr">
        <is>
          <t>290112704:eng</t>
        </is>
      </c>
      <c r="AV698" t="inlineStr">
        <is>
          <t>4300337</t>
        </is>
      </c>
      <c r="AW698" t="inlineStr">
        <is>
          <t>991004621529702656</t>
        </is>
      </c>
      <c r="AX698" t="inlineStr">
        <is>
          <t>991004621529702656</t>
        </is>
      </c>
      <c r="AY698" t="inlineStr">
        <is>
          <t>2264918050002656</t>
        </is>
      </c>
      <c r="AZ698" t="inlineStr">
        <is>
          <t>BOOK</t>
        </is>
      </c>
      <c r="BB698" t="inlineStr">
        <is>
          <t>9780460120272</t>
        </is>
      </c>
      <c r="BC698" t="inlineStr">
        <is>
          <t>32285001606481</t>
        </is>
      </c>
      <c r="BD698" t="inlineStr">
        <is>
          <t>893241653</t>
        </is>
      </c>
    </row>
    <row r="699">
      <c r="A699" t="inlineStr">
        <is>
          <t>No</t>
        </is>
      </c>
      <c r="B699" t="inlineStr">
        <is>
          <t>RC480.5 .S57</t>
        </is>
      </c>
      <c r="C699" t="inlineStr">
        <is>
          <t>0                      RC 0480500S  57</t>
        </is>
      </c>
      <c r="D699" t="inlineStr">
        <is>
          <t>The benefits of psychotherapy / Mary Lee Smith, Gene V. Glass, Thomas I. Miller.</t>
        </is>
      </c>
      <c r="F699" t="inlineStr">
        <is>
          <t>No</t>
        </is>
      </c>
      <c r="G699" t="inlineStr">
        <is>
          <t>1</t>
        </is>
      </c>
      <c r="H699" t="inlineStr">
        <is>
          <t>No</t>
        </is>
      </c>
      <c r="I699" t="inlineStr">
        <is>
          <t>No</t>
        </is>
      </c>
      <c r="J699" t="inlineStr">
        <is>
          <t>0</t>
        </is>
      </c>
      <c r="K699" t="inlineStr">
        <is>
          <t>Smith, Mary Lee.</t>
        </is>
      </c>
      <c r="L699" t="inlineStr">
        <is>
          <t>Baltimore : Johns Hopkins University Press, c1980.</t>
        </is>
      </c>
      <c r="M699" t="inlineStr">
        <is>
          <t>1980</t>
        </is>
      </c>
      <c r="O699" t="inlineStr">
        <is>
          <t>eng</t>
        </is>
      </c>
      <c r="P699" t="inlineStr">
        <is>
          <t>mdu</t>
        </is>
      </c>
      <c r="R699" t="inlineStr">
        <is>
          <t xml:space="preserve">RC </t>
        </is>
      </c>
      <c r="S699" t="n">
        <v>4</v>
      </c>
      <c r="T699" t="n">
        <v>4</v>
      </c>
      <c r="U699" t="inlineStr">
        <is>
          <t>2007-11-16</t>
        </is>
      </c>
      <c r="V699" t="inlineStr">
        <is>
          <t>2007-11-16</t>
        </is>
      </c>
      <c r="W699" t="inlineStr">
        <is>
          <t>1990-03-01</t>
        </is>
      </c>
      <c r="X699" t="inlineStr">
        <is>
          <t>1990-03-01</t>
        </is>
      </c>
      <c r="Y699" t="n">
        <v>452</v>
      </c>
      <c r="Z699" t="n">
        <v>372</v>
      </c>
      <c r="AA699" t="n">
        <v>378</v>
      </c>
      <c r="AB699" t="n">
        <v>1</v>
      </c>
      <c r="AC699" t="n">
        <v>1</v>
      </c>
      <c r="AD699" t="n">
        <v>20</v>
      </c>
      <c r="AE699" t="n">
        <v>20</v>
      </c>
      <c r="AF699" t="n">
        <v>6</v>
      </c>
      <c r="AG699" t="n">
        <v>6</v>
      </c>
      <c r="AH699" t="n">
        <v>5</v>
      </c>
      <c r="AI699" t="n">
        <v>5</v>
      </c>
      <c r="AJ699" t="n">
        <v>14</v>
      </c>
      <c r="AK699" t="n">
        <v>14</v>
      </c>
      <c r="AL699" t="n">
        <v>0</v>
      </c>
      <c r="AM699" t="n">
        <v>0</v>
      </c>
      <c r="AN699" t="n">
        <v>1</v>
      </c>
      <c r="AO699" t="n">
        <v>1</v>
      </c>
      <c r="AP699" t="inlineStr">
        <is>
          <t>No</t>
        </is>
      </c>
      <c r="AQ699" t="inlineStr">
        <is>
          <t>Yes</t>
        </is>
      </c>
      <c r="AR699">
        <f>HYPERLINK("http://catalog.hathitrust.org/Record/000746117","HathiTrust Record")</f>
        <v/>
      </c>
      <c r="AS699">
        <f>HYPERLINK("https://creighton-primo.hosted.exlibrisgroup.com/primo-explore/search?tab=default_tab&amp;search_scope=EVERYTHING&amp;vid=01CRU&amp;lang=en_US&amp;offset=0&amp;query=any,contains,991004925159702656","Catalog Record")</f>
        <v/>
      </c>
      <c r="AT699">
        <f>HYPERLINK("http://www.worldcat.org/oclc/6085506","WorldCat Record")</f>
        <v/>
      </c>
      <c r="AU699" t="inlineStr">
        <is>
          <t>452173:eng</t>
        </is>
      </c>
      <c r="AV699" t="inlineStr">
        <is>
          <t>6085506</t>
        </is>
      </c>
      <c r="AW699" t="inlineStr">
        <is>
          <t>991004925159702656</t>
        </is>
      </c>
      <c r="AX699" t="inlineStr">
        <is>
          <t>991004925159702656</t>
        </is>
      </c>
      <c r="AY699" t="inlineStr">
        <is>
          <t>2260978220002656</t>
        </is>
      </c>
      <c r="AZ699" t="inlineStr">
        <is>
          <t>BOOK</t>
        </is>
      </c>
      <c r="BB699" t="inlineStr">
        <is>
          <t>9780801823527</t>
        </is>
      </c>
      <c r="BC699" t="inlineStr">
        <is>
          <t>32285000075423</t>
        </is>
      </c>
      <c r="BD699" t="inlineStr">
        <is>
          <t>893801508</t>
        </is>
      </c>
    </row>
    <row r="700">
      <c r="A700" t="inlineStr">
        <is>
          <t>No</t>
        </is>
      </c>
      <c r="B700" t="inlineStr">
        <is>
          <t>RC480.5 .S727</t>
        </is>
      </c>
      <c r="C700" t="inlineStr">
        <is>
          <t>0                      RC 0480500S  727</t>
        </is>
      </c>
      <c r="D700" t="inlineStr">
        <is>
          <t>Change through interaction : social psychological processes of counseling and psychotherapy / Stanley R. Strong, Charles D. Claiborn.</t>
        </is>
      </c>
      <c r="F700" t="inlineStr">
        <is>
          <t>No</t>
        </is>
      </c>
      <c r="G700" t="inlineStr">
        <is>
          <t>1</t>
        </is>
      </c>
      <c r="H700" t="inlineStr">
        <is>
          <t>No</t>
        </is>
      </c>
      <c r="I700" t="inlineStr">
        <is>
          <t>No</t>
        </is>
      </c>
      <c r="J700" t="inlineStr">
        <is>
          <t>0</t>
        </is>
      </c>
      <c r="K700" t="inlineStr">
        <is>
          <t>Strong, Stanley R.</t>
        </is>
      </c>
      <c r="L700" t="inlineStr">
        <is>
          <t>New York : Wiley, c1982.</t>
        </is>
      </c>
      <c r="M700" t="inlineStr">
        <is>
          <t>1982</t>
        </is>
      </c>
      <c r="O700" t="inlineStr">
        <is>
          <t>eng</t>
        </is>
      </c>
      <c r="P700" t="inlineStr">
        <is>
          <t>nyu</t>
        </is>
      </c>
      <c r="Q700" t="inlineStr">
        <is>
          <t>Wiley series on personality processes, 0195-4008</t>
        </is>
      </c>
      <c r="R700" t="inlineStr">
        <is>
          <t xml:space="preserve">RC </t>
        </is>
      </c>
      <c r="S700" t="n">
        <v>4</v>
      </c>
      <c r="T700" t="n">
        <v>4</v>
      </c>
      <c r="U700" t="inlineStr">
        <is>
          <t>1996-11-14</t>
        </is>
      </c>
      <c r="V700" t="inlineStr">
        <is>
          <t>1996-11-14</t>
        </is>
      </c>
      <c r="W700" t="inlineStr">
        <is>
          <t>1992-06-10</t>
        </is>
      </c>
      <c r="X700" t="inlineStr">
        <is>
          <t>1992-06-10</t>
        </is>
      </c>
      <c r="Y700" t="n">
        <v>320</v>
      </c>
      <c r="Z700" t="n">
        <v>247</v>
      </c>
      <c r="AA700" t="n">
        <v>254</v>
      </c>
      <c r="AB700" t="n">
        <v>1</v>
      </c>
      <c r="AC700" t="n">
        <v>1</v>
      </c>
      <c r="AD700" t="n">
        <v>11</v>
      </c>
      <c r="AE700" t="n">
        <v>11</v>
      </c>
      <c r="AF700" t="n">
        <v>6</v>
      </c>
      <c r="AG700" t="n">
        <v>6</v>
      </c>
      <c r="AH700" t="n">
        <v>1</v>
      </c>
      <c r="AI700" t="n">
        <v>1</v>
      </c>
      <c r="AJ700" t="n">
        <v>9</v>
      </c>
      <c r="AK700" t="n">
        <v>9</v>
      </c>
      <c r="AL700" t="n">
        <v>0</v>
      </c>
      <c r="AM700" t="n">
        <v>0</v>
      </c>
      <c r="AN700" t="n">
        <v>0</v>
      </c>
      <c r="AO700" t="n">
        <v>0</v>
      </c>
      <c r="AP700" t="inlineStr">
        <is>
          <t>No</t>
        </is>
      </c>
      <c r="AQ700" t="inlineStr">
        <is>
          <t>Yes</t>
        </is>
      </c>
      <c r="AR700">
        <f>HYPERLINK("http://catalog.hathitrust.org/Record/000762358","HathiTrust Record")</f>
        <v/>
      </c>
      <c r="AS700">
        <f>HYPERLINK("https://creighton-primo.hosted.exlibrisgroup.com/primo-explore/search?tab=default_tab&amp;search_scope=EVERYTHING&amp;vid=01CRU&amp;lang=en_US&amp;offset=0&amp;query=any,contains,991005153159702656","Catalog Record")</f>
        <v/>
      </c>
      <c r="AT700">
        <f>HYPERLINK("http://www.worldcat.org/oclc/7735347","WorldCat Record")</f>
        <v/>
      </c>
      <c r="AU700" t="inlineStr">
        <is>
          <t>891001184:eng</t>
        </is>
      </c>
      <c r="AV700" t="inlineStr">
        <is>
          <t>7735347</t>
        </is>
      </c>
      <c r="AW700" t="inlineStr">
        <is>
          <t>991005153159702656</t>
        </is>
      </c>
      <c r="AX700" t="inlineStr">
        <is>
          <t>991005153159702656</t>
        </is>
      </c>
      <c r="AY700" t="inlineStr">
        <is>
          <t>2254794040002656</t>
        </is>
      </c>
      <c r="AZ700" t="inlineStr">
        <is>
          <t>BOOK</t>
        </is>
      </c>
      <c r="BB700" t="inlineStr">
        <is>
          <t>9780471059028</t>
        </is>
      </c>
      <c r="BC700" t="inlineStr">
        <is>
          <t>32285001099000</t>
        </is>
      </c>
      <c r="BD700" t="inlineStr">
        <is>
          <t>893719878</t>
        </is>
      </c>
    </row>
    <row r="701">
      <c r="A701" t="inlineStr">
        <is>
          <t>No</t>
        </is>
      </c>
      <c r="B701" t="inlineStr">
        <is>
          <t>RC480.5 .W35</t>
        </is>
      </c>
      <c r="C701" t="inlineStr">
        <is>
          <t>0                      RC 0480500W  35</t>
        </is>
      </c>
      <c r="D701" t="inlineStr">
        <is>
          <t>The cognitive unconscious : a Piagetian approach to psychotherapy / Melvin L. Weiner ; foreword by Jean Piaget.</t>
        </is>
      </c>
      <c r="F701" t="inlineStr">
        <is>
          <t>No</t>
        </is>
      </c>
      <c r="G701" t="inlineStr">
        <is>
          <t>1</t>
        </is>
      </c>
      <c r="H701" t="inlineStr">
        <is>
          <t>No</t>
        </is>
      </c>
      <c r="I701" t="inlineStr">
        <is>
          <t>No</t>
        </is>
      </c>
      <c r="J701" t="inlineStr">
        <is>
          <t>0</t>
        </is>
      </c>
      <c r="K701" t="inlineStr">
        <is>
          <t>Weiner, Melvin L.</t>
        </is>
      </c>
      <c r="L701" t="inlineStr">
        <is>
          <t>Davis, Calif. : International Psychological Press, [1975]</t>
        </is>
      </c>
      <c r="M701" t="inlineStr">
        <is>
          <t>1975</t>
        </is>
      </c>
      <c r="O701" t="inlineStr">
        <is>
          <t>eng</t>
        </is>
      </c>
      <c r="P701" t="inlineStr">
        <is>
          <t>cau</t>
        </is>
      </c>
      <c r="R701" t="inlineStr">
        <is>
          <t xml:space="preserve">RC </t>
        </is>
      </c>
      <c r="S701" t="n">
        <v>2</v>
      </c>
      <c r="T701" t="n">
        <v>2</v>
      </c>
      <c r="U701" t="inlineStr">
        <is>
          <t>1999-11-21</t>
        </is>
      </c>
      <c r="V701" t="inlineStr">
        <is>
          <t>1999-11-21</t>
        </is>
      </c>
      <c r="W701" t="inlineStr">
        <is>
          <t>1997-08-11</t>
        </is>
      </c>
      <c r="X701" t="inlineStr">
        <is>
          <t>1997-08-11</t>
        </is>
      </c>
      <c r="Y701" t="n">
        <v>182</v>
      </c>
      <c r="Z701" t="n">
        <v>142</v>
      </c>
      <c r="AA701" t="n">
        <v>144</v>
      </c>
      <c r="AB701" t="n">
        <v>2</v>
      </c>
      <c r="AC701" t="n">
        <v>2</v>
      </c>
      <c r="AD701" t="n">
        <v>7</v>
      </c>
      <c r="AE701" t="n">
        <v>7</v>
      </c>
      <c r="AF701" t="n">
        <v>1</v>
      </c>
      <c r="AG701" t="n">
        <v>1</v>
      </c>
      <c r="AH701" t="n">
        <v>2</v>
      </c>
      <c r="AI701" t="n">
        <v>2</v>
      </c>
      <c r="AJ701" t="n">
        <v>4</v>
      </c>
      <c r="AK701" t="n">
        <v>4</v>
      </c>
      <c r="AL701" t="n">
        <v>1</v>
      </c>
      <c r="AM701" t="n">
        <v>1</v>
      </c>
      <c r="AN701" t="n">
        <v>0</v>
      </c>
      <c r="AO701" t="n">
        <v>0</v>
      </c>
      <c r="AP701" t="inlineStr">
        <is>
          <t>No</t>
        </is>
      </c>
      <c r="AQ701" t="inlineStr">
        <is>
          <t>Yes</t>
        </is>
      </c>
      <c r="AR701">
        <f>HYPERLINK("http://catalog.hathitrust.org/Record/000039928","HathiTrust Record")</f>
        <v/>
      </c>
      <c r="AS701">
        <f>HYPERLINK("https://creighton-primo.hosted.exlibrisgroup.com/primo-explore/search?tab=default_tab&amp;search_scope=EVERYTHING&amp;vid=01CRU&amp;lang=en_US&amp;offset=0&amp;query=any,contains,991003704799702656","Catalog Record")</f>
        <v/>
      </c>
      <c r="AT701">
        <f>HYPERLINK("http://www.worldcat.org/oclc/1341468","WorldCat Record")</f>
        <v/>
      </c>
      <c r="AU701" t="inlineStr">
        <is>
          <t>364144870:eng</t>
        </is>
      </c>
      <c r="AV701" t="inlineStr">
        <is>
          <t>1341468</t>
        </is>
      </c>
      <c r="AW701" t="inlineStr">
        <is>
          <t>991003704799702656</t>
        </is>
      </c>
      <c r="AX701" t="inlineStr">
        <is>
          <t>991003704799702656</t>
        </is>
      </c>
      <c r="AY701" t="inlineStr">
        <is>
          <t>2262408180002656</t>
        </is>
      </c>
      <c r="AZ701" t="inlineStr">
        <is>
          <t>BOOK</t>
        </is>
      </c>
      <c r="BB701" t="inlineStr">
        <is>
          <t>9780915662012</t>
        </is>
      </c>
      <c r="BC701" t="inlineStr">
        <is>
          <t>32285003091575</t>
        </is>
      </c>
      <c r="BD701" t="inlineStr">
        <is>
          <t>893252659</t>
        </is>
      </c>
    </row>
    <row r="702">
      <c r="A702" t="inlineStr">
        <is>
          <t>No</t>
        </is>
      </c>
      <c r="B702" t="inlineStr">
        <is>
          <t>RC480.53 .C38 1984</t>
        </is>
      </c>
      <c r="C702" t="inlineStr">
        <is>
          <t>0                      RC 0480530C  38          1984</t>
        </is>
      </c>
      <c r="D702" t="inlineStr">
        <is>
          <t>Management of chronic Schizophrenia / Carol L.M. Caton.</t>
        </is>
      </c>
      <c r="F702" t="inlineStr">
        <is>
          <t>No</t>
        </is>
      </c>
      <c r="G702" t="inlineStr">
        <is>
          <t>1</t>
        </is>
      </c>
      <c r="H702" t="inlineStr">
        <is>
          <t>No</t>
        </is>
      </c>
      <c r="I702" t="inlineStr">
        <is>
          <t>No</t>
        </is>
      </c>
      <c r="J702" t="inlineStr">
        <is>
          <t>0</t>
        </is>
      </c>
      <c r="K702" t="inlineStr">
        <is>
          <t>Caton, Carol L. M.</t>
        </is>
      </c>
      <c r="L702" t="inlineStr">
        <is>
          <t>New York : Oxford University Press, 1984.</t>
        </is>
      </c>
      <c r="M702" t="inlineStr">
        <is>
          <t>1984</t>
        </is>
      </c>
      <c r="O702" t="inlineStr">
        <is>
          <t>eng</t>
        </is>
      </c>
      <c r="P702" t="inlineStr">
        <is>
          <t>nyu</t>
        </is>
      </c>
      <c r="R702" t="inlineStr">
        <is>
          <t xml:space="preserve">RC </t>
        </is>
      </c>
      <c r="S702" t="n">
        <v>2</v>
      </c>
      <c r="T702" t="n">
        <v>2</v>
      </c>
      <c r="U702" t="inlineStr">
        <is>
          <t>1996-09-02</t>
        </is>
      </c>
      <c r="V702" t="inlineStr">
        <is>
          <t>1996-09-02</t>
        </is>
      </c>
      <c r="W702" t="inlineStr">
        <is>
          <t>1990-04-06</t>
        </is>
      </c>
      <c r="X702" t="inlineStr">
        <is>
          <t>1990-04-06</t>
        </is>
      </c>
      <c r="Y702" t="n">
        <v>248</v>
      </c>
      <c r="Z702" t="n">
        <v>201</v>
      </c>
      <c r="AA702" t="n">
        <v>208</v>
      </c>
      <c r="AB702" t="n">
        <v>1</v>
      </c>
      <c r="AC702" t="n">
        <v>1</v>
      </c>
      <c r="AD702" t="n">
        <v>5</v>
      </c>
      <c r="AE702" t="n">
        <v>5</v>
      </c>
      <c r="AF702" t="n">
        <v>2</v>
      </c>
      <c r="AG702" t="n">
        <v>2</v>
      </c>
      <c r="AH702" t="n">
        <v>1</v>
      </c>
      <c r="AI702" t="n">
        <v>1</v>
      </c>
      <c r="AJ702" t="n">
        <v>4</v>
      </c>
      <c r="AK702" t="n">
        <v>4</v>
      </c>
      <c r="AL702" t="n">
        <v>0</v>
      </c>
      <c r="AM702" t="n">
        <v>0</v>
      </c>
      <c r="AN702" t="n">
        <v>0</v>
      </c>
      <c r="AO702" t="n">
        <v>0</v>
      </c>
      <c r="AP702" t="inlineStr">
        <is>
          <t>No</t>
        </is>
      </c>
      <c r="AQ702" t="inlineStr">
        <is>
          <t>Yes</t>
        </is>
      </c>
      <c r="AR702">
        <f>HYPERLINK("http://catalog.hathitrust.org/Record/000245390","HathiTrust Record")</f>
        <v/>
      </c>
      <c r="AS702">
        <f>HYPERLINK("https://creighton-primo.hosted.exlibrisgroup.com/primo-explore/search?tab=default_tab&amp;search_scope=EVERYTHING&amp;vid=01CRU&amp;lang=en_US&amp;offset=0&amp;query=any,contains,991000218319702656","Catalog Record")</f>
        <v/>
      </c>
      <c r="AT702">
        <f>HYPERLINK("http://www.worldcat.org/oclc/9575153","WorldCat Record")</f>
        <v/>
      </c>
      <c r="AU702" t="inlineStr">
        <is>
          <t>43393072:eng</t>
        </is>
      </c>
      <c r="AV702" t="inlineStr">
        <is>
          <t>9575153</t>
        </is>
      </c>
      <c r="AW702" t="inlineStr">
        <is>
          <t>991000218319702656</t>
        </is>
      </c>
      <c r="AX702" t="inlineStr">
        <is>
          <t>991000218319702656</t>
        </is>
      </c>
      <c r="AY702" t="inlineStr">
        <is>
          <t>2270532190002656</t>
        </is>
      </c>
      <c r="AZ702" t="inlineStr">
        <is>
          <t>BOOK</t>
        </is>
      </c>
      <c r="BB702" t="inlineStr">
        <is>
          <t>9780195033465</t>
        </is>
      </c>
      <c r="BC702" t="inlineStr">
        <is>
          <t>32285000112028</t>
        </is>
      </c>
      <c r="BD702" t="inlineStr">
        <is>
          <t>893614025</t>
        </is>
      </c>
    </row>
    <row r="703">
      <c r="A703" t="inlineStr">
        <is>
          <t>No</t>
        </is>
      </c>
      <c r="B703" t="inlineStr">
        <is>
          <t>RC480.53 .H38 1993</t>
        </is>
      </c>
      <c r="C703" t="inlineStr">
        <is>
          <t>0                      RC 0480530H  38          1993</t>
        </is>
      </c>
      <c r="D703" t="inlineStr">
        <is>
          <t>Surviving mental illness : stress, coping, and adaptation / Agnes B. Hatfield, Harriet P. Lefley ; foreword by John S. Strauss.</t>
        </is>
      </c>
      <c r="F703" t="inlineStr">
        <is>
          <t>No</t>
        </is>
      </c>
      <c r="G703" t="inlineStr">
        <is>
          <t>1</t>
        </is>
      </c>
      <c r="H703" t="inlineStr">
        <is>
          <t>No</t>
        </is>
      </c>
      <c r="I703" t="inlineStr">
        <is>
          <t>No</t>
        </is>
      </c>
      <c r="J703" t="inlineStr">
        <is>
          <t>0</t>
        </is>
      </c>
      <c r="K703" t="inlineStr">
        <is>
          <t>Hatfield, Agnes B.</t>
        </is>
      </c>
      <c r="L703" t="inlineStr">
        <is>
          <t>New York : Guilford Press, c1993.</t>
        </is>
      </c>
      <c r="M703" t="inlineStr">
        <is>
          <t>1993</t>
        </is>
      </c>
      <c r="O703" t="inlineStr">
        <is>
          <t>eng</t>
        </is>
      </c>
      <c r="P703" t="inlineStr">
        <is>
          <t>nyu</t>
        </is>
      </c>
      <c r="R703" t="inlineStr">
        <is>
          <t xml:space="preserve">RC </t>
        </is>
      </c>
      <c r="S703" t="n">
        <v>2</v>
      </c>
      <c r="T703" t="n">
        <v>2</v>
      </c>
      <c r="U703" t="inlineStr">
        <is>
          <t>2004-08-10</t>
        </is>
      </c>
      <c r="V703" t="inlineStr">
        <is>
          <t>2004-08-10</t>
        </is>
      </c>
      <c r="W703" t="inlineStr">
        <is>
          <t>1994-11-07</t>
        </is>
      </c>
      <c r="X703" t="inlineStr">
        <is>
          <t>1994-11-07</t>
        </is>
      </c>
      <c r="Y703" t="n">
        <v>406</v>
      </c>
      <c r="Z703" t="n">
        <v>319</v>
      </c>
      <c r="AA703" t="n">
        <v>320</v>
      </c>
      <c r="AB703" t="n">
        <v>4</v>
      </c>
      <c r="AC703" t="n">
        <v>4</v>
      </c>
      <c r="AD703" t="n">
        <v>16</v>
      </c>
      <c r="AE703" t="n">
        <v>16</v>
      </c>
      <c r="AF703" t="n">
        <v>6</v>
      </c>
      <c r="AG703" t="n">
        <v>6</v>
      </c>
      <c r="AH703" t="n">
        <v>3</v>
      </c>
      <c r="AI703" t="n">
        <v>3</v>
      </c>
      <c r="AJ703" t="n">
        <v>11</v>
      </c>
      <c r="AK703" t="n">
        <v>11</v>
      </c>
      <c r="AL703" t="n">
        <v>3</v>
      </c>
      <c r="AM703" t="n">
        <v>3</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HYPERLINK("https://creighton-primo.hosted.exlibrisgroup.com/primo-explore/search?tab=default_tab&amp;search_scope=EVERYTHING&amp;vid=01CRU&amp;lang=en_US&amp;offset=0&amp;query=any,contains,991002163729702656","Catalog Record")</f>
        <v/>
      </c>
      <c r="AT703">
        <f>HYPERLINK("http://www.worldcat.org/oclc/27852406","WorldCat Record")</f>
        <v/>
      </c>
      <c r="AU703" t="inlineStr">
        <is>
          <t>340967453:eng</t>
        </is>
      </c>
      <c r="AV703" t="inlineStr">
        <is>
          <t>27852406</t>
        </is>
      </c>
      <c r="AW703" t="inlineStr">
        <is>
          <t>991002163729702656</t>
        </is>
      </c>
      <c r="AX703" t="inlineStr">
        <is>
          <t>991002163729702656</t>
        </is>
      </c>
      <c r="AY703" t="inlineStr">
        <is>
          <t>2262130280002656</t>
        </is>
      </c>
      <c r="AZ703" t="inlineStr">
        <is>
          <t>BOOK</t>
        </is>
      </c>
      <c r="BB703" t="inlineStr">
        <is>
          <t>9780898620221</t>
        </is>
      </c>
      <c r="BC703" t="inlineStr">
        <is>
          <t>32285001956621</t>
        </is>
      </c>
      <c r="BD703" t="inlineStr">
        <is>
          <t>893691276</t>
        </is>
      </c>
    </row>
    <row r="704">
      <c r="A704" t="inlineStr">
        <is>
          <t>No</t>
        </is>
      </c>
      <c r="B704" t="inlineStr">
        <is>
          <t>RC480.53 .N48 1994</t>
        </is>
      </c>
      <c r="C704" t="inlineStr">
        <is>
          <t>0                      RC 0480530N  48          1994</t>
        </is>
      </c>
      <c r="D704" t="inlineStr">
        <is>
          <t>New directions in the psychological treatment of serious mental illness / edited by Diane T. Marsh.</t>
        </is>
      </c>
      <c r="F704" t="inlineStr">
        <is>
          <t>No</t>
        </is>
      </c>
      <c r="G704" t="inlineStr">
        <is>
          <t>1</t>
        </is>
      </c>
      <c r="H704" t="inlineStr">
        <is>
          <t>No</t>
        </is>
      </c>
      <c r="I704" t="inlineStr">
        <is>
          <t>No</t>
        </is>
      </c>
      <c r="J704" t="inlineStr">
        <is>
          <t>0</t>
        </is>
      </c>
      <c r="L704" t="inlineStr">
        <is>
          <t>Westport, Conn. : Praeger, c1994.</t>
        </is>
      </c>
      <c r="M704" t="inlineStr">
        <is>
          <t>1994</t>
        </is>
      </c>
      <c r="O704" t="inlineStr">
        <is>
          <t>eng</t>
        </is>
      </c>
      <c r="P704" t="inlineStr">
        <is>
          <t>ctu</t>
        </is>
      </c>
      <c r="R704" t="inlineStr">
        <is>
          <t xml:space="preserve">RC </t>
        </is>
      </c>
      <c r="S704" t="n">
        <v>2</v>
      </c>
      <c r="T704" t="n">
        <v>2</v>
      </c>
      <c r="U704" t="inlineStr">
        <is>
          <t>1996-11-02</t>
        </is>
      </c>
      <c r="V704" t="inlineStr">
        <is>
          <t>1996-11-02</t>
        </is>
      </c>
      <c r="W704" t="inlineStr">
        <is>
          <t>1994-05-19</t>
        </is>
      </c>
      <c r="X704" t="inlineStr">
        <is>
          <t>1994-05-19</t>
        </is>
      </c>
      <c r="Y704" t="n">
        <v>160</v>
      </c>
      <c r="Z704" t="n">
        <v>129</v>
      </c>
      <c r="AA704" t="n">
        <v>131</v>
      </c>
      <c r="AB704" t="n">
        <v>1</v>
      </c>
      <c r="AC704" t="n">
        <v>1</v>
      </c>
      <c r="AD704" t="n">
        <v>6</v>
      </c>
      <c r="AE704" t="n">
        <v>6</v>
      </c>
      <c r="AF704" t="n">
        <v>2</v>
      </c>
      <c r="AG704" t="n">
        <v>2</v>
      </c>
      <c r="AH704" t="n">
        <v>1</v>
      </c>
      <c r="AI704" t="n">
        <v>1</v>
      </c>
      <c r="AJ704" t="n">
        <v>5</v>
      </c>
      <c r="AK704" t="n">
        <v>5</v>
      </c>
      <c r="AL704" t="n">
        <v>0</v>
      </c>
      <c r="AM704" t="n">
        <v>0</v>
      </c>
      <c r="AN704" t="n">
        <v>0</v>
      </c>
      <c r="AO704" t="n">
        <v>0</v>
      </c>
      <c r="AP704" t="inlineStr">
        <is>
          <t>No</t>
        </is>
      </c>
      <c r="AQ704" t="inlineStr">
        <is>
          <t>Yes</t>
        </is>
      </c>
      <c r="AR704">
        <f>HYPERLINK("http://catalog.hathitrust.org/Record/002780442","HathiTrust Record")</f>
        <v/>
      </c>
      <c r="AS704">
        <f>HYPERLINK("https://creighton-primo.hosted.exlibrisgroup.com/primo-explore/search?tab=default_tab&amp;search_scope=EVERYTHING&amp;vid=01CRU&amp;lang=en_US&amp;offset=0&amp;query=any,contains,991002195599702656","Catalog Record")</f>
        <v/>
      </c>
      <c r="AT704">
        <f>HYPERLINK("http://www.worldcat.org/oclc/28222056","WorldCat Record")</f>
        <v/>
      </c>
      <c r="AU704" t="inlineStr">
        <is>
          <t>2571690:eng</t>
        </is>
      </c>
      <c r="AV704" t="inlineStr">
        <is>
          <t>28222056</t>
        </is>
      </c>
      <c r="AW704" t="inlineStr">
        <is>
          <t>991002195599702656</t>
        </is>
      </c>
      <c r="AX704" t="inlineStr">
        <is>
          <t>991002195599702656</t>
        </is>
      </c>
      <c r="AY704" t="inlineStr">
        <is>
          <t>2264107740002656</t>
        </is>
      </c>
      <c r="AZ704" t="inlineStr">
        <is>
          <t>BOOK</t>
        </is>
      </c>
      <c r="BB704" t="inlineStr">
        <is>
          <t>9780275944285</t>
        </is>
      </c>
      <c r="BC704" t="inlineStr">
        <is>
          <t>32285001897478</t>
        </is>
      </c>
      <c r="BD704" t="inlineStr">
        <is>
          <t>893591028</t>
        </is>
      </c>
    </row>
    <row r="705">
      <c r="A705" t="inlineStr">
        <is>
          <t>No</t>
        </is>
      </c>
      <c r="B705" t="inlineStr">
        <is>
          <t>RC480.55 .B47 1985</t>
        </is>
      </c>
      <c r="C705" t="inlineStr">
        <is>
          <t>0                      RC 0480550B  47          1985</t>
        </is>
      </c>
      <c r="D705" t="inlineStr">
        <is>
          <t>Fishing for barracuda : pragmatics of brief systemic therapy / Joel S. Bergman.</t>
        </is>
      </c>
      <c r="F705" t="inlineStr">
        <is>
          <t>No</t>
        </is>
      </c>
      <c r="G705" t="inlineStr">
        <is>
          <t>1</t>
        </is>
      </c>
      <c r="H705" t="inlineStr">
        <is>
          <t>No</t>
        </is>
      </c>
      <c r="I705" t="inlineStr">
        <is>
          <t>No</t>
        </is>
      </c>
      <c r="J705" t="inlineStr">
        <is>
          <t>0</t>
        </is>
      </c>
      <c r="K705" t="inlineStr">
        <is>
          <t>Bergman, Joel S.</t>
        </is>
      </c>
      <c r="L705" t="inlineStr">
        <is>
          <t>New York : Norton, c1985.</t>
        </is>
      </c>
      <c r="M705" t="inlineStr">
        <is>
          <t>1985</t>
        </is>
      </c>
      <c r="N705" t="inlineStr">
        <is>
          <t>1st ed.</t>
        </is>
      </c>
      <c r="O705" t="inlineStr">
        <is>
          <t>eng</t>
        </is>
      </c>
      <c r="P705" t="inlineStr">
        <is>
          <t>nyu</t>
        </is>
      </c>
      <c r="R705" t="inlineStr">
        <is>
          <t xml:space="preserve">RC </t>
        </is>
      </c>
      <c r="S705" t="n">
        <v>4</v>
      </c>
      <c r="T705" t="n">
        <v>4</v>
      </c>
      <c r="U705" t="inlineStr">
        <is>
          <t>1997-12-10</t>
        </is>
      </c>
      <c r="V705" t="inlineStr">
        <is>
          <t>1997-12-10</t>
        </is>
      </c>
      <c r="W705" t="inlineStr">
        <is>
          <t>1992-08-13</t>
        </is>
      </c>
      <c r="X705" t="inlineStr">
        <is>
          <t>1992-08-13</t>
        </is>
      </c>
      <c r="Y705" t="n">
        <v>398</v>
      </c>
      <c r="Z705" t="n">
        <v>334</v>
      </c>
      <c r="AA705" t="n">
        <v>357</v>
      </c>
      <c r="AB705" t="n">
        <v>4</v>
      </c>
      <c r="AC705" t="n">
        <v>4</v>
      </c>
      <c r="AD705" t="n">
        <v>19</v>
      </c>
      <c r="AE705" t="n">
        <v>20</v>
      </c>
      <c r="AF705" t="n">
        <v>5</v>
      </c>
      <c r="AG705" t="n">
        <v>6</v>
      </c>
      <c r="AH705" t="n">
        <v>4</v>
      </c>
      <c r="AI705" t="n">
        <v>4</v>
      </c>
      <c r="AJ705" t="n">
        <v>11</v>
      </c>
      <c r="AK705" t="n">
        <v>11</v>
      </c>
      <c r="AL705" t="n">
        <v>3</v>
      </c>
      <c r="AM705" t="n">
        <v>3</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HYPERLINK("https://creighton-primo.hosted.exlibrisgroup.com/primo-explore/search?tab=default_tab&amp;search_scope=EVERYTHING&amp;vid=01CRU&amp;lang=en_US&amp;offset=0&amp;query=any,contains,991000565019702656","Catalog Record")</f>
        <v/>
      </c>
      <c r="AT705">
        <f>HYPERLINK("http://www.worldcat.org/oclc/11621616","WorldCat Record")</f>
        <v/>
      </c>
      <c r="AU705" t="inlineStr">
        <is>
          <t>9381163977:eng</t>
        </is>
      </c>
      <c r="AV705" t="inlineStr">
        <is>
          <t>11621616</t>
        </is>
      </c>
      <c r="AW705" t="inlineStr">
        <is>
          <t>991000565019702656</t>
        </is>
      </c>
      <c r="AX705" t="inlineStr">
        <is>
          <t>991000565019702656</t>
        </is>
      </c>
      <c r="AY705" t="inlineStr">
        <is>
          <t>2263466780002656</t>
        </is>
      </c>
      <c r="AZ705" t="inlineStr">
        <is>
          <t>BOOK</t>
        </is>
      </c>
      <c r="BB705" t="inlineStr">
        <is>
          <t>9780393700053</t>
        </is>
      </c>
      <c r="BC705" t="inlineStr">
        <is>
          <t>32285001245413</t>
        </is>
      </c>
      <c r="BD705" t="inlineStr">
        <is>
          <t>893339664</t>
        </is>
      </c>
    </row>
    <row r="706">
      <c r="A706" t="inlineStr">
        <is>
          <t>No</t>
        </is>
      </c>
      <c r="B706" t="inlineStr">
        <is>
          <t>RC480.55 .D4 1985</t>
        </is>
      </c>
      <c r="C706" t="inlineStr">
        <is>
          <t>0                      RC 0480550D  4           1985</t>
        </is>
      </c>
      <c r="D706" t="inlineStr">
        <is>
          <t>Keys to solution in brief therapy / Steve de Shazer.</t>
        </is>
      </c>
      <c r="F706" t="inlineStr">
        <is>
          <t>No</t>
        </is>
      </c>
      <c r="G706" t="inlineStr">
        <is>
          <t>1</t>
        </is>
      </c>
      <c r="H706" t="inlineStr">
        <is>
          <t>No</t>
        </is>
      </c>
      <c r="I706" t="inlineStr">
        <is>
          <t>No</t>
        </is>
      </c>
      <c r="J706" t="inlineStr">
        <is>
          <t>0</t>
        </is>
      </c>
      <c r="K706" t="inlineStr">
        <is>
          <t>De Shazer, Steve.</t>
        </is>
      </c>
      <c r="L706" t="inlineStr">
        <is>
          <t>New York : W.W. Norton, c1985.</t>
        </is>
      </c>
      <c r="M706" t="inlineStr">
        <is>
          <t>1985</t>
        </is>
      </c>
      <c r="N706" t="inlineStr">
        <is>
          <t>1st ed.</t>
        </is>
      </c>
      <c r="O706" t="inlineStr">
        <is>
          <t>eng</t>
        </is>
      </c>
      <c r="P706" t="inlineStr">
        <is>
          <t>nyu</t>
        </is>
      </c>
      <c r="R706" t="inlineStr">
        <is>
          <t xml:space="preserve">RC </t>
        </is>
      </c>
      <c r="S706" t="n">
        <v>6</v>
      </c>
      <c r="T706" t="n">
        <v>6</v>
      </c>
      <c r="U706" t="inlineStr">
        <is>
          <t>2005-06-30</t>
        </is>
      </c>
      <c r="V706" t="inlineStr">
        <is>
          <t>2005-06-30</t>
        </is>
      </c>
      <c r="W706" t="inlineStr">
        <is>
          <t>1992-08-13</t>
        </is>
      </c>
      <c r="X706" t="inlineStr">
        <is>
          <t>1992-08-13</t>
        </is>
      </c>
      <c r="Y706" t="n">
        <v>548</v>
      </c>
      <c r="Z706" t="n">
        <v>419</v>
      </c>
      <c r="AA706" t="n">
        <v>419</v>
      </c>
      <c r="AB706" t="n">
        <v>3</v>
      </c>
      <c r="AC706" t="n">
        <v>3</v>
      </c>
      <c r="AD706" t="n">
        <v>20</v>
      </c>
      <c r="AE706" t="n">
        <v>20</v>
      </c>
      <c r="AF706" t="n">
        <v>10</v>
      </c>
      <c r="AG706" t="n">
        <v>10</v>
      </c>
      <c r="AH706" t="n">
        <v>3</v>
      </c>
      <c r="AI706" t="n">
        <v>3</v>
      </c>
      <c r="AJ706" t="n">
        <v>11</v>
      </c>
      <c r="AK706" t="n">
        <v>11</v>
      </c>
      <c r="AL706" t="n">
        <v>2</v>
      </c>
      <c r="AM706" t="n">
        <v>2</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HYPERLINK("https://creighton-primo.hosted.exlibrisgroup.com/primo-explore/search?tab=default_tab&amp;search_scope=EVERYTHING&amp;vid=01CRU&amp;lang=en_US&amp;offset=0&amp;query=any,contains,991000515499702656","Catalog Record")</f>
        <v/>
      </c>
      <c r="AT706">
        <f>HYPERLINK("http://www.worldcat.org/oclc/11289063","WorldCat Record")</f>
        <v/>
      </c>
      <c r="AU706" t="inlineStr">
        <is>
          <t>4073791:eng</t>
        </is>
      </c>
      <c r="AV706" t="inlineStr">
        <is>
          <t>11289063</t>
        </is>
      </c>
      <c r="AW706" t="inlineStr">
        <is>
          <t>991000515499702656</t>
        </is>
      </c>
      <c r="AX706" t="inlineStr">
        <is>
          <t>991000515499702656</t>
        </is>
      </c>
      <c r="AY706" t="inlineStr">
        <is>
          <t>2272331830002656</t>
        </is>
      </c>
      <c r="AZ706" t="inlineStr">
        <is>
          <t>BOOK</t>
        </is>
      </c>
      <c r="BB706" t="inlineStr">
        <is>
          <t>9780393700046</t>
        </is>
      </c>
      <c r="BC706" t="inlineStr">
        <is>
          <t>32285001245405</t>
        </is>
      </c>
      <c r="BD706" t="inlineStr">
        <is>
          <t>893521734</t>
        </is>
      </c>
    </row>
    <row r="707">
      <c r="A707" t="inlineStr">
        <is>
          <t>No</t>
        </is>
      </c>
      <c r="B707" t="inlineStr">
        <is>
          <t>RC480.55 .F57 1982</t>
        </is>
      </c>
      <c r="C707" t="inlineStr">
        <is>
          <t>0                      RC 0480550F  57          1982</t>
        </is>
      </c>
      <c r="D707" t="inlineStr">
        <is>
          <t>The tactics of change : doing therapy briefly / Richard Fisch, John H. Weakland, Lynn Segal.</t>
        </is>
      </c>
      <c r="F707" t="inlineStr">
        <is>
          <t>No</t>
        </is>
      </c>
      <c r="G707" t="inlineStr">
        <is>
          <t>1</t>
        </is>
      </c>
      <c r="H707" t="inlineStr">
        <is>
          <t>No</t>
        </is>
      </c>
      <c r="I707" t="inlineStr">
        <is>
          <t>No</t>
        </is>
      </c>
      <c r="J707" t="inlineStr">
        <is>
          <t>0</t>
        </is>
      </c>
      <c r="K707" t="inlineStr">
        <is>
          <t>Fisch, Richard, 1926-</t>
        </is>
      </c>
      <c r="L707" t="inlineStr">
        <is>
          <t>San Francisco, Calif. : Jossey-Bass, c1982.</t>
        </is>
      </c>
      <c r="M707" t="inlineStr">
        <is>
          <t>1982</t>
        </is>
      </c>
      <c r="N707" t="inlineStr">
        <is>
          <t>1st ed.</t>
        </is>
      </c>
      <c r="O707" t="inlineStr">
        <is>
          <t>eng</t>
        </is>
      </c>
      <c r="P707" t="inlineStr">
        <is>
          <t>cau</t>
        </is>
      </c>
      <c r="R707" t="inlineStr">
        <is>
          <t xml:space="preserve">RC </t>
        </is>
      </c>
      <c r="S707" t="n">
        <v>3</v>
      </c>
      <c r="T707" t="n">
        <v>3</v>
      </c>
      <c r="U707" t="inlineStr">
        <is>
          <t>1996-12-04</t>
        </is>
      </c>
      <c r="V707" t="inlineStr">
        <is>
          <t>1996-12-04</t>
        </is>
      </c>
      <c r="W707" t="inlineStr">
        <is>
          <t>1992-05-07</t>
        </is>
      </c>
      <c r="X707" t="inlineStr">
        <is>
          <t>1992-05-07</t>
        </is>
      </c>
      <c r="Y707" t="n">
        <v>692</v>
      </c>
      <c r="Z707" t="n">
        <v>553</v>
      </c>
      <c r="AA707" t="n">
        <v>563</v>
      </c>
      <c r="AB707" t="n">
        <v>2</v>
      </c>
      <c r="AC707" t="n">
        <v>2</v>
      </c>
      <c r="AD707" t="n">
        <v>20</v>
      </c>
      <c r="AE707" t="n">
        <v>20</v>
      </c>
      <c r="AF707" t="n">
        <v>9</v>
      </c>
      <c r="AG707" t="n">
        <v>9</v>
      </c>
      <c r="AH707" t="n">
        <v>6</v>
      </c>
      <c r="AI707" t="n">
        <v>6</v>
      </c>
      <c r="AJ707" t="n">
        <v>9</v>
      </c>
      <c r="AK707" t="n">
        <v>9</v>
      </c>
      <c r="AL707" t="n">
        <v>1</v>
      </c>
      <c r="AM707" t="n">
        <v>1</v>
      </c>
      <c r="AN707" t="n">
        <v>0</v>
      </c>
      <c r="AO707" t="n">
        <v>0</v>
      </c>
      <c r="AP707" t="inlineStr">
        <is>
          <t>No</t>
        </is>
      </c>
      <c r="AQ707" t="inlineStr">
        <is>
          <t>Yes</t>
        </is>
      </c>
      <c r="AR707">
        <f>HYPERLINK("http://catalog.hathitrust.org/Record/000276676","HathiTrust Record")</f>
        <v/>
      </c>
      <c r="AS707">
        <f>HYPERLINK("https://creighton-primo.hosted.exlibrisgroup.com/primo-explore/search?tab=default_tab&amp;search_scope=EVERYTHING&amp;vid=01CRU&amp;lang=en_US&amp;offset=0&amp;query=any,contains,991005229799702656","Catalog Record")</f>
        <v/>
      </c>
      <c r="AT707">
        <f>HYPERLINK("http://www.worldcat.org/oclc/8306730","WorldCat Record")</f>
        <v/>
      </c>
      <c r="AU707" t="inlineStr">
        <is>
          <t>21407024:eng</t>
        </is>
      </c>
      <c r="AV707" t="inlineStr">
        <is>
          <t>8306730</t>
        </is>
      </c>
      <c r="AW707" t="inlineStr">
        <is>
          <t>991005229799702656</t>
        </is>
      </c>
      <c r="AX707" t="inlineStr">
        <is>
          <t>991005229799702656</t>
        </is>
      </c>
      <c r="AY707" t="inlineStr">
        <is>
          <t>2269259630002656</t>
        </is>
      </c>
      <c r="AZ707" t="inlineStr">
        <is>
          <t>BOOK</t>
        </is>
      </c>
      <c r="BB707" t="inlineStr">
        <is>
          <t>9780875895215</t>
        </is>
      </c>
      <c r="BC707" t="inlineStr">
        <is>
          <t>32285001105518</t>
        </is>
      </c>
      <c r="BD707" t="inlineStr">
        <is>
          <t>893338766</t>
        </is>
      </c>
    </row>
    <row r="708">
      <c r="A708" t="inlineStr">
        <is>
          <t>No</t>
        </is>
      </c>
      <c r="B708" t="inlineStr">
        <is>
          <t>RC480.55 .L58 1998</t>
        </is>
      </c>
      <c r="C708" t="inlineStr">
        <is>
          <t>0                      RC 0480550L  58          1998</t>
        </is>
      </c>
      <c r="D708" t="inlineStr">
        <is>
          <t>Brief counseling in action / John M. Littrell.</t>
        </is>
      </c>
      <c r="F708" t="inlineStr">
        <is>
          <t>No</t>
        </is>
      </c>
      <c r="G708" t="inlineStr">
        <is>
          <t>1</t>
        </is>
      </c>
      <c r="H708" t="inlineStr">
        <is>
          <t>No</t>
        </is>
      </c>
      <c r="I708" t="inlineStr">
        <is>
          <t>No</t>
        </is>
      </c>
      <c r="J708" t="inlineStr">
        <is>
          <t>0</t>
        </is>
      </c>
      <c r="K708" t="inlineStr">
        <is>
          <t>Littrell, John M., 1944-</t>
        </is>
      </c>
      <c r="L708" t="inlineStr">
        <is>
          <t>New York : W. W. Norton, c1998.</t>
        </is>
      </c>
      <c r="M708" t="inlineStr">
        <is>
          <t>1998</t>
        </is>
      </c>
      <c r="N708" t="inlineStr">
        <is>
          <t>1st ed.</t>
        </is>
      </c>
      <c r="O708" t="inlineStr">
        <is>
          <t>eng</t>
        </is>
      </c>
      <c r="P708" t="inlineStr">
        <is>
          <t>nyu</t>
        </is>
      </c>
      <c r="R708" t="inlineStr">
        <is>
          <t xml:space="preserve">RC </t>
        </is>
      </c>
      <c r="S708" t="n">
        <v>5</v>
      </c>
      <c r="T708" t="n">
        <v>5</v>
      </c>
      <c r="U708" t="inlineStr">
        <is>
          <t>2003-09-02</t>
        </is>
      </c>
      <c r="V708" t="inlineStr">
        <is>
          <t>2003-09-02</t>
        </is>
      </c>
      <c r="W708" t="inlineStr">
        <is>
          <t>2000-01-27</t>
        </is>
      </c>
      <c r="X708" t="inlineStr">
        <is>
          <t>2000-01-27</t>
        </is>
      </c>
      <c r="Y708" t="n">
        <v>235</v>
      </c>
      <c r="Z708" t="n">
        <v>192</v>
      </c>
      <c r="AA708" t="n">
        <v>196</v>
      </c>
      <c r="AB708" t="n">
        <v>2</v>
      </c>
      <c r="AC708" t="n">
        <v>2</v>
      </c>
      <c r="AD708" t="n">
        <v>11</v>
      </c>
      <c r="AE708" t="n">
        <v>11</v>
      </c>
      <c r="AF708" t="n">
        <v>3</v>
      </c>
      <c r="AG708" t="n">
        <v>3</v>
      </c>
      <c r="AH708" t="n">
        <v>1</v>
      </c>
      <c r="AI708" t="n">
        <v>1</v>
      </c>
      <c r="AJ708" t="n">
        <v>8</v>
      </c>
      <c r="AK708" t="n">
        <v>8</v>
      </c>
      <c r="AL708" t="n">
        <v>1</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HYPERLINK("https://creighton-primo.hosted.exlibrisgroup.com/primo-explore/search?tab=default_tab&amp;search_scope=EVERYTHING&amp;vid=01CRU&amp;lang=en_US&amp;offset=0&amp;query=any,contains,991002877089702656","Catalog Record")</f>
        <v/>
      </c>
      <c r="AT708">
        <f>HYPERLINK("http://www.worldcat.org/oclc/37917292","WorldCat Record")</f>
        <v/>
      </c>
      <c r="AU708" t="inlineStr">
        <is>
          <t>1216309429:eng</t>
        </is>
      </c>
      <c r="AV708" t="inlineStr">
        <is>
          <t>37917292</t>
        </is>
      </c>
      <c r="AW708" t="inlineStr">
        <is>
          <t>991002877089702656</t>
        </is>
      </c>
      <c r="AX708" t="inlineStr">
        <is>
          <t>991002877089702656</t>
        </is>
      </c>
      <c r="AY708" t="inlineStr">
        <is>
          <t>2272127040002656</t>
        </is>
      </c>
      <c r="AZ708" t="inlineStr">
        <is>
          <t>BOOK</t>
        </is>
      </c>
      <c r="BB708" t="inlineStr">
        <is>
          <t>9780393702651</t>
        </is>
      </c>
      <c r="BC708" t="inlineStr">
        <is>
          <t>32285003656179</t>
        </is>
      </c>
      <c r="BD708" t="inlineStr">
        <is>
          <t>893348036</t>
        </is>
      </c>
    </row>
    <row r="709">
      <c r="A709" t="inlineStr">
        <is>
          <t>No</t>
        </is>
      </c>
      <c r="B709" t="inlineStr">
        <is>
          <t>RC480.55 .P47 1984</t>
        </is>
      </c>
      <c r="C709" t="inlineStr">
        <is>
          <t>0                      RC 0480550P  47          1984</t>
        </is>
      </c>
      <c r="D709" t="inlineStr">
        <is>
          <t>Personality, styles and brief psychotherapy / Mardi Horowitz ... [et al.].</t>
        </is>
      </c>
      <c r="F709" t="inlineStr">
        <is>
          <t>No</t>
        </is>
      </c>
      <c r="G709" t="inlineStr">
        <is>
          <t>1</t>
        </is>
      </c>
      <c r="H709" t="inlineStr">
        <is>
          <t>No</t>
        </is>
      </c>
      <c r="I709" t="inlineStr">
        <is>
          <t>No</t>
        </is>
      </c>
      <c r="J709" t="inlineStr">
        <is>
          <t>0</t>
        </is>
      </c>
      <c r="L709" t="inlineStr">
        <is>
          <t>New York : Basic Books, c1984.</t>
        </is>
      </c>
      <c r="M709" t="inlineStr">
        <is>
          <t>1984</t>
        </is>
      </c>
      <c r="O709" t="inlineStr">
        <is>
          <t>eng</t>
        </is>
      </c>
      <c r="P709" t="inlineStr">
        <is>
          <t>nyu</t>
        </is>
      </c>
      <c r="R709" t="inlineStr">
        <is>
          <t xml:space="preserve">RC </t>
        </is>
      </c>
      <c r="S709" t="n">
        <v>6</v>
      </c>
      <c r="T709" t="n">
        <v>6</v>
      </c>
      <c r="U709" t="inlineStr">
        <is>
          <t>1997-04-09</t>
        </is>
      </c>
      <c r="V709" t="inlineStr">
        <is>
          <t>1997-04-09</t>
        </is>
      </c>
      <c r="W709" t="inlineStr">
        <is>
          <t>1992-08-13</t>
        </is>
      </c>
      <c r="X709" t="inlineStr">
        <is>
          <t>1992-08-13</t>
        </is>
      </c>
      <c r="Y709" t="n">
        <v>352</v>
      </c>
      <c r="Z709" t="n">
        <v>299</v>
      </c>
      <c r="AA709" t="n">
        <v>335</v>
      </c>
      <c r="AB709" t="n">
        <v>3</v>
      </c>
      <c r="AC709" t="n">
        <v>3</v>
      </c>
      <c r="AD709" t="n">
        <v>12</v>
      </c>
      <c r="AE709" t="n">
        <v>14</v>
      </c>
      <c r="AF709" t="n">
        <v>3</v>
      </c>
      <c r="AG709" t="n">
        <v>4</v>
      </c>
      <c r="AH709" t="n">
        <v>3</v>
      </c>
      <c r="AI709" t="n">
        <v>3</v>
      </c>
      <c r="AJ709" t="n">
        <v>7</v>
      </c>
      <c r="AK709" t="n">
        <v>9</v>
      </c>
      <c r="AL709" t="n">
        <v>2</v>
      </c>
      <c r="AM709" t="n">
        <v>2</v>
      </c>
      <c r="AN709" t="n">
        <v>0</v>
      </c>
      <c r="AO709" t="n">
        <v>0</v>
      </c>
      <c r="AP709" t="inlineStr">
        <is>
          <t>No</t>
        </is>
      </c>
      <c r="AQ709" t="inlineStr">
        <is>
          <t>Yes</t>
        </is>
      </c>
      <c r="AR709">
        <f>HYPERLINK("http://catalog.hathitrust.org/Record/000167668","HathiTrust Record")</f>
        <v/>
      </c>
      <c r="AS709">
        <f>HYPERLINK("https://creighton-primo.hosted.exlibrisgroup.com/primo-explore/search?tab=default_tab&amp;search_scope=EVERYTHING&amp;vid=01CRU&amp;lang=en_US&amp;offset=0&amp;query=any,contains,991000358569702656","Catalog Record")</f>
        <v/>
      </c>
      <c r="AT709">
        <f>HYPERLINK("http://www.worldcat.org/oclc/10348946","WorldCat Record")</f>
        <v/>
      </c>
      <c r="AU709" t="inlineStr">
        <is>
          <t>54619309:eng</t>
        </is>
      </c>
      <c r="AV709" t="inlineStr">
        <is>
          <t>10348946</t>
        </is>
      </c>
      <c r="AW709" t="inlineStr">
        <is>
          <t>991000358569702656</t>
        </is>
      </c>
      <c r="AX709" t="inlineStr">
        <is>
          <t>991000358569702656</t>
        </is>
      </c>
      <c r="AY709" t="inlineStr">
        <is>
          <t>2264239810002656</t>
        </is>
      </c>
      <c r="AZ709" t="inlineStr">
        <is>
          <t>BOOK</t>
        </is>
      </c>
      <c r="BB709" t="inlineStr">
        <is>
          <t>9780465055753</t>
        </is>
      </c>
      <c r="BC709" t="inlineStr">
        <is>
          <t>32285001245389</t>
        </is>
      </c>
      <c r="BD709" t="inlineStr">
        <is>
          <t>893896803</t>
        </is>
      </c>
    </row>
    <row r="710">
      <c r="A710" t="inlineStr">
        <is>
          <t>No</t>
        </is>
      </c>
      <c r="B710" t="inlineStr">
        <is>
          <t>RC480.55 .S58 1979</t>
        </is>
      </c>
      <c r="C710" t="inlineStr">
        <is>
          <t>0                      RC 0480550S  58          1979</t>
        </is>
      </c>
      <c r="D710" t="inlineStr">
        <is>
          <t>The briefer psychotherapies / by Leonard Small.</t>
        </is>
      </c>
      <c r="F710" t="inlineStr">
        <is>
          <t>No</t>
        </is>
      </c>
      <c r="G710" t="inlineStr">
        <is>
          <t>1</t>
        </is>
      </c>
      <c r="H710" t="inlineStr">
        <is>
          <t>No</t>
        </is>
      </c>
      <c r="I710" t="inlineStr">
        <is>
          <t>Yes</t>
        </is>
      </c>
      <c r="J710" t="inlineStr">
        <is>
          <t>0</t>
        </is>
      </c>
      <c r="K710" t="inlineStr">
        <is>
          <t>Small, Leonard, 1913-</t>
        </is>
      </c>
      <c r="L710" t="inlineStr">
        <is>
          <t>New York : Brunner/Mazel, c1979.</t>
        </is>
      </c>
      <c r="M710" t="inlineStr">
        <is>
          <t>1979</t>
        </is>
      </c>
      <c r="N710" t="inlineStr">
        <is>
          <t>Rev. ed.</t>
        </is>
      </c>
      <c r="O710" t="inlineStr">
        <is>
          <t>eng</t>
        </is>
      </c>
      <c r="P710" t="inlineStr">
        <is>
          <t>nyu</t>
        </is>
      </c>
      <c r="R710" t="inlineStr">
        <is>
          <t xml:space="preserve">RC </t>
        </is>
      </c>
      <c r="S710" t="n">
        <v>3</v>
      </c>
      <c r="T710" t="n">
        <v>3</v>
      </c>
      <c r="U710" t="inlineStr">
        <is>
          <t>1992-11-10</t>
        </is>
      </c>
      <c r="V710" t="inlineStr">
        <is>
          <t>1992-11-10</t>
        </is>
      </c>
      <c r="W710" t="inlineStr">
        <is>
          <t>1992-08-13</t>
        </is>
      </c>
      <c r="X710" t="inlineStr">
        <is>
          <t>1992-08-13</t>
        </is>
      </c>
      <c r="Y710" t="n">
        <v>283</v>
      </c>
      <c r="Z710" t="n">
        <v>215</v>
      </c>
      <c r="AA710" t="n">
        <v>480</v>
      </c>
      <c r="AB710" t="n">
        <v>1</v>
      </c>
      <c r="AC710" t="n">
        <v>5</v>
      </c>
      <c r="AD710" t="n">
        <v>10</v>
      </c>
      <c r="AE710" t="n">
        <v>20</v>
      </c>
      <c r="AF710" t="n">
        <v>2</v>
      </c>
      <c r="AG710" t="n">
        <v>5</v>
      </c>
      <c r="AH710" t="n">
        <v>3</v>
      </c>
      <c r="AI710" t="n">
        <v>6</v>
      </c>
      <c r="AJ710" t="n">
        <v>9</v>
      </c>
      <c r="AK710" t="n">
        <v>11</v>
      </c>
      <c r="AL710" t="n">
        <v>0</v>
      </c>
      <c r="AM710" t="n">
        <v>4</v>
      </c>
      <c r="AN710" t="n">
        <v>0</v>
      </c>
      <c r="AO710" t="n">
        <v>0</v>
      </c>
      <c r="AP710" t="inlineStr">
        <is>
          <t>No</t>
        </is>
      </c>
      <c r="AQ710" t="inlineStr">
        <is>
          <t>Yes</t>
        </is>
      </c>
      <c r="AR710">
        <f>HYPERLINK("http://catalog.hathitrust.org/Record/000717613","HathiTrust Record")</f>
        <v/>
      </c>
      <c r="AS710">
        <f>HYPERLINK("https://creighton-primo.hosted.exlibrisgroup.com/primo-explore/search?tab=default_tab&amp;search_scope=EVERYTHING&amp;vid=01CRU&amp;lang=en_US&amp;offset=0&amp;query=any,contains,991005265479702656","Catalog Record")</f>
        <v/>
      </c>
      <c r="AT710">
        <f>HYPERLINK("http://www.worldcat.org/oclc/4493242","WorldCat Record")</f>
        <v/>
      </c>
      <c r="AU710" t="inlineStr">
        <is>
          <t>37746187:eng</t>
        </is>
      </c>
      <c r="AV710" t="inlineStr">
        <is>
          <t>4493242</t>
        </is>
      </c>
      <c r="AW710" t="inlineStr">
        <is>
          <t>991005265479702656</t>
        </is>
      </c>
      <c r="AX710" t="inlineStr">
        <is>
          <t>991005265479702656</t>
        </is>
      </c>
      <c r="AY710" t="inlineStr">
        <is>
          <t>2260859830002656</t>
        </is>
      </c>
      <c r="AZ710" t="inlineStr">
        <is>
          <t>BOOK</t>
        </is>
      </c>
      <c r="BB710" t="inlineStr">
        <is>
          <t>9780876301944</t>
        </is>
      </c>
      <c r="BC710" t="inlineStr">
        <is>
          <t>32285001245371</t>
        </is>
      </c>
      <c r="BD710" t="inlineStr">
        <is>
          <t>893418650</t>
        </is>
      </c>
    </row>
    <row r="711">
      <c r="A711" t="inlineStr">
        <is>
          <t>No</t>
        </is>
      </c>
      <c r="B711" t="inlineStr">
        <is>
          <t>RC480.6 .A38 1978</t>
        </is>
      </c>
      <c r="C711" t="inlineStr">
        <is>
          <t>0                      RC 0480600A  38          1978</t>
        </is>
      </c>
      <c r="D711" t="inlineStr">
        <is>
          <t>Crisis intervention : theory and methodology / Donna C. Aguilera and Janice M. Messick.</t>
        </is>
      </c>
      <c r="F711" t="inlineStr">
        <is>
          <t>No</t>
        </is>
      </c>
      <c r="G711" t="inlineStr">
        <is>
          <t>1</t>
        </is>
      </c>
      <c r="H711" t="inlineStr">
        <is>
          <t>No</t>
        </is>
      </c>
      <c r="I711" t="inlineStr">
        <is>
          <t>Yes</t>
        </is>
      </c>
      <c r="J711" t="inlineStr">
        <is>
          <t>0</t>
        </is>
      </c>
      <c r="K711" t="inlineStr">
        <is>
          <t>Aguilera, Donna C.</t>
        </is>
      </c>
      <c r="L711" t="inlineStr">
        <is>
          <t>Saint Louis : Mosby, 1978.</t>
        </is>
      </c>
      <c r="M711" t="inlineStr">
        <is>
          <t>1978</t>
        </is>
      </c>
      <c r="N711" t="inlineStr">
        <is>
          <t>3d ed.</t>
        </is>
      </c>
      <c r="O711" t="inlineStr">
        <is>
          <t>eng</t>
        </is>
      </c>
      <c r="P711" t="inlineStr">
        <is>
          <t>mou</t>
        </is>
      </c>
      <c r="R711" t="inlineStr">
        <is>
          <t xml:space="preserve">RC </t>
        </is>
      </c>
      <c r="S711" t="n">
        <v>6</v>
      </c>
      <c r="T711" t="n">
        <v>6</v>
      </c>
      <c r="U711" t="inlineStr">
        <is>
          <t>2000-12-13</t>
        </is>
      </c>
      <c r="V711" t="inlineStr">
        <is>
          <t>2000-12-13</t>
        </is>
      </c>
      <c r="W711" t="inlineStr">
        <is>
          <t>1992-06-24</t>
        </is>
      </c>
      <c r="X711" t="inlineStr">
        <is>
          <t>1992-06-24</t>
        </is>
      </c>
      <c r="Y711" t="n">
        <v>364</v>
      </c>
      <c r="Z711" t="n">
        <v>297</v>
      </c>
      <c r="AA711" t="n">
        <v>1469</v>
      </c>
      <c r="AB711" t="n">
        <v>3</v>
      </c>
      <c r="AC711" t="n">
        <v>10</v>
      </c>
      <c r="AD711" t="n">
        <v>8</v>
      </c>
      <c r="AE711" t="n">
        <v>48</v>
      </c>
      <c r="AF711" t="n">
        <v>2</v>
      </c>
      <c r="AG711" t="n">
        <v>21</v>
      </c>
      <c r="AH711" t="n">
        <v>3</v>
      </c>
      <c r="AI711" t="n">
        <v>9</v>
      </c>
      <c r="AJ711" t="n">
        <v>5</v>
      </c>
      <c r="AK711" t="n">
        <v>22</v>
      </c>
      <c r="AL711" t="n">
        <v>1</v>
      </c>
      <c r="AM711" t="n">
        <v>6</v>
      </c>
      <c r="AN711" t="n">
        <v>0</v>
      </c>
      <c r="AO711" t="n">
        <v>0</v>
      </c>
      <c r="AP711" t="inlineStr">
        <is>
          <t>No</t>
        </is>
      </c>
      <c r="AQ711" t="inlineStr">
        <is>
          <t>Yes</t>
        </is>
      </c>
      <c r="AR711">
        <f>HYPERLINK("http://catalog.hathitrust.org/Record/000254317","HathiTrust Record")</f>
        <v/>
      </c>
      <c r="AS711">
        <f>HYPERLINK("https://creighton-primo.hosted.exlibrisgroup.com/primo-explore/search?tab=default_tab&amp;search_scope=EVERYTHING&amp;vid=01CRU&amp;lang=en_US&amp;offset=0&amp;query=any,contains,991004342639702656","Catalog Record")</f>
        <v/>
      </c>
      <c r="AT711">
        <f>HYPERLINK("http://www.worldcat.org/oclc/3090169","WorldCat Record")</f>
        <v/>
      </c>
      <c r="AU711" t="inlineStr">
        <is>
          <t>1288916:eng</t>
        </is>
      </c>
      <c r="AV711" t="inlineStr">
        <is>
          <t>3090169</t>
        </is>
      </c>
      <c r="AW711" t="inlineStr">
        <is>
          <t>991004342639702656</t>
        </is>
      </c>
      <c r="AX711" t="inlineStr">
        <is>
          <t>991004342639702656</t>
        </is>
      </c>
      <c r="AY711" t="inlineStr">
        <is>
          <t>2260560890002656</t>
        </is>
      </c>
      <c r="AZ711" t="inlineStr">
        <is>
          <t>BOOK</t>
        </is>
      </c>
      <c r="BB711" t="inlineStr">
        <is>
          <t>9780801600944</t>
        </is>
      </c>
      <c r="BC711" t="inlineStr">
        <is>
          <t>32285001133775</t>
        </is>
      </c>
      <c r="BD711" t="inlineStr">
        <is>
          <t>893241301</t>
        </is>
      </c>
    </row>
    <row r="712">
      <c r="A712" t="inlineStr">
        <is>
          <t>No</t>
        </is>
      </c>
      <c r="B712" t="inlineStr">
        <is>
          <t>RC480.6 .C734 1983</t>
        </is>
      </c>
      <c r="C712" t="inlineStr">
        <is>
          <t>0                      RC 0480600C  734         1983</t>
        </is>
      </c>
      <c r="D712" t="inlineStr">
        <is>
          <t>Crisis intervention / edited by Lawrence Cohen, William Claiborn, and Gerald A. Specter.</t>
        </is>
      </c>
      <c r="F712" t="inlineStr">
        <is>
          <t>No</t>
        </is>
      </c>
      <c r="G712" t="inlineStr">
        <is>
          <t>1</t>
        </is>
      </c>
      <c r="H712" t="inlineStr">
        <is>
          <t>No</t>
        </is>
      </c>
      <c r="I712" t="inlineStr">
        <is>
          <t>No</t>
        </is>
      </c>
      <c r="J712" t="inlineStr">
        <is>
          <t>0</t>
        </is>
      </c>
      <c r="L712" t="inlineStr">
        <is>
          <t>New York, NY : Human Sciences Press, c1983.</t>
        </is>
      </c>
      <c r="M712" t="inlineStr">
        <is>
          <t>1983</t>
        </is>
      </c>
      <c r="N712" t="inlineStr">
        <is>
          <t>2nd ed.</t>
        </is>
      </c>
      <c r="O712" t="inlineStr">
        <is>
          <t>eng</t>
        </is>
      </c>
      <c r="P712" t="inlineStr">
        <is>
          <t>nyu</t>
        </is>
      </c>
      <c r="Q712" t="inlineStr">
        <is>
          <t>Community-clinical psychology series, 0196-6669 ; v. 4</t>
        </is>
      </c>
      <c r="R712" t="inlineStr">
        <is>
          <t xml:space="preserve">RC </t>
        </is>
      </c>
      <c r="S712" t="n">
        <v>1</v>
      </c>
      <c r="T712" t="n">
        <v>1</v>
      </c>
      <c r="U712" t="inlineStr">
        <is>
          <t>2000-12-13</t>
        </is>
      </c>
      <c r="V712" t="inlineStr">
        <is>
          <t>2000-12-13</t>
        </is>
      </c>
      <c r="W712" t="inlineStr">
        <is>
          <t>1993-03-23</t>
        </is>
      </c>
      <c r="X712" t="inlineStr">
        <is>
          <t>1993-03-23</t>
        </is>
      </c>
      <c r="Y712" t="n">
        <v>342</v>
      </c>
      <c r="Z712" t="n">
        <v>291</v>
      </c>
      <c r="AA712" t="n">
        <v>510</v>
      </c>
      <c r="AB712" t="n">
        <v>2</v>
      </c>
      <c r="AC712" t="n">
        <v>7</v>
      </c>
      <c r="AD712" t="n">
        <v>11</v>
      </c>
      <c r="AE712" t="n">
        <v>23</v>
      </c>
      <c r="AF712" t="n">
        <v>3</v>
      </c>
      <c r="AG712" t="n">
        <v>7</v>
      </c>
      <c r="AH712" t="n">
        <v>3</v>
      </c>
      <c r="AI712" t="n">
        <v>5</v>
      </c>
      <c r="AJ712" t="n">
        <v>4</v>
      </c>
      <c r="AK712" t="n">
        <v>12</v>
      </c>
      <c r="AL712" t="n">
        <v>1</v>
      </c>
      <c r="AM712" t="n">
        <v>5</v>
      </c>
      <c r="AN712" t="n">
        <v>0</v>
      </c>
      <c r="AO712" t="n">
        <v>0</v>
      </c>
      <c r="AP712" t="inlineStr">
        <is>
          <t>No</t>
        </is>
      </c>
      <c r="AQ712" t="inlineStr">
        <is>
          <t>Yes</t>
        </is>
      </c>
      <c r="AR712">
        <f>HYPERLINK("http://catalog.hathitrust.org/Record/000651713","HathiTrust Record")</f>
        <v/>
      </c>
      <c r="AS712">
        <f>HYPERLINK("https://creighton-primo.hosted.exlibrisgroup.com/primo-explore/search?tab=default_tab&amp;search_scope=EVERYTHING&amp;vid=01CRU&amp;lang=en_US&amp;offset=0&amp;query=any,contains,991000154099702656","Catalog Record")</f>
        <v/>
      </c>
      <c r="AT712">
        <f>HYPERLINK("http://www.worldcat.org/oclc/9219396","WorldCat Record")</f>
        <v/>
      </c>
      <c r="AU712" t="inlineStr">
        <is>
          <t>352337269:eng</t>
        </is>
      </c>
      <c r="AV712" t="inlineStr">
        <is>
          <t>9219396</t>
        </is>
      </c>
      <c r="AW712" t="inlineStr">
        <is>
          <t>991000154099702656</t>
        </is>
      </c>
      <c r="AX712" t="inlineStr">
        <is>
          <t>991000154099702656</t>
        </is>
      </c>
      <c r="AY712" t="inlineStr">
        <is>
          <t>2268285630002656</t>
        </is>
      </c>
      <c r="AZ712" t="inlineStr">
        <is>
          <t>BOOK</t>
        </is>
      </c>
      <c r="BB712" t="inlineStr">
        <is>
          <t>9780898851083</t>
        </is>
      </c>
      <c r="BC712" t="inlineStr">
        <is>
          <t>32285001606523</t>
        </is>
      </c>
      <c r="BD712" t="inlineStr">
        <is>
          <t>893871464</t>
        </is>
      </c>
    </row>
    <row r="713">
      <c r="A713" t="inlineStr">
        <is>
          <t>No</t>
        </is>
      </c>
      <c r="B713" t="inlineStr">
        <is>
          <t>RC480.6 .D58</t>
        </is>
      </c>
      <c r="C713" t="inlineStr">
        <is>
          <t>0                      RC 0480600D  58</t>
        </is>
      </c>
      <c r="D713" t="inlineStr">
        <is>
          <t>Working with people in crisis : theory and practice / Samuel L. Dixon.</t>
        </is>
      </c>
      <c r="F713" t="inlineStr">
        <is>
          <t>No</t>
        </is>
      </c>
      <c r="G713" t="inlineStr">
        <is>
          <t>1</t>
        </is>
      </c>
      <c r="H713" t="inlineStr">
        <is>
          <t>No</t>
        </is>
      </c>
      <c r="I713" t="inlineStr">
        <is>
          <t>No</t>
        </is>
      </c>
      <c r="J713" t="inlineStr">
        <is>
          <t>0</t>
        </is>
      </c>
      <c r="K713" t="inlineStr">
        <is>
          <t>Dixon, Samuel L., 1934-</t>
        </is>
      </c>
      <c r="L713" t="inlineStr">
        <is>
          <t>St. Louis : Mosby, 1979.</t>
        </is>
      </c>
      <c r="M713" t="inlineStr">
        <is>
          <t>1979</t>
        </is>
      </c>
      <c r="O713" t="inlineStr">
        <is>
          <t>eng</t>
        </is>
      </c>
      <c r="P713" t="inlineStr">
        <is>
          <t>mou</t>
        </is>
      </c>
      <c r="R713" t="inlineStr">
        <is>
          <t xml:space="preserve">RC </t>
        </is>
      </c>
      <c r="S713" t="n">
        <v>6</v>
      </c>
      <c r="T713" t="n">
        <v>6</v>
      </c>
      <c r="U713" t="inlineStr">
        <is>
          <t>2007-09-07</t>
        </is>
      </c>
      <c r="V713" t="inlineStr">
        <is>
          <t>2007-09-07</t>
        </is>
      </c>
      <c r="W713" t="inlineStr">
        <is>
          <t>1993-03-23</t>
        </is>
      </c>
      <c r="X713" t="inlineStr">
        <is>
          <t>1993-03-23</t>
        </is>
      </c>
      <c r="Y713" t="n">
        <v>388</v>
      </c>
      <c r="Z713" t="n">
        <v>330</v>
      </c>
      <c r="AA713" t="n">
        <v>435</v>
      </c>
      <c r="AB713" t="n">
        <v>4</v>
      </c>
      <c r="AC713" t="n">
        <v>4</v>
      </c>
      <c r="AD713" t="n">
        <v>21</v>
      </c>
      <c r="AE713" t="n">
        <v>25</v>
      </c>
      <c r="AF713" t="n">
        <v>10</v>
      </c>
      <c r="AG713" t="n">
        <v>10</v>
      </c>
      <c r="AH713" t="n">
        <v>4</v>
      </c>
      <c r="AI713" t="n">
        <v>6</v>
      </c>
      <c r="AJ713" t="n">
        <v>9</v>
      </c>
      <c r="AK713" t="n">
        <v>11</v>
      </c>
      <c r="AL713" t="n">
        <v>3</v>
      </c>
      <c r="AM713" t="n">
        <v>3</v>
      </c>
      <c r="AN713" t="n">
        <v>0</v>
      </c>
      <c r="AO713" t="n">
        <v>0</v>
      </c>
      <c r="AP713" t="inlineStr">
        <is>
          <t>No</t>
        </is>
      </c>
      <c r="AQ713" t="inlineStr">
        <is>
          <t>Yes</t>
        </is>
      </c>
      <c r="AR713">
        <f>HYPERLINK("http://catalog.hathitrust.org/Record/004421949","HathiTrust Record")</f>
        <v/>
      </c>
      <c r="AS713">
        <f>HYPERLINK("https://creighton-primo.hosted.exlibrisgroup.com/primo-explore/search?tab=default_tab&amp;search_scope=EVERYTHING&amp;vid=01CRU&amp;lang=en_US&amp;offset=0&amp;query=any,contains,991005317619702656","Catalog Record")</f>
        <v/>
      </c>
      <c r="AT713">
        <f>HYPERLINK("http://www.worldcat.org/oclc/4549594","WorldCat Record")</f>
        <v/>
      </c>
      <c r="AU713" t="inlineStr">
        <is>
          <t>794991541:eng</t>
        </is>
      </c>
      <c r="AV713" t="inlineStr">
        <is>
          <t>4549594</t>
        </is>
      </c>
      <c r="AW713" t="inlineStr">
        <is>
          <t>991005317619702656</t>
        </is>
      </c>
      <c r="AX713" t="inlineStr">
        <is>
          <t>991005317619702656</t>
        </is>
      </c>
      <c r="AY713" t="inlineStr">
        <is>
          <t>2272669880002656</t>
        </is>
      </c>
      <c r="AZ713" t="inlineStr">
        <is>
          <t>BOOK</t>
        </is>
      </c>
      <c r="BB713" t="inlineStr">
        <is>
          <t>9780801613203</t>
        </is>
      </c>
      <c r="BC713" t="inlineStr">
        <is>
          <t>32285001606531</t>
        </is>
      </c>
      <c r="BD713" t="inlineStr">
        <is>
          <t>893600981</t>
        </is>
      </c>
    </row>
    <row r="714">
      <c r="A714" t="inlineStr">
        <is>
          <t>No</t>
        </is>
      </c>
      <c r="B714" t="inlineStr">
        <is>
          <t>RC480.6 .E33 1983</t>
        </is>
      </c>
      <c r="C714" t="inlineStr">
        <is>
          <t>0                      RC 0480600E  33          1983</t>
        </is>
      </c>
      <c r="D714" t="inlineStr">
        <is>
          <t>Crisis intervention : a manual for education and action / John P. Eddy, David M. Lawson, Jr., David C. Stilson.</t>
        </is>
      </c>
      <c r="F714" t="inlineStr">
        <is>
          <t>No</t>
        </is>
      </c>
      <c r="G714" t="inlineStr">
        <is>
          <t>1</t>
        </is>
      </c>
      <c r="H714" t="inlineStr">
        <is>
          <t>No</t>
        </is>
      </c>
      <c r="I714" t="inlineStr">
        <is>
          <t>No</t>
        </is>
      </c>
      <c r="J714" t="inlineStr">
        <is>
          <t>0</t>
        </is>
      </c>
      <c r="K714" t="inlineStr">
        <is>
          <t>Eddy, John, 1932-</t>
        </is>
      </c>
      <c r="L714" t="inlineStr">
        <is>
          <t>Lanham, MD : University Press of America, c1983.</t>
        </is>
      </c>
      <c r="M714" t="inlineStr">
        <is>
          <t>1983</t>
        </is>
      </c>
      <c r="O714" t="inlineStr">
        <is>
          <t>eng</t>
        </is>
      </c>
      <c r="P714" t="inlineStr">
        <is>
          <t>mdu</t>
        </is>
      </c>
      <c r="R714" t="inlineStr">
        <is>
          <t xml:space="preserve">RC </t>
        </is>
      </c>
      <c r="S714" t="n">
        <v>4</v>
      </c>
      <c r="T714" t="n">
        <v>4</v>
      </c>
      <c r="U714" t="inlineStr">
        <is>
          <t>2007-09-07</t>
        </is>
      </c>
      <c r="V714" t="inlineStr">
        <is>
          <t>2007-09-07</t>
        </is>
      </c>
      <c r="W714" t="inlineStr">
        <is>
          <t>1993-03-23</t>
        </is>
      </c>
      <c r="X714" t="inlineStr">
        <is>
          <t>1993-03-23</t>
        </is>
      </c>
      <c r="Y714" t="n">
        <v>262</v>
      </c>
      <c r="Z714" t="n">
        <v>233</v>
      </c>
      <c r="AA714" t="n">
        <v>234</v>
      </c>
      <c r="AB714" t="n">
        <v>2</v>
      </c>
      <c r="AC714" t="n">
        <v>2</v>
      </c>
      <c r="AD714" t="n">
        <v>6</v>
      </c>
      <c r="AE714" t="n">
        <v>6</v>
      </c>
      <c r="AF714" t="n">
        <v>1</v>
      </c>
      <c r="AG714" t="n">
        <v>1</v>
      </c>
      <c r="AH714" t="n">
        <v>2</v>
      </c>
      <c r="AI714" t="n">
        <v>2</v>
      </c>
      <c r="AJ714" t="n">
        <v>2</v>
      </c>
      <c r="AK714" t="n">
        <v>2</v>
      </c>
      <c r="AL714" t="n">
        <v>1</v>
      </c>
      <c r="AM714" t="n">
        <v>1</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HYPERLINK("https://creighton-primo.hosted.exlibrisgroup.com/primo-explore/search?tab=default_tab&amp;search_scope=EVERYTHING&amp;vid=01CRU&amp;lang=en_US&amp;offset=0&amp;query=any,contains,991000202579702656","Catalog Record")</f>
        <v/>
      </c>
      <c r="AT714">
        <f>HYPERLINK("http://www.worldcat.org/oclc/9465890","WorldCat Record")</f>
        <v/>
      </c>
      <c r="AU714" t="inlineStr">
        <is>
          <t>180898989:eng</t>
        </is>
      </c>
      <c r="AV714" t="inlineStr">
        <is>
          <t>9465890</t>
        </is>
      </c>
      <c r="AW714" t="inlineStr">
        <is>
          <t>991000202579702656</t>
        </is>
      </c>
      <c r="AX714" t="inlineStr">
        <is>
          <t>991000202579702656</t>
        </is>
      </c>
      <c r="AY714" t="inlineStr">
        <is>
          <t>2264572820002656</t>
        </is>
      </c>
      <c r="AZ714" t="inlineStr">
        <is>
          <t>BOOK</t>
        </is>
      </c>
      <c r="BB714" t="inlineStr">
        <is>
          <t>9780819132314</t>
        </is>
      </c>
      <c r="BC714" t="inlineStr">
        <is>
          <t>32285001606549</t>
        </is>
      </c>
      <c r="BD714" t="inlineStr">
        <is>
          <t>893327119</t>
        </is>
      </c>
    </row>
    <row r="715">
      <c r="A715" t="inlineStr">
        <is>
          <t>No</t>
        </is>
      </c>
      <c r="B715" t="inlineStr">
        <is>
          <t>RC480.6 .F68 1990</t>
        </is>
      </c>
      <c r="C715" t="inlineStr">
        <is>
          <t>0                      RC 0480600F  68          1990</t>
        </is>
      </c>
      <c r="D715" t="inlineStr">
        <is>
          <t>A practical guide to emergency and protective crisis intervention : dealing with the violent and self-destructive person / by Joel Foxman.</t>
        </is>
      </c>
      <c r="F715" t="inlineStr">
        <is>
          <t>No</t>
        </is>
      </c>
      <c r="G715" t="inlineStr">
        <is>
          <t>1</t>
        </is>
      </c>
      <c r="H715" t="inlineStr">
        <is>
          <t>No</t>
        </is>
      </c>
      <c r="I715" t="inlineStr">
        <is>
          <t>No</t>
        </is>
      </c>
      <c r="J715" t="inlineStr">
        <is>
          <t>0</t>
        </is>
      </c>
      <c r="K715" t="inlineStr">
        <is>
          <t>Foxman, Joel.</t>
        </is>
      </c>
      <c r="L715" t="inlineStr">
        <is>
          <t>Springfield, Ill., U.S.A. : C.C. Thomas, c1990.</t>
        </is>
      </c>
      <c r="M715" t="inlineStr">
        <is>
          <t>1990</t>
        </is>
      </c>
      <c r="O715" t="inlineStr">
        <is>
          <t>eng</t>
        </is>
      </c>
      <c r="P715" t="inlineStr">
        <is>
          <t>ilu</t>
        </is>
      </c>
      <c r="R715" t="inlineStr">
        <is>
          <t xml:space="preserve">RC </t>
        </is>
      </c>
      <c r="S715" t="n">
        <v>2</v>
      </c>
      <c r="T715" t="n">
        <v>2</v>
      </c>
      <c r="U715" t="inlineStr">
        <is>
          <t>1996-11-18</t>
        </is>
      </c>
      <c r="V715" t="inlineStr">
        <is>
          <t>1996-11-18</t>
        </is>
      </c>
      <c r="W715" t="inlineStr">
        <is>
          <t>1995-07-05</t>
        </is>
      </c>
      <c r="X715" t="inlineStr">
        <is>
          <t>1995-07-05</t>
        </is>
      </c>
      <c r="Y715" t="n">
        <v>191</v>
      </c>
      <c r="Z715" t="n">
        <v>164</v>
      </c>
      <c r="AA715" t="n">
        <v>166</v>
      </c>
      <c r="AB715" t="n">
        <v>1</v>
      </c>
      <c r="AC715" t="n">
        <v>1</v>
      </c>
      <c r="AD715" t="n">
        <v>6</v>
      </c>
      <c r="AE715" t="n">
        <v>6</v>
      </c>
      <c r="AF715" t="n">
        <v>2</v>
      </c>
      <c r="AG715" t="n">
        <v>2</v>
      </c>
      <c r="AH715" t="n">
        <v>2</v>
      </c>
      <c r="AI715" t="n">
        <v>2</v>
      </c>
      <c r="AJ715" t="n">
        <v>5</v>
      </c>
      <c r="AK715" t="n">
        <v>5</v>
      </c>
      <c r="AL715" t="n">
        <v>0</v>
      </c>
      <c r="AM715" t="n">
        <v>0</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HYPERLINK("https://creighton-primo.hosted.exlibrisgroup.com/primo-explore/search?tab=default_tab&amp;search_scope=EVERYTHING&amp;vid=01CRU&amp;lang=en_US&amp;offset=0&amp;query=any,contains,991001533069702656","Catalog Record")</f>
        <v/>
      </c>
      <c r="AT715">
        <f>HYPERLINK("http://www.worldcat.org/oclc/20056222","WorldCat Record")</f>
        <v/>
      </c>
      <c r="AU715" t="inlineStr">
        <is>
          <t>231596109:eng</t>
        </is>
      </c>
      <c r="AV715" t="inlineStr">
        <is>
          <t>20056222</t>
        </is>
      </c>
      <c r="AW715" t="inlineStr">
        <is>
          <t>991001533069702656</t>
        </is>
      </c>
      <c r="AX715" t="inlineStr">
        <is>
          <t>991001533069702656</t>
        </is>
      </c>
      <c r="AY715" t="inlineStr">
        <is>
          <t>2271225680002656</t>
        </is>
      </c>
      <c r="AZ715" t="inlineStr">
        <is>
          <t>BOOK</t>
        </is>
      </c>
      <c r="BB715" t="inlineStr">
        <is>
          <t>9780398056216</t>
        </is>
      </c>
      <c r="BC715" t="inlineStr">
        <is>
          <t>32285002053204</t>
        </is>
      </c>
      <c r="BD715" t="inlineStr">
        <is>
          <t>893621445</t>
        </is>
      </c>
    </row>
    <row r="716">
      <c r="A716" t="inlineStr">
        <is>
          <t>No</t>
        </is>
      </c>
      <c r="B716" t="inlineStr">
        <is>
          <t>RC480.6 .G63</t>
        </is>
      </c>
      <c r="C716" t="inlineStr">
        <is>
          <t>0                      RC 0480600G  63</t>
        </is>
      </c>
      <c r="D716" t="inlineStr">
        <is>
          <t>Passing through transitions : a guide for practitioners / Naomi Golan.</t>
        </is>
      </c>
      <c r="F716" t="inlineStr">
        <is>
          <t>No</t>
        </is>
      </c>
      <c r="G716" t="inlineStr">
        <is>
          <t>1</t>
        </is>
      </c>
      <c r="H716" t="inlineStr">
        <is>
          <t>No</t>
        </is>
      </c>
      <c r="I716" t="inlineStr">
        <is>
          <t>No</t>
        </is>
      </c>
      <c r="J716" t="inlineStr">
        <is>
          <t>0</t>
        </is>
      </c>
      <c r="K716" t="inlineStr">
        <is>
          <t>Golan, Naomi.</t>
        </is>
      </c>
      <c r="L716" t="inlineStr">
        <is>
          <t>New York : Free Press ; London : Collier Macmillan Publishers, c1981.</t>
        </is>
      </c>
      <c r="M716" t="inlineStr">
        <is>
          <t>1981</t>
        </is>
      </c>
      <c r="O716" t="inlineStr">
        <is>
          <t>eng</t>
        </is>
      </c>
      <c r="P716" t="inlineStr">
        <is>
          <t>nyu</t>
        </is>
      </c>
      <c r="R716" t="inlineStr">
        <is>
          <t xml:space="preserve">RC </t>
        </is>
      </c>
      <c r="S716" t="n">
        <v>2</v>
      </c>
      <c r="T716" t="n">
        <v>2</v>
      </c>
      <c r="U716" t="inlineStr">
        <is>
          <t>1995-11-06</t>
        </is>
      </c>
      <c r="V716" t="inlineStr">
        <is>
          <t>1995-11-06</t>
        </is>
      </c>
      <c r="W716" t="inlineStr">
        <is>
          <t>1993-03-23</t>
        </is>
      </c>
      <c r="X716" t="inlineStr">
        <is>
          <t>1993-03-23</t>
        </is>
      </c>
      <c r="Y716" t="n">
        <v>466</v>
      </c>
      <c r="Z716" t="n">
        <v>386</v>
      </c>
      <c r="AA716" t="n">
        <v>415</v>
      </c>
      <c r="AB716" t="n">
        <v>3</v>
      </c>
      <c r="AC716" t="n">
        <v>3</v>
      </c>
      <c r="AD716" t="n">
        <v>15</v>
      </c>
      <c r="AE716" t="n">
        <v>17</v>
      </c>
      <c r="AF716" t="n">
        <v>5</v>
      </c>
      <c r="AG716" t="n">
        <v>5</v>
      </c>
      <c r="AH716" t="n">
        <v>1</v>
      </c>
      <c r="AI716" t="n">
        <v>2</v>
      </c>
      <c r="AJ716" t="n">
        <v>11</v>
      </c>
      <c r="AK716" t="n">
        <v>13</v>
      </c>
      <c r="AL716" t="n">
        <v>2</v>
      </c>
      <c r="AM716" t="n">
        <v>2</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HYPERLINK("https://creighton-primo.hosted.exlibrisgroup.com/primo-explore/search?tab=default_tab&amp;search_scope=EVERYTHING&amp;vid=01CRU&amp;lang=en_US&amp;offset=0&amp;query=any,contains,991005246519702656","Catalog Record")</f>
        <v/>
      </c>
      <c r="AT716">
        <f>HYPERLINK("http://www.worldcat.org/oclc/7552685","WorldCat Record")</f>
        <v/>
      </c>
      <c r="AU716" t="inlineStr">
        <is>
          <t>4264135:eng</t>
        </is>
      </c>
      <c r="AV716" t="inlineStr">
        <is>
          <t>7552685</t>
        </is>
      </c>
      <c r="AW716" t="inlineStr">
        <is>
          <t>991005246519702656</t>
        </is>
      </c>
      <c r="AX716" t="inlineStr">
        <is>
          <t>991005246519702656</t>
        </is>
      </c>
      <c r="AY716" t="inlineStr">
        <is>
          <t>2262982680002656</t>
        </is>
      </c>
      <c r="AZ716" t="inlineStr">
        <is>
          <t>BOOK</t>
        </is>
      </c>
      <c r="BB716" t="inlineStr">
        <is>
          <t>9780029120705</t>
        </is>
      </c>
      <c r="BC716" t="inlineStr">
        <is>
          <t>32285001606556</t>
        </is>
      </c>
      <c r="BD716" t="inlineStr">
        <is>
          <t>893628644</t>
        </is>
      </c>
    </row>
    <row r="717">
      <c r="A717" t="inlineStr">
        <is>
          <t>No</t>
        </is>
      </c>
      <c r="B717" t="inlineStr">
        <is>
          <t>RC480.6 .G64 1978</t>
        </is>
      </c>
      <c r="C717" t="inlineStr">
        <is>
          <t>0                      RC 0480600G  64          1978</t>
        </is>
      </c>
      <c r="D717" t="inlineStr">
        <is>
          <t>Treatment in crisis situations / Naomi Golan.</t>
        </is>
      </c>
      <c r="F717" t="inlineStr">
        <is>
          <t>No</t>
        </is>
      </c>
      <c r="G717" t="inlineStr">
        <is>
          <t>1</t>
        </is>
      </c>
      <c r="H717" t="inlineStr">
        <is>
          <t>No</t>
        </is>
      </c>
      <c r="I717" t="inlineStr">
        <is>
          <t>No</t>
        </is>
      </c>
      <c r="J717" t="inlineStr">
        <is>
          <t>0</t>
        </is>
      </c>
      <c r="K717" t="inlineStr">
        <is>
          <t>Golan, Naomi.</t>
        </is>
      </c>
      <c r="L717" t="inlineStr">
        <is>
          <t>New York : Free Press, c1978.</t>
        </is>
      </c>
      <c r="M717" t="inlineStr">
        <is>
          <t>1978</t>
        </is>
      </c>
      <c r="O717" t="inlineStr">
        <is>
          <t>eng</t>
        </is>
      </c>
      <c r="P717" t="inlineStr">
        <is>
          <t>nyu</t>
        </is>
      </c>
      <c r="Q717" t="inlineStr">
        <is>
          <t>Treatment approaches in the human services</t>
        </is>
      </c>
      <c r="R717" t="inlineStr">
        <is>
          <t xml:space="preserve">RC </t>
        </is>
      </c>
      <c r="S717" t="n">
        <v>6</v>
      </c>
      <c r="T717" t="n">
        <v>6</v>
      </c>
      <c r="U717" t="inlineStr">
        <is>
          <t>1996-10-29</t>
        </is>
      </c>
      <c r="V717" t="inlineStr">
        <is>
          <t>1996-10-29</t>
        </is>
      </c>
      <c r="W717" t="inlineStr">
        <is>
          <t>1993-03-23</t>
        </is>
      </c>
      <c r="X717" t="inlineStr">
        <is>
          <t>1993-03-23</t>
        </is>
      </c>
      <c r="Y717" t="n">
        <v>685</v>
      </c>
      <c r="Z717" t="n">
        <v>535</v>
      </c>
      <c r="AA717" t="n">
        <v>538</v>
      </c>
      <c r="AB717" t="n">
        <v>7</v>
      </c>
      <c r="AC717" t="n">
        <v>7</v>
      </c>
      <c r="AD717" t="n">
        <v>25</v>
      </c>
      <c r="AE717" t="n">
        <v>25</v>
      </c>
      <c r="AF717" t="n">
        <v>8</v>
      </c>
      <c r="AG717" t="n">
        <v>8</v>
      </c>
      <c r="AH717" t="n">
        <v>7</v>
      </c>
      <c r="AI717" t="n">
        <v>7</v>
      </c>
      <c r="AJ717" t="n">
        <v>12</v>
      </c>
      <c r="AK717" t="n">
        <v>12</v>
      </c>
      <c r="AL717" t="n">
        <v>6</v>
      </c>
      <c r="AM717" t="n">
        <v>6</v>
      </c>
      <c r="AN717" t="n">
        <v>0</v>
      </c>
      <c r="AO717" t="n">
        <v>0</v>
      </c>
      <c r="AP717" t="inlineStr">
        <is>
          <t>No</t>
        </is>
      </c>
      <c r="AQ717" t="inlineStr">
        <is>
          <t>Yes</t>
        </is>
      </c>
      <c r="AR717">
        <f>HYPERLINK("http://catalog.hathitrust.org/Record/000133599","HathiTrust Record")</f>
        <v/>
      </c>
      <c r="AS717">
        <f>HYPERLINK("https://creighton-primo.hosted.exlibrisgroup.com/primo-explore/search?tab=default_tab&amp;search_scope=EVERYTHING&amp;vid=01CRU&amp;lang=en_US&amp;offset=0&amp;query=any,contains,991004512849702656","Catalog Record")</f>
        <v/>
      </c>
      <c r="AT717">
        <f>HYPERLINK("http://www.worldcat.org/oclc/3771756","WorldCat Record")</f>
        <v/>
      </c>
      <c r="AU717" t="inlineStr">
        <is>
          <t>400523:eng</t>
        </is>
      </c>
      <c r="AV717" t="inlineStr">
        <is>
          <t>3771756</t>
        </is>
      </c>
      <c r="AW717" t="inlineStr">
        <is>
          <t>991004512849702656</t>
        </is>
      </c>
      <c r="AX717" t="inlineStr">
        <is>
          <t>991004512849702656</t>
        </is>
      </c>
      <c r="AY717" t="inlineStr">
        <is>
          <t>2262096390002656</t>
        </is>
      </c>
      <c r="AZ717" t="inlineStr">
        <is>
          <t>BOOK</t>
        </is>
      </c>
      <c r="BB717" t="inlineStr">
        <is>
          <t>9780029120606</t>
        </is>
      </c>
      <c r="BC717" t="inlineStr">
        <is>
          <t>32285001606564</t>
        </is>
      </c>
      <c r="BD717" t="inlineStr">
        <is>
          <t>893794946</t>
        </is>
      </c>
    </row>
    <row r="718">
      <c r="A718" t="inlineStr">
        <is>
          <t>No</t>
        </is>
      </c>
      <c r="B718" t="inlineStr">
        <is>
          <t>RC480.6 .H56 1983</t>
        </is>
      </c>
      <c r="C718" t="inlineStr">
        <is>
          <t>0                      RC 0480600H  56          1983</t>
        </is>
      </c>
      <c r="D718" t="inlineStr">
        <is>
          <t>Diagnosis and management of psychological emergencies : a manual for hospitalization / by John L. Hipple and Lee B. Hipple.</t>
        </is>
      </c>
      <c r="F718" t="inlineStr">
        <is>
          <t>No</t>
        </is>
      </c>
      <c r="G718" t="inlineStr">
        <is>
          <t>1</t>
        </is>
      </c>
      <c r="H718" t="inlineStr">
        <is>
          <t>No</t>
        </is>
      </c>
      <c r="I718" t="inlineStr">
        <is>
          <t>No</t>
        </is>
      </c>
      <c r="J718" t="inlineStr">
        <is>
          <t>0</t>
        </is>
      </c>
      <c r="K718" t="inlineStr">
        <is>
          <t>Hipple, John L.</t>
        </is>
      </c>
      <c r="L718" t="inlineStr">
        <is>
          <t>Springfield, Ill., U.S.A. : C.C. Thomas, c1983.</t>
        </is>
      </c>
      <c r="M718" t="inlineStr">
        <is>
          <t>1983</t>
        </is>
      </c>
      <c r="O718" t="inlineStr">
        <is>
          <t>eng</t>
        </is>
      </c>
      <c r="P718" t="inlineStr">
        <is>
          <t>ilu</t>
        </is>
      </c>
      <c r="R718" t="inlineStr">
        <is>
          <t xml:space="preserve">RC </t>
        </is>
      </c>
      <c r="S718" t="n">
        <v>2</v>
      </c>
      <c r="T718" t="n">
        <v>2</v>
      </c>
      <c r="U718" t="inlineStr">
        <is>
          <t>2006-05-10</t>
        </is>
      </c>
      <c r="V718" t="inlineStr">
        <is>
          <t>2006-05-10</t>
        </is>
      </c>
      <c r="W718" t="inlineStr">
        <is>
          <t>1992-06-23</t>
        </is>
      </c>
      <c r="X718" t="inlineStr">
        <is>
          <t>1992-06-23</t>
        </is>
      </c>
      <c r="Y718" t="n">
        <v>113</v>
      </c>
      <c r="Z718" t="n">
        <v>97</v>
      </c>
      <c r="AA718" t="n">
        <v>97</v>
      </c>
      <c r="AB718" t="n">
        <v>2</v>
      </c>
      <c r="AC718" t="n">
        <v>2</v>
      </c>
      <c r="AD718" t="n">
        <v>2</v>
      </c>
      <c r="AE718" t="n">
        <v>2</v>
      </c>
      <c r="AF718" t="n">
        <v>0</v>
      </c>
      <c r="AG718" t="n">
        <v>0</v>
      </c>
      <c r="AH718" t="n">
        <v>0</v>
      </c>
      <c r="AI718" t="n">
        <v>0</v>
      </c>
      <c r="AJ718" t="n">
        <v>1</v>
      </c>
      <c r="AK718" t="n">
        <v>1</v>
      </c>
      <c r="AL718" t="n">
        <v>1</v>
      </c>
      <c r="AM718" t="n">
        <v>1</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HYPERLINK("https://creighton-primo.hosted.exlibrisgroup.com/primo-explore/search?tab=default_tab&amp;search_scope=EVERYTHING&amp;vid=01CRU&amp;lang=en_US&amp;offset=0&amp;query=any,contains,991000209509702656","Catalog Record")</f>
        <v/>
      </c>
      <c r="AT718">
        <f>HYPERLINK("http://www.worldcat.org/oclc/9533165","WorldCat Record")</f>
        <v/>
      </c>
      <c r="AU718" t="inlineStr">
        <is>
          <t>1780498295:eng</t>
        </is>
      </c>
      <c r="AV718" t="inlineStr">
        <is>
          <t>9533165</t>
        </is>
      </c>
      <c r="AW718" t="inlineStr">
        <is>
          <t>991000209509702656</t>
        </is>
      </c>
      <c r="AX718" t="inlineStr">
        <is>
          <t>991000209509702656</t>
        </is>
      </c>
      <c r="AY718" t="inlineStr">
        <is>
          <t>2263162690002656</t>
        </is>
      </c>
      <c r="AZ718" t="inlineStr">
        <is>
          <t>BOOK</t>
        </is>
      </c>
      <c r="BB718" t="inlineStr">
        <is>
          <t>9780398048716</t>
        </is>
      </c>
      <c r="BC718" t="inlineStr">
        <is>
          <t>32285001133767</t>
        </is>
      </c>
      <c r="BD718" t="inlineStr">
        <is>
          <t>893689524</t>
        </is>
      </c>
    </row>
    <row r="719">
      <c r="A719" t="inlineStr">
        <is>
          <t>No</t>
        </is>
      </c>
      <c r="B719" t="inlineStr">
        <is>
          <t>RC480.6 .K46 1984</t>
        </is>
      </c>
      <c r="C719" t="inlineStr">
        <is>
          <t>0                      RC 0480600K  46          1984</t>
        </is>
      </c>
      <c r="D719" t="inlineStr">
        <is>
          <t>Crisis counseling : an essential guide for nonprofessional counselors / Eugene Kennedy.</t>
        </is>
      </c>
      <c r="F719" t="inlineStr">
        <is>
          <t>No</t>
        </is>
      </c>
      <c r="G719" t="inlineStr">
        <is>
          <t>1</t>
        </is>
      </c>
      <c r="H719" t="inlineStr">
        <is>
          <t>No</t>
        </is>
      </c>
      <c r="I719" t="inlineStr">
        <is>
          <t>No</t>
        </is>
      </c>
      <c r="J719" t="inlineStr">
        <is>
          <t>0</t>
        </is>
      </c>
      <c r="K719" t="inlineStr">
        <is>
          <t>Kennedy, Eugene C.</t>
        </is>
      </c>
      <c r="L719" t="inlineStr">
        <is>
          <t>New York : Continuum, 1984, c1981.</t>
        </is>
      </c>
      <c r="M719" t="inlineStr">
        <is>
          <t>1981</t>
        </is>
      </c>
      <c r="O719" t="inlineStr">
        <is>
          <t>eng</t>
        </is>
      </c>
      <c r="P719" t="inlineStr">
        <is>
          <t>nyu</t>
        </is>
      </c>
      <c r="R719" t="inlineStr">
        <is>
          <t xml:space="preserve">RC </t>
        </is>
      </c>
      <c r="S719" t="n">
        <v>10</v>
      </c>
      <c r="T719" t="n">
        <v>10</v>
      </c>
      <c r="U719" t="inlineStr">
        <is>
          <t>2006-05-10</t>
        </is>
      </c>
      <c r="V719" t="inlineStr">
        <is>
          <t>2006-05-10</t>
        </is>
      </c>
      <c r="W719" t="inlineStr">
        <is>
          <t>1991-12-06</t>
        </is>
      </c>
      <c r="X719" t="inlineStr">
        <is>
          <t>1991-12-06</t>
        </is>
      </c>
      <c r="Y719" t="n">
        <v>595</v>
      </c>
      <c r="Z719" t="n">
        <v>537</v>
      </c>
      <c r="AA719" t="n">
        <v>590</v>
      </c>
      <c r="AB719" t="n">
        <v>4</v>
      </c>
      <c r="AC719" t="n">
        <v>4</v>
      </c>
      <c r="AD719" t="n">
        <v>20</v>
      </c>
      <c r="AE719" t="n">
        <v>21</v>
      </c>
      <c r="AF719" t="n">
        <v>5</v>
      </c>
      <c r="AG719" t="n">
        <v>6</v>
      </c>
      <c r="AH719" t="n">
        <v>3</v>
      </c>
      <c r="AI719" t="n">
        <v>3</v>
      </c>
      <c r="AJ719" t="n">
        <v>15</v>
      </c>
      <c r="AK719" t="n">
        <v>15</v>
      </c>
      <c r="AL719" t="n">
        <v>1</v>
      </c>
      <c r="AM719" t="n">
        <v>1</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HYPERLINK("https://creighton-primo.hosted.exlibrisgroup.com/primo-explore/search?tab=default_tab&amp;search_scope=EVERYTHING&amp;vid=01CRU&amp;lang=en_US&amp;offset=0&amp;query=any,contains,991005067659702656","Catalog Record")</f>
        <v/>
      </c>
      <c r="AT719">
        <f>HYPERLINK("http://www.worldcat.org/oclc/6981964","WorldCat Record")</f>
        <v/>
      </c>
      <c r="AU719" t="inlineStr">
        <is>
          <t>351145:eng</t>
        </is>
      </c>
      <c r="AV719" t="inlineStr">
        <is>
          <t>6981964</t>
        </is>
      </c>
      <c r="AW719" t="inlineStr">
        <is>
          <t>991005067659702656</t>
        </is>
      </c>
      <c r="AX719" t="inlineStr">
        <is>
          <t>991005067659702656</t>
        </is>
      </c>
      <c r="AY719" t="inlineStr">
        <is>
          <t>2272746550002656</t>
        </is>
      </c>
      <c r="AZ719" t="inlineStr">
        <is>
          <t>BOOK</t>
        </is>
      </c>
      <c r="BB719" t="inlineStr">
        <is>
          <t>9780826400383</t>
        </is>
      </c>
      <c r="BC719" t="inlineStr">
        <is>
          <t>32285000885128</t>
        </is>
      </c>
      <c r="BD719" t="inlineStr">
        <is>
          <t>893625400</t>
        </is>
      </c>
    </row>
    <row r="720">
      <c r="A720" t="inlineStr">
        <is>
          <t>No</t>
        </is>
      </c>
      <c r="B720" t="inlineStr">
        <is>
          <t>RC480.6 .M37</t>
        </is>
      </c>
      <c r="C720" t="inlineStr">
        <is>
          <t>0                      RC 0480600M  37</t>
        </is>
      </c>
      <c r="D720" t="inlineStr">
        <is>
          <t>Disposable patients : situational factors in emergency psychiatric decisions / Daryl B. Matthews.</t>
        </is>
      </c>
      <c r="F720" t="inlineStr">
        <is>
          <t>No</t>
        </is>
      </c>
      <c r="G720" t="inlineStr">
        <is>
          <t>1</t>
        </is>
      </c>
      <c r="H720" t="inlineStr">
        <is>
          <t>No</t>
        </is>
      </c>
      <c r="I720" t="inlineStr">
        <is>
          <t>No</t>
        </is>
      </c>
      <c r="J720" t="inlineStr">
        <is>
          <t>0</t>
        </is>
      </c>
      <c r="K720" t="inlineStr">
        <is>
          <t>Matthews, Daryl B.</t>
        </is>
      </c>
      <c r="L720" t="inlineStr">
        <is>
          <t>Lexington, Mass. : Lexington Books, c1980.</t>
        </is>
      </c>
      <c r="M720" t="inlineStr">
        <is>
          <t>1980</t>
        </is>
      </c>
      <c r="O720" t="inlineStr">
        <is>
          <t>eng</t>
        </is>
      </c>
      <c r="P720" t="inlineStr">
        <is>
          <t>mau</t>
        </is>
      </c>
      <c r="R720" t="inlineStr">
        <is>
          <t xml:space="preserve">RC </t>
        </is>
      </c>
      <c r="S720" t="n">
        <v>2</v>
      </c>
      <c r="T720" t="n">
        <v>2</v>
      </c>
      <c r="U720" t="inlineStr">
        <is>
          <t>1993-10-06</t>
        </is>
      </c>
      <c r="V720" t="inlineStr">
        <is>
          <t>1993-10-06</t>
        </is>
      </c>
      <c r="W720" t="inlineStr">
        <is>
          <t>1993-03-23</t>
        </is>
      </c>
      <c r="X720" t="inlineStr">
        <is>
          <t>1993-03-23</t>
        </is>
      </c>
      <c r="Y720" t="n">
        <v>135</v>
      </c>
      <c r="Z720" t="n">
        <v>104</v>
      </c>
      <c r="AA720" t="n">
        <v>104</v>
      </c>
      <c r="AB720" t="n">
        <v>2</v>
      </c>
      <c r="AC720" t="n">
        <v>2</v>
      </c>
      <c r="AD720" t="n">
        <v>3</v>
      </c>
      <c r="AE720" t="n">
        <v>3</v>
      </c>
      <c r="AF720" t="n">
        <v>0</v>
      </c>
      <c r="AG720" t="n">
        <v>0</v>
      </c>
      <c r="AH720" t="n">
        <v>1</v>
      </c>
      <c r="AI720" t="n">
        <v>1</v>
      </c>
      <c r="AJ720" t="n">
        <v>2</v>
      </c>
      <c r="AK720" t="n">
        <v>2</v>
      </c>
      <c r="AL720" t="n">
        <v>1</v>
      </c>
      <c r="AM720" t="n">
        <v>1</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HYPERLINK("https://creighton-primo.hosted.exlibrisgroup.com/primo-explore/search?tab=default_tab&amp;search_scope=EVERYTHING&amp;vid=01CRU&amp;lang=en_US&amp;offset=0&amp;query=any,contains,991005012889702656","Catalog Record")</f>
        <v/>
      </c>
      <c r="AT720">
        <f>HYPERLINK("http://www.worldcat.org/oclc/6604123","WorldCat Record")</f>
        <v/>
      </c>
      <c r="AU720" t="inlineStr">
        <is>
          <t>917495072:eng</t>
        </is>
      </c>
      <c r="AV720" t="inlineStr">
        <is>
          <t>6604123</t>
        </is>
      </c>
      <c r="AW720" t="inlineStr">
        <is>
          <t>991005012889702656</t>
        </is>
      </c>
      <c r="AX720" t="inlineStr">
        <is>
          <t>991005012889702656</t>
        </is>
      </c>
      <c r="AY720" t="inlineStr">
        <is>
          <t>2255424450002656</t>
        </is>
      </c>
      <c r="AZ720" t="inlineStr">
        <is>
          <t>BOOK</t>
        </is>
      </c>
      <c r="BB720" t="inlineStr">
        <is>
          <t>9780669021646</t>
        </is>
      </c>
      <c r="BC720" t="inlineStr">
        <is>
          <t>32285001606580</t>
        </is>
      </c>
      <c r="BD720" t="inlineStr">
        <is>
          <t>893782908</t>
        </is>
      </c>
    </row>
    <row r="721">
      <c r="A721" t="inlineStr">
        <is>
          <t>No</t>
        </is>
      </c>
      <c r="B721" t="inlineStr">
        <is>
          <t>RC480.6 .P87</t>
        </is>
      </c>
      <c r="C721" t="inlineStr">
        <is>
          <t>0                      RC 0480600P  87</t>
        </is>
      </c>
      <c r="D721" t="inlineStr">
        <is>
          <t>Helping people in crisis : a practical, family-oriented approach to effective crisis intervention / Douglas A. Puryear.</t>
        </is>
      </c>
      <c r="F721" t="inlineStr">
        <is>
          <t>No</t>
        </is>
      </c>
      <c r="G721" t="inlineStr">
        <is>
          <t>1</t>
        </is>
      </c>
      <c r="H721" t="inlineStr">
        <is>
          <t>No</t>
        </is>
      </c>
      <c r="I721" t="inlineStr">
        <is>
          <t>No</t>
        </is>
      </c>
      <c r="J721" t="inlineStr">
        <is>
          <t>0</t>
        </is>
      </c>
      <c r="K721" t="inlineStr">
        <is>
          <t>Puryear, Douglas A., 1938-</t>
        </is>
      </c>
      <c r="L721" t="inlineStr">
        <is>
          <t>San Francisco : Jossey-Bass Publishers, 1979.</t>
        </is>
      </c>
      <c r="M721" t="inlineStr">
        <is>
          <t>1979</t>
        </is>
      </c>
      <c r="N721" t="inlineStr">
        <is>
          <t>1st ed.</t>
        </is>
      </c>
      <c r="O721" t="inlineStr">
        <is>
          <t>eng</t>
        </is>
      </c>
      <c r="P721" t="inlineStr">
        <is>
          <t>cau</t>
        </is>
      </c>
      <c r="Q721" t="inlineStr">
        <is>
          <t>The Jossey-Bass social and behavioral science series</t>
        </is>
      </c>
      <c r="R721" t="inlineStr">
        <is>
          <t xml:space="preserve">RC </t>
        </is>
      </c>
      <c r="S721" t="n">
        <v>3</v>
      </c>
      <c r="T721" t="n">
        <v>3</v>
      </c>
      <c r="U721" t="inlineStr">
        <is>
          <t>2000-11-29</t>
        </is>
      </c>
      <c r="V721" t="inlineStr">
        <is>
          <t>2000-11-29</t>
        </is>
      </c>
      <c r="W721" t="inlineStr">
        <is>
          <t>1992-07-27</t>
        </is>
      </c>
      <c r="X721" t="inlineStr">
        <is>
          <t>1992-07-27</t>
        </is>
      </c>
      <c r="Y721" t="n">
        <v>607</v>
      </c>
      <c r="Z721" t="n">
        <v>501</v>
      </c>
      <c r="AA721" t="n">
        <v>511</v>
      </c>
      <c r="AB721" t="n">
        <v>6</v>
      </c>
      <c r="AC721" t="n">
        <v>6</v>
      </c>
      <c r="AD721" t="n">
        <v>19</v>
      </c>
      <c r="AE721" t="n">
        <v>19</v>
      </c>
      <c r="AF721" t="n">
        <v>4</v>
      </c>
      <c r="AG721" t="n">
        <v>4</v>
      </c>
      <c r="AH721" t="n">
        <v>3</v>
      </c>
      <c r="AI721" t="n">
        <v>3</v>
      </c>
      <c r="AJ721" t="n">
        <v>11</v>
      </c>
      <c r="AK721" t="n">
        <v>11</v>
      </c>
      <c r="AL721" t="n">
        <v>5</v>
      </c>
      <c r="AM721" t="n">
        <v>5</v>
      </c>
      <c r="AN721" t="n">
        <v>0</v>
      </c>
      <c r="AO721" t="n">
        <v>0</v>
      </c>
      <c r="AP721" t="inlineStr">
        <is>
          <t>No</t>
        </is>
      </c>
      <c r="AQ721" t="inlineStr">
        <is>
          <t>Yes</t>
        </is>
      </c>
      <c r="AR721">
        <f>HYPERLINK("http://catalog.hathitrust.org/Record/000222646","HathiTrust Record")</f>
        <v/>
      </c>
      <c r="AS721">
        <f>HYPERLINK("https://creighton-primo.hosted.exlibrisgroup.com/primo-explore/search?tab=default_tab&amp;search_scope=EVERYTHING&amp;vid=01CRU&amp;lang=en_US&amp;offset=0&amp;query=any,contains,991004774669702656","Catalog Record")</f>
        <v/>
      </c>
      <c r="AT721">
        <f>HYPERLINK("http://www.worldcat.org/oclc/5100758","WorldCat Record")</f>
        <v/>
      </c>
      <c r="AU721" t="inlineStr">
        <is>
          <t>532756:eng</t>
        </is>
      </c>
      <c r="AV721" t="inlineStr">
        <is>
          <t>5100758</t>
        </is>
      </c>
      <c r="AW721" t="inlineStr">
        <is>
          <t>991004774669702656</t>
        </is>
      </c>
      <c r="AX721" t="inlineStr">
        <is>
          <t>991004774669702656</t>
        </is>
      </c>
      <c r="AY721" t="inlineStr">
        <is>
          <t>2258523690002656</t>
        </is>
      </c>
      <c r="AZ721" t="inlineStr">
        <is>
          <t>BOOK</t>
        </is>
      </c>
      <c r="BB721" t="inlineStr">
        <is>
          <t>9780875894218</t>
        </is>
      </c>
      <c r="BC721" t="inlineStr">
        <is>
          <t>32285001206902</t>
        </is>
      </c>
      <c r="BD721" t="inlineStr">
        <is>
          <t>893612761</t>
        </is>
      </c>
    </row>
    <row r="722">
      <c r="A722" t="inlineStr">
        <is>
          <t>No</t>
        </is>
      </c>
      <c r="B722" t="inlineStr">
        <is>
          <t>RC480.7 .C37 2008</t>
        </is>
      </c>
      <c r="C722" t="inlineStr">
        <is>
          <t>0                      RC 0480700C  37          2008</t>
        </is>
      </c>
      <c r="D722" t="inlineStr">
        <is>
          <t>Interviewing and brief therapy strategies : an integrative approach / George Carpetto.</t>
        </is>
      </c>
      <c r="F722" t="inlineStr">
        <is>
          <t>No</t>
        </is>
      </c>
      <c r="G722" t="inlineStr">
        <is>
          <t>1</t>
        </is>
      </c>
      <c r="H722" t="inlineStr">
        <is>
          <t>No</t>
        </is>
      </c>
      <c r="I722" t="inlineStr">
        <is>
          <t>No</t>
        </is>
      </c>
      <c r="J722" t="inlineStr">
        <is>
          <t>0</t>
        </is>
      </c>
      <c r="K722" t="inlineStr">
        <is>
          <t>Carpetto, George M.</t>
        </is>
      </c>
      <c r="L722" t="inlineStr">
        <is>
          <t>Boston : Pearson/Allyn &amp; Bacon, c2008.</t>
        </is>
      </c>
      <c r="M722" t="inlineStr">
        <is>
          <t>2008</t>
        </is>
      </c>
      <c r="O722" t="inlineStr">
        <is>
          <t>eng</t>
        </is>
      </c>
      <c r="P722" t="inlineStr">
        <is>
          <t>mau</t>
        </is>
      </c>
      <c r="R722" t="inlineStr">
        <is>
          <t xml:space="preserve">RC </t>
        </is>
      </c>
      <c r="S722" t="n">
        <v>4</v>
      </c>
      <c r="T722" t="n">
        <v>4</v>
      </c>
      <c r="U722" t="inlineStr">
        <is>
          <t>2008-10-11</t>
        </is>
      </c>
      <c r="V722" t="inlineStr">
        <is>
          <t>2008-10-11</t>
        </is>
      </c>
      <c r="W722" t="inlineStr">
        <is>
          <t>2007-12-18</t>
        </is>
      </c>
      <c r="X722" t="inlineStr">
        <is>
          <t>2007-12-18</t>
        </is>
      </c>
      <c r="Y722" t="n">
        <v>79</v>
      </c>
      <c r="Z722" t="n">
        <v>48</v>
      </c>
      <c r="AA722" t="n">
        <v>48</v>
      </c>
      <c r="AB722" t="n">
        <v>1</v>
      </c>
      <c r="AC722" t="n">
        <v>1</v>
      </c>
      <c r="AD722" t="n">
        <v>1</v>
      </c>
      <c r="AE722" t="n">
        <v>1</v>
      </c>
      <c r="AF722" t="n">
        <v>1</v>
      </c>
      <c r="AG722" t="n">
        <v>1</v>
      </c>
      <c r="AH722" t="n">
        <v>0</v>
      </c>
      <c r="AI722" t="n">
        <v>0</v>
      </c>
      <c r="AJ722" t="n">
        <v>1</v>
      </c>
      <c r="AK722" t="n">
        <v>1</v>
      </c>
      <c r="AL722" t="n">
        <v>0</v>
      </c>
      <c r="AM722" t="n">
        <v>0</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HYPERLINK("https://creighton-primo.hosted.exlibrisgroup.com/primo-explore/search?tab=default_tab&amp;search_scope=EVERYTHING&amp;vid=01CRU&amp;lang=en_US&amp;offset=0&amp;query=any,contains,991005150569702656","Catalog Record")</f>
        <v/>
      </c>
      <c r="AT722">
        <f>HYPERLINK("http://www.worldcat.org/oclc/129954223","WorldCat Record")</f>
        <v/>
      </c>
      <c r="AU722" t="inlineStr">
        <is>
          <t>480106399:eng</t>
        </is>
      </c>
      <c r="AV722" t="inlineStr">
        <is>
          <t>129954223</t>
        </is>
      </c>
      <c r="AW722" t="inlineStr">
        <is>
          <t>991005150569702656</t>
        </is>
      </c>
      <c r="AX722" t="inlineStr">
        <is>
          <t>991005150569702656</t>
        </is>
      </c>
      <c r="AY722" t="inlineStr">
        <is>
          <t>2264888490002656</t>
        </is>
      </c>
      <c r="AZ722" t="inlineStr">
        <is>
          <t>BOOK</t>
        </is>
      </c>
      <c r="BB722" t="inlineStr">
        <is>
          <t>9780205490783</t>
        </is>
      </c>
      <c r="BC722" t="inlineStr">
        <is>
          <t>32285005374375</t>
        </is>
      </c>
      <c r="BD722" t="inlineStr">
        <is>
          <t>893443490</t>
        </is>
      </c>
    </row>
    <row r="723">
      <c r="A723" t="inlineStr">
        <is>
          <t>No</t>
        </is>
      </c>
      <c r="B723" t="inlineStr">
        <is>
          <t>RC480.8 .B47 2010</t>
        </is>
      </c>
      <c r="C723" t="inlineStr">
        <is>
          <t>0                      RC 0480800B  47          2010</t>
        </is>
      </c>
      <c r="D723" t="inlineStr">
        <is>
          <t>Strengths-based engagement and practice : creating effective helping relationships / Bob Bertolino.</t>
        </is>
      </c>
      <c r="F723" t="inlineStr">
        <is>
          <t>No</t>
        </is>
      </c>
      <c r="G723" t="inlineStr">
        <is>
          <t>1</t>
        </is>
      </c>
      <c r="H723" t="inlineStr">
        <is>
          <t>No</t>
        </is>
      </c>
      <c r="I723" t="inlineStr">
        <is>
          <t>No</t>
        </is>
      </c>
      <c r="J723" t="inlineStr">
        <is>
          <t>0</t>
        </is>
      </c>
      <c r="K723" t="inlineStr">
        <is>
          <t>Bertolino, Bob, 1965-</t>
        </is>
      </c>
      <c r="L723" t="inlineStr">
        <is>
          <t>Boston : Allyn &amp; Bacon, c2010.</t>
        </is>
      </c>
      <c r="M723" t="inlineStr">
        <is>
          <t>2010</t>
        </is>
      </c>
      <c r="O723" t="inlineStr">
        <is>
          <t>eng</t>
        </is>
      </c>
      <c r="P723" t="inlineStr">
        <is>
          <t>mau</t>
        </is>
      </c>
      <c r="R723" t="inlineStr">
        <is>
          <t xml:space="preserve">RC </t>
        </is>
      </c>
      <c r="S723" t="n">
        <v>1</v>
      </c>
      <c r="T723" t="n">
        <v>1</v>
      </c>
      <c r="U723" t="inlineStr">
        <is>
          <t>2009-08-31</t>
        </is>
      </c>
      <c r="V723" t="inlineStr">
        <is>
          <t>2009-08-31</t>
        </is>
      </c>
      <c r="W723" t="inlineStr">
        <is>
          <t>2009-03-11</t>
        </is>
      </c>
      <c r="X723" t="inlineStr">
        <is>
          <t>2009-03-11</t>
        </is>
      </c>
      <c r="Y723" t="n">
        <v>90</v>
      </c>
      <c r="Z723" t="n">
        <v>47</v>
      </c>
      <c r="AA723" t="n">
        <v>48</v>
      </c>
      <c r="AB723" t="n">
        <v>2</v>
      </c>
      <c r="AC723" t="n">
        <v>2</v>
      </c>
      <c r="AD723" t="n">
        <v>2</v>
      </c>
      <c r="AE723" t="n">
        <v>2</v>
      </c>
      <c r="AF723" t="n">
        <v>1</v>
      </c>
      <c r="AG723" t="n">
        <v>1</v>
      </c>
      <c r="AH723" t="n">
        <v>0</v>
      </c>
      <c r="AI723" t="n">
        <v>0</v>
      </c>
      <c r="AJ723" t="n">
        <v>1</v>
      </c>
      <c r="AK723" t="n">
        <v>1</v>
      </c>
      <c r="AL723" t="n">
        <v>1</v>
      </c>
      <c r="AM723" t="n">
        <v>1</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HYPERLINK("https://creighton-primo.hosted.exlibrisgroup.com/primo-explore/search?tab=default_tab&amp;search_scope=EVERYTHING&amp;vid=01CRU&amp;lang=en_US&amp;offset=0&amp;query=any,contains,991005299639702656","Catalog Record")</f>
        <v/>
      </c>
      <c r="AT723">
        <f>HYPERLINK("http://www.worldcat.org/oclc/268788582","WorldCat Record")</f>
        <v/>
      </c>
      <c r="AU723" t="inlineStr">
        <is>
          <t>796115553:eng</t>
        </is>
      </c>
      <c r="AV723" t="inlineStr">
        <is>
          <t>268788582</t>
        </is>
      </c>
      <c r="AW723" t="inlineStr">
        <is>
          <t>991005299639702656</t>
        </is>
      </c>
      <c r="AX723" t="inlineStr">
        <is>
          <t>991005299639702656</t>
        </is>
      </c>
      <c r="AY723" t="inlineStr">
        <is>
          <t>2267921610002656</t>
        </is>
      </c>
      <c r="AZ723" t="inlineStr">
        <is>
          <t>BOOK</t>
        </is>
      </c>
      <c r="BB723" t="inlineStr">
        <is>
          <t>9780205569045</t>
        </is>
      </c>
      <c r="BC723" t="inlineStr">
        <is>
          <t>32285005507958</t>
        </is>
      </c>
      <c r="BD723" t="inlineStr">
        <is>
          <t>893514409</t>
        </is>
      </c>
    </row>
    <row r="724">
      <c r="A724" t="inlineStr">
        <is>
          <t>No</t>
        </is>
      </c>
      <c r="B724" t="inlineStr">
        <is>
          <t>RC480.8 .B65 1995</t>
        </is>
      </c>
      <c r="C724" t="inlineStr">
        <is>
          <t>0                      RC 0480800B  65          1995</t>
        </is>
      </c>
      <c r="D724" t="inlineStr">
        <is>
          <t>The new informants : the betrayal of confidentiality in psychoanalysis and psythotherapy / Christopher Bollas and David Sundelson.</t>
        </is>
      </c>
      <c r="F724" t="inlineStr">
        <is>
          <t>No</t>
        </is>
      </c>
      <c r="G724" t="inlineStr">
        <is>
          <t>1</t>
        </is>
      </c>
      <c r="H724" t="inlineStr">
        <is>
          <t>No</t>
        </is>
      </c>
      <c r="I724" t="inlineStr">
        <is>
          <t>No</t>
        </is>
      </c>
      <c r="J724" t="inlineStr">
        <is>
          <t>0</t>
        </is>
      </c>
      <c r="K724" t="inlineStr">
        <is>
          <t>Bollas, Christopher.</t>
        </is>
      </c>
      <c r="L724" t="inlineStr">
        <is>
          <t>Northvale, N.J. : J. Aronson, c1995.</t>
        </is>
      </c>
      <c r="M724" t="inlineStr">
        <is>
          <t>1995</t>
        </is>
      </c>
      <c r="O724" t="inlineStr">
        <is>
          <t>eng</t>
        </is>
      </c>
      <c r="P724" t="inlineStr">
        <is>
          <t>nju</t>
        </is>
      </c>
      <c r="R724" t="inlineStr">
        <is>
          <t xml:space="preserve">RC </t>
        </is>
      </c>
      <c r="S724" t="n">
        <v>4</v>
      </c>
      <c r="T724" t="n">
        <v>4</v>
      </c>
      <c r="U724" t="inlineStr">
        <is>
          <t>1999-03-29</t>
        </is>
      </c>
      <c r="V724" t="inlineStr">
        <is>
          <t>1999-03-29</t>
        </is>
      </c>
      <c r="W724" t="inlineStr">
        <is>
          <t>1996-03-21</t>
        </is>
      </c>
      <c r="X724" t="inlineStr">
        <is>
          <t>1996-03-21</t>
        </is>
      </c>
      <c r="Y724" t="n">
        <v>331</v>
      </c>
      <c r="Z724" t="n">
        <v>297</v>
      </c>
      <c r="AA724" t="n">
        <v>607</v>
      </c>
      <c r="AB724" t="n">
        <v>4</v>
      </c>
      <c r="AC724" t="n">
        <v>7</v>
      </c>
      <c r="AD724" t="n">
        <v>25</v>
      </c>
      <c r="AE724" t="n">
        <v>29</v>
      </c>
      <c r="AF724" t="n">
        <v>4</v>
      </c>
      <c r="AG724" t="n">
        <v>5</v>
      </c>
      <c r="AH724" t="n">
        <v>3</v>
      </c>
      <c r="AI724" t="n">
        <v>3</v>
      </c>
      <c r="AJ724" t="n">
        <v>13</v>
      </c>
      <c r="AK724" t="n">
        <v>14</v>
      </c>
      <c r="AL724" t="n">
        <v>3</v>
      </c>
      <c r="AM724" t="n">
        <v>6</v>
      </c>
      <c r="AN724" t="n">
        <v>7</v>
      </c>
      <c r="AO724" t="n">
        <v>7</v>
      </c>
      <c r="AP724" t="inlineStr">
        <is>
          <t>No</t>
        </is>
      </c>
      <c r="AQ724" t="inlineStr">
        <is>
          <t>Yes</t>
        </is>
      </c>
      <c r="AR724">
        <f>HYPERLINK("http://catalog.hathitrust.org/Record/003092636","HathiTrust Record")</f>
        <v/>
      </c>
      <c r="AS724">
        <f>HYPERLINK("https://creighton-primo.hosted.exlibrisgroup.com/primo-explore/search?tab=default_tab&amp;search_scope=EVERYTHING&amp;vid=01CRU&amp;lang=en_US&amp;offset=0&amp;query=any,contains,991002483069702656","Catalog Record")</f>
        <v/>
      </c>
      <c r="AT724">
        <f>HYPERLINK("http://www.worldcat.org/oclc/32313016","WorldCat Record")</f>
        <v/>
      </c>
      <c r="AU724" t="inlineStr">
        <is>
          <t>288341582:eng</t>
        </is>
      </c>
      <c r="AV724" t="inlineStr">
        <is>
          <t>32313016</t>
        </is>
      </c>
      <c r="AW724" t="inlineStr">
        <is>
          <t>991002483069702656</t>
        </is>
      </c>
      <c r="AX724" t="inlineStr">
        <is>
          <t>991002483069702656</t>
        </is>
      </c>
      <c r="AY724" t="inlineStr">
        <is>
          <t>2267875380002656</t>
        </is>
      </c>
      <c r="AZ724" t="inlineStr">
        <is>
          <t>BOOK</t>
        </is>
      </c>
      <c r="BB724" t="inlineStr">
        <is>
          <t>9781568215952</t>
        </is>
      </c>
      <c r="BC724" t="inlineStr">
        <is>
          <t>32285002145513</t>
        </is>
      </c>
      <c r="BD724" t="inlineStr">
        <is>
          <t>893517338</t>
        </is>
      </c>
    </row>
    <row r="725">
      <c r="A725" t="inlineStr">
        <is>
          <t>No</t>
        </is>
      </c>
      <c r="B725" t="inlineStr">
        <is>
          <t>RC480.8 .B83 1990</t>
        </is>
      </c>
      <c r="C725" t="inlineStr">
        <is>
          <t>0                      RC 0480800B  83          1990</t>
        </is>
      </c>
      <c r="D725" t="inlineStr">
        <is>
          <t>Intimate journeys : stories from life-changing therapy / James F.T. Bugental.</t>
        </is>
      </c>
      <c r="F725" t="inlineStr">
        <is>
          <t>No</t>
        </is>
      </c>
      <c r="G725" t="inlineStr">
        <is>
          <t>1</t>
        </is>
      </c>
      <c r="H725" t="inlineStr">
        <is>
          <t>No</t>
        </is>
      </c>
      <c r="I725" t="inlineStr">
        <is>
          <t>No</t>
        </is>
      </c>
      <c r="J725" t="inlineStr">
        <is>
          <t>0</t>
        </is>
      </c>
      <c r="K725" t="inlineStr">
        <is>
          <t>Bugental, James F. T.</t>
        </is>
      </c>
      <c r="L725" t="inlineStr">
        <is>
          <t>San Francisco : Jossey-Bass Publishers, 1990.</t>
        </is>
      </c>
      <c r="M725" t="inlineStr">
        <is>
          <t>1990</t>
        </is>
      </c>
      <c r="N725" t="inlineStr">
        <is>
          <t>Rev. ed.</t>
        </is>
      </c>
      <c r="O725" t="inlineStr">
        <is>
          <t>eng</t>
        </is>
      </c>
      <c r="P725" t="inlineStr">
        <is>
          <t>cau</t>
        </is>
      </c>
      <c r="Q725" t="inlineStr">
        <is>
          <t>Jossey-Bass social and behavioral science series</t>
        </is>
      </c>
      <c r="R725" t="inlineStr">
        <is>
          <t xml:space="preserve">RC </t>
        </is>
      </c>
      <c r="S725" t="n">
        <v>5</v>
      </c>
      <c r="T725" t="n">
        <v>5</v>
      </c>
      <c r="U725" t="inlineStr">
        <is>
          <t>1993-03-21</t>
        </is>
      </c>
      <c r="V725" t="inlineStr">
        <is>
          <t>1993-03-21</t>
        </is>
      </c>
      <c r="W725" t="inlineStr">
        <is>
          <t>1991-04-03</t>
        </is>
      </c>
      <c r="X725" t="inlineStr">
        <is>
          <t>1991-04-03</t>
        </is>
      </c>
      <c r="Y725" t="n">
        <v>270</v>
      </c>
      <c r="Z725" t="n">
        <v>239</v>
      </c>
      <c r="AA725" t="n">
        <v>245</v>
      </c>
      <c r="AB725" t="n">
        <v>3</v>
      </c>
      <c r="AC725" t="n">
        <v>3</v>
      </c>
      <c r="AD725" t="n">
        <v>9</v>
      </c>
      <c r="AE725" t="n">
        <v>9</v>
      </c>
      <c r="AF725" t="n">
        <v>2</v>
      </c>
      <c r="AG725" t="n">
        <v>2</v>
      </c>
      <c r="AH725" t="n">
        <v>0</v>
      </c>
      <c r="AI725" t="n">
        <v>0</v>
      </c>
      <c r="AJ725" t="n">
        <v>6</v>
      </c>
      <c r="AK725" t="n">
        <v>6</v>
      </c>
      <c r="AL725" t="n">
        <v>2</v>
      </c>
      <c r="AM725" t="n">
        <v>2</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HYPERLINK("https://creighton-primo.hosted.exlibrisgroup.com/primo-explore/search?tab=default_tab&amp;search_scope=EVERYTHING&amp;vid=01CRU&amp;lang=en_US&amp;offset=0&amp;query=any,contains,991001739109702656","Catalog Record")</f>
        <v/>
      </c>
      <c r="AT725">
        <f>HYPERLINK("http://www.worldcat.org/oclc/21976448","WorldCat Record")</f>
        <v/>
      </c>
      <c r="AU725" t="inlineStr">
        <is>
          <t>293102916:eng</t>
        </is>
      </c>
      <c r="AV725" t="inlineStr">
        <is>
          <t>21976448</t>
        </is>
      </c>
      <c r="AW725" t="inlineStr">
        <is>
          <t>991001739109702656</t>
        </is>
      </c>
      <c r="AX725" t="inlineStr">
        <is>
          <t>991001739109702656</t>
        </is>
      </c>
      <c r="AY725" t="inlineStr">
        <is>
          <t>2270201000002656</t>
        </is>
      </c>
      <c r="AZ725" t="inlineStr">
        <is>
          <t>BOOK</t>
        </is>
      </c>
      <c r="BB725" t="inlineStr">
        <is>
          <t>9781555422745</t>
        </is>
      </c>
      <c r="BC725" t="inlineStr">
        <is>
          <t>32285000565258</t>
        </is>
      </c>
      <c r="BD725" t="inlineStr">
        <is>
          <t>893328331</t>
        </is>
      </c>
    </row>
    <row r="726">
      <c r="A726" t="inlineStr">
        <is>
          <t>No</t>
        </is>
      </c>
      <c r="B726" t="inlineStr">
        <is>
          <t>RC480.8 .E3 1991</t>
        </is>
      </c>
      <c r="C726" t="inlineStr">
        <is>
          <t>0                      RC 0480800E  3           1991</t>
        </is>
      </c>
      <c r="D726" t="inlineStr">
        <is>
          <t>Sexual dilemmas for the helping professional / Jerry Edelwich and Archie Brodsky.</t>
        </is>
      </c>
      <c r="F726" t="inlineStr">
        <is>
          <t>No</t>
        </is>
      </c>
      <c r="G726" t="inlineStr">
        <is>
          <t>1</t>
        </is>
      </c>
      <c r="H726" t="inlineStr">
        <is>
          <t>No</t>
        </is>
      </c>
      <c r="I726" t="inlineStr">
        <is>
          <t>No</t>
        </is>
      </c>
      <c r="J726" t="inlineStr">
        <is>
          <t>0</t>
        </is>
      </c>
      <c r="K726" t="inlineStr">
        <is>
          <t>Edelwich, Jerry.</t>
        </is>
      </c>
      <c r="L726" t="inlineStr">
        <is>
          <t>New York : Brunner/Mazel, c1991.</t>
        </is>
      </c>
      <c r="M726" t="inlineStr">
        <is>
          <t>1991</t>
        </is>
      </c>
      <c r="N726" t="inlineStr">
        <is>
          <t>Rev. and expanded ed.</t>
        </is>
      </c>
      <c r="O726" t="inlineStr">
        <is>
          <t>eng</t>
        </is>
      </c>
      <c r="P726" t="inlineStr">
        <is>
          <t>nyu</t>
        </is>
      </c>
      <c r="R726" t="inlineStr">
        <is>
          <t xml:space="preserve">RC </t>
        </is>
      </c>
      <c r="S726" t="n">
        <v>3</v>
      </c>
      <c r="T726" t="n">
        <v>3</v>
      </c>
      <c r="U726" t="inlineStr">
        <is>
          <t>1994-11-01</t>
        </is>
      </c>
      <c r="V726" t="inlineStr">
        <is>
          <t>1994-11-01</t>
        </is>
      </c>
      <c r="W726" t="inlineStr">
        <is>
          <t>1992-05-22</t>
        </is>
      </c>
      <c r="X726" t="inlineStr">
        <is>
          <t>1992-05-22</t>
        </is>
      </c>
      <c r="Y726" t="n">
        <v>234</v>
      </c>
      <c r="Z726" t="n">
        <v>188</v>
      </c>
      <c r="AA726" t="n">
        <v>449</v>
      </c>
      <c r="AB726" t="n">
        <v>1</v>
      </c>
      <c r="AC726" t="n">
        <v>1</v>
      </c>
      <c r="AD726" t="n">
        <v>5</v>
      </c>
      <c r="AE726" t="n">
        <v>14</v>
      </c>
      <c r="AF726" t="n">
        <v>0</v>
      </c>
      <c r="AG726" t="n">
        <v>4</v>
      </c>
      <c r="AH726" t="n">
        <v>3</v>
      </c>
      <c r="AI726" t="n">
        <v>4</v>
      </c>
      <c r="AJ726" t="n">
        <v>2</v>
      </c>
      <c r="AK726" t="n">
        <v>9</v>
      </c>
      <c r="AL726" t="n">
        <v>0</v>
      </c>
      <c r="AM726" t="n">
        <v>0</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HYPERLINK("https://creighton-primo.hosted.exlibrisgroup.com/primo-explore/search?tab=default_tab&amp;search_scope=EVERYTHING&amp;vid=01CRU&amp;lang=en_US&amp;offset=0&amp;query=any,contains,991001821899702656","Catalog Record")</f>
        <v/>
      </c>
      <c r="AT726">
        <f>HYPERLINK("http://www.worldcat.org/oclc/22892215","WorldCat Record")</f>
        <v/>
      </c>
      <c r="AU726" t="inlineStr">
        <is>
          <t>929854:eng</t>
        </is>
      </c>
      <c r="AV726" t="inlineStr">
        <is>
          <t>22892215</t>
        </is>
      </c>
      <c r="AW726" t="inlineStr">
        <is>
          <t>991001821899702656</t>
        </is>
      </c>
      <c r="AX726" t="inlineStr">
        <is>
          <t>991001821899702656</t>
        </is>
      </c>
      <c r="AY726" t="inlineStr">
        <is>
          <t>2267288790002656</t>
        </is>
      </c>
      <c r="AZ726" t="inlineStr">
        <is>
          <t>BOOK</t>
        </is>
      </c>
      <c r="BB726" t="inlineStr">
        <is>
          <t>9780876306284</t>
        </is>
      </c>
      <c r="BC726" t="inlineStr">
        <is>
          <t>32285001118610</t>
        </is>
      </c>
      <c r="BD726" t="inlineStr">
        <is>
          <t>893621651</t>
        </is>
      </c>
    </row>
    <row r="727">
      <c r="A727" t="inlineStr">
        <is>
          <t>No</t>
        </is>
      </c>
      <c r="B727" t="inlineStr">
        <is>
          <t>RC480.8 .E34 1977</t>
        </is>
      </c>
      <c r="C727" t="inlineStr">
        <is>
          <t>0                      RC 0480800E  34          1977</t>
        </is>
      </c>
      <c r="D727" t="inlineStr">
        <is>
          <t>Effective psychotherapy : a handbook of research / edited and with commentaries by Alan S. Gurman and Andrew M. Razin. --</t>
        </is>
      </c>
      <c r="F727" t="inlineStr">
        <is>
          <t>No</t>
        </is>
      </c>
      <c r="G727" t="inlineStr">
        <is>
          <t>1</t>
        </is>
      </c>
      <c r="H727" t="inlineStr">
        <is>
          <t>No</t>
        </is>
      </c>
      <c r="I727" t="inlineStr">
        <is>
          <t>No</t>
        </is>
      </c>
      <c r="J727" t="inlineStr">
        <is>
          <t>0</t>
        </is>
      </c>
      <c r="L727" t="inlineStr">
        <is>
          <t>Oxford ; New York : Pergamon Press, 1977.</t>
        </is>
      </c>
      <c r="M727" t="inlineStr">
        <is>
          <t>1977</t>
        </is>
      </c>
      <c r="N727" t="inlineStr">
        <is>
          <t>1st ed.</t>
        </is>
      </c>
      <c r="O727" t="inlineStr">
        <is>
          <t>eng</t>
        </is>
      </c>
      <c r="P727" t="inlineStr">
        <is>
          <t>nyu</t>
        </is>
      </c>
      <c r="Q727" t="inlineStr">
        <is>
          <t>Pergamon general psychology series ; v. 70</t>
        </is>
      </c>
      <c r="R727" t="inlineStr">
        <is>
          <t xml:space="preserve">RC </t>
        </is>
      </c>
      <c r="S727" t="n">
        <v>5</v>
      </c>
      <c r="T727" t="n">
        <v>5</v>
      </c>
      <c r="U727" t="inlineStr">
        <is>
          <t>1998-03-22</t>
        </is>
      </c>
      <c r="V727" t="inlineStr">
        <is>
          <t>1998-03-22</t>
        </is>
      </c>
      <c r="W727" t="inlineStr">
        <is>
          <t>1993-03-23</t>
        </is>
      </c>
      <c r="X727" t="inlineStr">
        <is>
          <t>1993-03-23</t>
        </is>
      </c>
      <c r="Y727" t="n">
        <v>367</v>
      </c>
      <c r="Z727" t="n">
        <v>268</v>
      </c>
      <c r="AA727" t="n">
        <v>282</v>
      </c>
      <c r="AB727" t="n">
        <v>2</v>
      </c>
      <c r="AC727" t="n">
        <v>2</v>
      </c>
      <c r="AD727" t="n">
        <v>16</v>
      </c>
      <c r="AE727" t="n">
        <v>16</v>
      </c>
      <c r="AF727" t="n">
        <v>5</v>
      </c>
      <c r="AG727" t="n">
        <v>5</v>
      </c>
      <c r="AH727" t="n">
        <v>3</v>
      </c>
      <c r="AI727" t="n">
        <v>3</v>
      </c>
      <c r="AJ727" t="n">
        <v>10</v>
      </c>
      <c r="AK727" t="n">
        <v>10</v>
      </c>
      <c r="AL727" t="n">
        <v>1</v>
      </c>
      <c r="AM727" t="n">
        <v>1</v>
      </c>
      <c r="AN727" t="n">
        <v>0</v>
      </c>
      <c r="AO727" t="n">
        <v>0</v>
      </c>
      <c r="AP727" t="inlineStr">
        <is>
          <t>No</t>
        </is>
      </c>
      <c r="AQ727" t="inlineStr">
        <is>
          <t>Yes</t>
        </is>
      </c>
      <c r="AR727">
        <f>HYPERLINK("http://catalog.hathitrust.org/Record/000043845","HathiTrust Record")</f>
        <v/>
      </c>
      <c r="AS727">
        <f>HYPERLINK("https://creighton-primo.hosted.exlibrisgroup.com/primo-explore/search?tab=default_tab&amp;search_scope=EVERYTHING&amp;vid=01CRU&amp;lang=en_US&amp;offset=0&amp;query=any,contains,991004086069702656","Catalog Record")</f>
        <v/>
      </c>
      <c r="AT727">
        <f>HYPERLINK("http://www.worldcat.org/oclc/2332109","WorldCat Record")</f>
        <v/>
      </c>
      <c r="AU727" t="inlineStr">
        <is>
          <t>890146936:eng</t>
        </is>
      </c>
      <c r="AV727" t="inlineStr">
        <is>
          <t>2332109</t>
        </is>
      </c>
      <c r="AW727" t="inlineStr">
        <is>
          <t>991004086069702656</t>
        </is>
      </c>
      <c r="AX727" t="inlineStr">
        <is>
          <t>991004086069702656</t>
        </is>
      </c>
      <c r="AY727" t="inlineStr">
        <is>
          <t>2264226390002656</t>
        </is>
      </c>
      <c r="AZ727" t="inlineStr">
        <is>
          <t>BOOK</t>
        </is>
      </c>
      <c r="BB727" t="inlineStr">
        <is>
          <t>9780080195087</t>
        </is>
      </c>
      <c r="BC727" t="inlineStr">
        <is>
          <t>32285001606606</t>
        </is>
      </c>
      <c r="BD727" t="inlineStr">
        <is>
          <t>893228923</t>
        </is>
      </c>
    </row>
    <row r="728">
      <c r="A728" t="inlineStr">
        <is>
          <t>No</t>
        </is>
      </c>
      <c r="B728" t="inlineStr">
        <is>
          <t>RC480.8 .F7 1984</t>
        </is>
      </c>
      <c r="C728" t="inlineStr">
        <is>
          <t>0                      RC 0480800F  7           1984</t>
        </is>
      </c>
      <c r="D728" t="inlineStr">
        <is>
          <t>Listening to the inner self / Lucy Freeman.</t>
        </is>
      </c>
      <c r="F728" t="inlineStr">
        <is>
          <t>No</t>
        </is>
      </c>
      <c r="G728" t="inlineStr">
        <is>
          <t>1</t>
        </is>
      </c>
      <c r="H728" t="inlineStr">
        <is>
          <t>No</t>
        </is>
      </c>
      <c r="I728" t="inlineStr">
        <is>
          <t>No</t>
        </is>
      </c>
      <c r="J728" t="inlineStr">
        <is>
          <t>0</t>
        </is>
      </c>
      <c r="K728" t="inlineStr">
        <is>
          <t>Freeman, Lucy, 1916-2004.</t>
        </is>
      </c>
      <c r="L728" t="inlineStr">
        <is>
          <t>New York : J. Aronson, c1984.</t>
        </is>
      </c>
      <c r="M728" t="inlineStr">
        <is>
          <t>1984</t>
        </is>
      </c>
      <c r="O728" t="inlineStr">
        <is>
          <t>eng</t>
        </is>
      </c>
      <c r="P728" t="inlineStr">
        <is>
          <t>nyu</t>
        </is>
      </c>
      <c r="R728" t="inlineStr">
        <is>
          <t xml:space="preserve">RC </t>
        </is>
      </c>
      <c r="S728" t="n">
        <v>3</v>
      </c>
      <c r="T728" t="n">
        <v>3</v>
      </c>
      <c r="U728" t="inlineStr">
        <is>
          <t>1994-11-16</t>
        </is>
      </c>
      <c r="V728" t="inlineStr">
        <is>
          <t>1994-11-16</t>
        </is>
      </c>
      <c r="W728" t="inlineStr">
        <is>
          <t>1993-03-23</t>
        </is>
      </c>
      <c r="X728" t="inlineStr">
        <is>
          <t>1993-03-23</t>
        </is>
      </c>
      <c r="Y728" t="n">
        <v>101</v>
      </c>
      <c r="Z728" t="n">
        <v>85</v>
      </c>
      <c r="AA728" t="n">
        <v>92</v>
      </c>
      <c r="AB728" t="n">
        <v>1</v>
      </c>
      <c r="AC728" t="n">
        <v>1</v>
      </c>
      <c r="AD728" t="n">
        <v>3</v>
      </c>
      <c r="AE728" t="n">
        <v>3</v>
      </c>
      <c r="AF728" t="n">
        <v>0</v>
      </c>
      <c r="AG728" t="n">
        <v>0</v>
      </c>
      <c r="AH728" t="n">
        <v>1</v>
      </c>
      <c r="AI728" t="n">
        <v>1</v>
      </c>
      <c r="AJ728" t="n">
        <v>3</v>
      </c>
      <c r="AK728" t="n">
        <v>3</v>
      </c>
      <c r="AL728" t="n">
        <v>0</v>
      </c>
      <c r="AM728" t="n">
        <v>0</v>
      </c>
      <c r="AN728" t="n">
        <v>0</v>
      </c>
      <c r="AO728" t="n">
        <v>0</v>
      </c>
      <c r="AP728" t="inlineStr">
        <is>
          <t>No</t>
        </is>
      </c>
      <c r="AQ728" t="inlineStr">
        <is>
          <t>Yes</t>
        </is>
      </c>
      <c r="AR728">
        <f>HYPERLINK("http://catalog.hathitrust.org/Record/000330685","HathiTrust Record")</f>
        <v/>
      </c>
      <c r="AS728">
        <f>HYPERLINK("https://creighton-primo.hosted.exlibrisgroup.com/primo-explore/search?tab=default_tab&amp;search_scope=EVERYTHING&amp;vid=01CRU&amp;lang=en_US&amp;offset=0&amp;query=any,contains,991000227119702656","Catalog Record")</f>
        <v/>
      </c>
      <c r="AT728">
        <f>HYPERLINK("http://www.worldcat.org/oclc/9621610","WorldCat Record")</f>
        <v/>
      </c>
      <c r="AU728" t="inlineStr">
        <is>
          <t>19909909:eng</t>
        </is>
      </c>
      <c r="AV728" t="inlineStr">
        <is>
          <t>9621610</t>
        </is>
      </c>
      <c r="AW728" t="inlineStr">
        <is>
          <t>991000227119702656</t>
        </is>
      </c>
      <c r="AX728" t="inlineStr">
        <is>
          <t>991000227119702656</t>
        </is>
      </c>
      <c r="AY728" t="inlineStr">
        <is>
          <t>2268925140002656</t>
        </is>
      </c>
      <c r="AZ728" t="inlineStr">
        <is>
          <t>BOOK</t>
        </is>
      </c>
      <c r="BB728" t="inlineStr">
        <is>
          <t>9780876686409</t>
        </is>
      </c>
      <c r="BC728" t="inlineStr">
        <is>
          <t>32285001606614</t>
        </is>
      </c>
      <c r="BD728" t="inlineStr">
        <is>
          <t>893333317</t>
        </is>
      </c>
    </row>
    <row r="729">
      <c r="A729" t="inlineStr">
        <is>
          <t>No</t>
        </is>
      </c>
      <c r="B729" t="inlineStr">
        <is>
          <t>RC480.8 .L364</t>
        </is>
      </c>
      <c r="C729" t="inlineStr">
        <is>
          <t>0                      RC 0480800L  364</t>
        </is>
      </c>
      <c r="D729" t="inlineStr">
        <is>
          <t>The listening process / Robert Langs.</t>
        </is>
      </c>
      <c r="F729" t="inlineStr">
        <is>
          <t>No</t>
        </is>
      </c>
      <c r="G729" t="inlineStr">
        <is>
          <t>1</t>
        </is>
      </c>
      <c r="H729" t="inlineStr">
        <is>
          <t>No</t>
        </is>
      </c>
      <c r="I729" t="inlineStr">
        <is>
          <t>No</t>
        </is>
      </c>
      <c r="J729" t="inlineStr">
        <is>
          <t>0</t>
        </is>
      </c>
      <c r="K729" t="inlineStr">
        <is>
          <t>Langs, Robert, 1928-</t>
        </is>
      </c>
      <c r="L729" t="inlineStr">
        <is>
          <t>New York : J. Aronson, c1978.</t>
        </is>
      </c>
      <c r="M729" t="inlineStr">
        <is>
          <t>1978</t>
        </is>
      </c>
      <c r="O729" t="inlineStr">
        <is>
          <t>eng</t>
        </is>
      </c>
      <c r="P729" t="inlineStr">
        <is>
          <t>nyu</t>
        </is>
      </c>
      <c r="R729" t="inlineStr">
        <is>
          <t xml:space="preserve">RC </t>
        </is>
      </c>
      <c r="S729" t="n">
        <v>5</v>
      </c>
      <c r="T729" t="n">
        <v>5</v>
      </c>
      <c r="U729" t="inlineStr">
        <is>
          <t>1996-04-11</t>
        </is>
      </c>
      <c r="V729" t="inlineStr">
        <is>
          <t>1996-04-11</t>
        </is>
      </c>
      <c r="W729" t="inlineStr">
        <is>
          <t>1992-01-10</t>
        </is>
      </c>
      <c r="X729" t="inlineStr">
        <is>
          <t>1992-01-10</t>
        </is>
      </c>
      <c r="Y729" t="n">
        <v>394</v>
      </c>
      <c r="Z729" t="n">
        <v>342</v>
      </c>
      <c r="AA729" t="n">
        <v>401</v>
      </c>
      <c r="AB729" t="n">
        <v>3</v>
      </c>
      <c r="AC729" t="n">
        <v>3</v>
      </c>
      <c r="AD729" t="n">
        <v>16</v>
      </c>
      <c r="AE729" t="n">
        <v>17</v>
      </c>
      <c r="AF729" t="n">
        <v>4</v>
      </c>
      <c r="AG729" t="n">
        <v>4</v>
      </c>
      <c r="AH729" t="n">
        <v>3</v>
      </c>
      <c r="AI729" t="n">
        <v>4</v>
      </c>
      <c r="AJ729" t="n">
        <v>9</v>
      </c>
      <c r="AK729" t="n">
        <v>9</v>
      </c>
      <c r="AL729" t="n">
        <v>2</v>
      </c>
      <c r="AM729" t="n">
        <v>2</v>
      </c>
      <c r="AN729" t="n">
        <v>0</v>
      </c>
      <c r="AO729" t="n">
        <v>0</v>
      </c>
      <c r="AP729" t="inlineStr">
        <is>
          <t>No</t>
        </is>
      </c>
      <c r="AQ729" t="inlineStr">
        <is>
          <t>Yes</t>
        </is>
      </c>
      <c r="AR729">
        <f>HYPERLINK("http://catalog.hathitrust.org/Record/010389336","HathiTrust Record")</f>
        <v/>
      </c>
      <c r="AS729">
        <f>HYPERLINK("https://creighton-primo.hosted.exlibrisgroup.com/primo-explore/search?tab=default_tab&amp;search_scope=EVERYTHING&amp;vid=01CRU&amp;lang=en_US&amp;offset=0&amp;query=any,contains,991004641919702656","Catalog Record")</f>
        <v/>
      </c>
      <c r="AT729">
        <f>HYPERLINK("http://www.worldcat.org/oclc/4468562","WorldCat Record")</f>
        <v/>
      </c>
      <c r="AU729" t="inlineStr">
        <is>
          <t>14686108:eng</t>
        </is>
      </c>
      <c r="AV729" t="inlineStr">
        <is>
          <t>4468562</t>
        </is>
      </c>
      <c r="AW729" t="inlineStr">
        <is>
          <t>991004641919702656</t>
        </is>
      </c>
      <c r="AX729" t="inlineStr">
        <is>
          <t>991004641919702656</t>
        </is>
      </c>
      <c r="AY729" t="inlineStr">
        <is>
          <t>2255495890002656</t>
        </is>
      </c>
      <c r="AZ729" t="inlineStr">
        <is>
          <t>BOOK</t>
        </is>
      </c>
      <c r="BB729" t="inlineStr">
        <is>
          <t>9780876683415</t>
        </is>
      </c>
      <c r="BC729" t="inlineStr">
        <is>
          <t>32285000911239</t>
        </is>
      </c>
      <c r="BD729" t="inlineStr">
        <is>
          <t>893876355</t>
        </is>
      </c>
    </row>
    <row r="730">
      <c r="A730" t="inlineStr">
        <is>
          <t>No</t>
        </is>
      </c>
      <c r="B730" t="inlineStr">
        <is>
          <t>RC480.8 .N677 2007</t>
        </is>
      </c>
      <c r="C730" t="inlineStr">
        <is>
          <t>0                      RC 0480800N  677         2007</t>
        </is>
      </c>
      <c r="D730" t="inlineStr">
        <is>
          <t>Leaving it at the office : a guide to psychotherapist self-care / John C. Norcross, James D. Guy, Jr.</t>
        </is>
      </c>
      <c r="F730" t="inlineStr">
        <is>
          <t>No</t>
        </is>
      </c>
      <c r="G730" t="inlineStr">
        <is>
          <t>1</t>
        </is>
      </c>
      <c r="H730" t="inlineStr">
        <is>
          <t>No</t>
        </is>
      </c>
      <c r="I730" t="inlineStr">
        <is>
          <t>No</t>
        </is>
      </c>
      <c r="J730" t="inlineStr">
        <is>
          <t>0</t>
        </is>
      </c>
      <c r="K730" t="inlineStr">
        <is>
          <t>Norcross, John C., 1957-</t>
        </is>
      </c>
      <c r="L730" t="inlineStr">
        <is>
          <t>New York : Guilford Press, c2007.</t>
        </is>
      </c>
      <c r="M730" t="inlineStr">
        <is>
          <t>2007</t>
        </is>
      </c>
      <c r="O730" t="inlineStr">
        <is>
          <t>eng</t>
        </is>
      </c>
      <c r="P730" t="inlineStr">
        <is>
          <t>nyu</t>
        </is>
      </c>
      <c r="R730" t="inlineStr">
        <is>
          <t xml:space="preserve">RC </t>
        </is>
      </c>
      <c r="S730" t="n">
        <v>1</v>
      </c>
      <c r="T730" t="n">
        <v>1</v>
      </c>
      <c r="U730" t="inlineStr">
        <is>
          <t>2010-02-11</t>
        </is>
      </c>
      <c r="V730" t="inlineStr">
        <is>
          <t>2010-02-11</t>
        </is>
      </c>
      <c r="W730" t="inlineStr">
        <is>
          <t>2010-02-11</t>
        </is>
      </c>
      <c r="X730" t="inlineStr">
        <is>
          <t>2010-02-11</t>
        </is>
      </c>
      <c r="Y730" t="n">
        <v>186</v>
      </c>
      <c r="Z730" t="n">
        <v>134</v>
      </c>
      <c r="AA730" t="n">
        <v>253</v>
      </c>
      <c r="AB730" t="n">
        <v>2</v>
      </c>
      <c r="AC730" t="n">
        <v>2</v>
      </c>
      <c r="AD730" t="n">
        <v>6</v>
      </c>
      <c r="AE730" t="n">
        <v>9</v>
      </c>
      <c r="AF730" t="n">
        <v>2</v>
      </c>
      <c r="AG730" t="n">
        <v>4</v>
      </c>
      <c r="AH730" t="n">
        <v>1</v>
      </c>
      <c r="AI730" t="n">
        <v>2</v>
      </c>
      <c r="AJ730" t="n">
        <v>4</v>
      </c>
      <c r="AK730" t="n">
        <v>5</v>
      </c>
      <c r="AL730" t="n">
        <v>1</v>
      </c>
      <c r="AM730" t="n">
        <v>1</v>
      </c>
      <c r="AN730" t="n">
        <v>0</v>
      </c>
      <c r="AO730" t="n">
        <v>0</v>
      </c>
      <c r="AP730" t="inlineStr">
        <is>
          <t>No</t>
        </is>
      </c>
      <c r="AQ730" t="inlineStr">
        <is>
          <t>Yes</t>
        </is>
      </c>
      <c r="AR730">
        <f>HYPERLINK("http://catalog.hathitrust.org/Record/005565100","HathiTrust Record")</f>
        <v/>
      </c>
      <c r="AS730">
        <f>HYPERLINK("https://creighton-primo.hosted.exlibrisgroup.com/primo-explore/search?tab=default_tab&amp;search_scope=EVERYTHING&amp;vid=01CRU&amp;lang=en_US&amp;offset=0&amp;query=any,contains,991005361669702656","Catalog Record")</f>
        <v/>
      </c>
      <c r="AT730">
        <f>HYPERLINK("http://www.worldcat.org/oclc/85498800","WorldCat Record")</f>
        <v/>
      </c>
      <c r="AU730" t="inlineStr">
        <is>
          <t>801616381:eng</t>
        </is>
      </c>
      <c r="AV730" t="inlineStr">
        <is>
          <t>85498800</t>
        </is>
      </c>
      <c r="AW730" t="inlineStr">
        <is>
          <t>991005361669702656</t>
        </is>
      </c>
      <c r="AX730" t="inlineStr">
        <is>
          <t>991005361669702656</t>
        </is>
      </c>
      <c r="AY730" t="inlineStr">
        <is>
          <t>2266137150002656</t>
        </is>
      </c>
      <c r="AZ730" t="inlineStr">
        <is>
          <t>BOOK</t>
        </is>
      </c>
      <c r="BB730" t="inlineStr">
        <is>
          <t>9781593854904</t>
        </is>
      </c>
      <c r="BC730" t="inlineStr">
        <is>
          <t>32285005573331</t>
        </is>
      </c>
      <c r="BD730" t="inlineStr">
        <is>
          <t>893514572</t>
        </is>
      </c>
    </row>
    <row r="731">
      <c r="A731" t="inlineStr">
        <is>
          <t>No</t>
        </is>
      </c>
      <c r="B731" t="inlineStr">
        <is>
          <t>RC480.8 .P659 1993</t>
        </is>
      </c>
      <c r="C731" t="inlineStr">
        <is>
          <t>0                      RC 0480800P  659         1993</t>
        </is>
      </c>
      <c r="D731" t="inlineStr">
        <is>
          <t>Sexual feelings in psychotherapy : explorations for therapists and therapists-in-training / Kenneth S. Pope, Janet L. Sonne, Jean Holroyd.</t>
        </is>
      </c>
      <c r="F731" t="inlineStr">
        <is>
          <t>No</t>
        </is>
      </c>
      <c r="G731" t="inlineStr">
        <is>
          <t>1</t>
        </is>
      </c>
      <c r="H731" t="inlineStr">
        <is>
          <t>No</t>
        </is>
      </c>
      <c r="I731" t="inlineStr">
        <is>
          <t>No</t>
        </is>
      </c>
      <c r="J731" t="inlineStr">
        <is>
          <t>0</t>
        </is>
      </c>
      <c r="K731" t="inlineStr">
        <is>
          <t>Pope, Kenneth S.</t>
        </is>
      </c>
      <c r="L731" t="inlineStr">
        <is>
          <t>Washington, D.C. : American Psychological Association, c1993.</t>
        </is>
      </c>
      <c r="M731" t="inlineStr">
        <is>
          <t>1993</t>
        </is>
      </c>
      <c r="N731" t="inlineStr">
        <is>
          <t>1st ed.</t>
        </is>
      </c>
      <c r="O731" t="inlineStr">
        <is>
          <t>eng</t>
        </is>
      </c>
      <c r="P731" t="inlineStr">
        <is>
          <t>dcu</t>
        </is>
      </c>
      <c r="R731" t="inlineStr">
        <is>
          <t xml:space="preserve">RC </t>
        </is>
      </c>
      <c r="S731" t="n">
        <v>1</v>
      </c>
      <c r="T731" t="n">
        <v>1</v>
      </c>
      <c r="U731" t="inlineStr">
        <is>
          <t>2008-01-04</t>
        </is>
      </c>
      <c r="V731" t="inlineStr">
        <is>
          <t>2008-01-04</t>
        </is>
      </c>
      <c r="W731" t="inlineStr">
        <is>
          <t>1994-12-06</t>
        </is>
      </c>
      <c r="X731" t="inlineStr">
        <is>
          <t>1994-12-06</t>
        </is>
      </c>
      <c r="Y731" t="n">
        <v>398</v>
      </c>
      <c r="Z731" t="n">
        <v>340</v>
      </c>
      <c r="AA731" t="n">
        <v>395</v>
      </c>
      <c r="AB731" t="n">
        <v>2</v>
      </c>
      <c r="AC731" t="n">
        <v>3</v>
      </c>
      <c r="AD731" t="n">
        <v>14</v>
      </c>
      <c r="AE731" t="n">
        <v>19</v>
      </c>
      <c r="AF731" t="n">
        <v>6</v>
      </c>
      <c r="AG731" t="n">
        <v>8</v>
      </c>
      <c r="AH731" t="n">
        <v>0</v>
      </c>
      <c r="AI731" t="n">
        <v>0</v>
      </c>
      <c r="AJ731" t="n">
        <v>12</v>
      </c>
      <c r="AK731" t="n">
        <v>14</v>
      </c>
      <c r="AL731" t="n">
        <v>1</v>
      </c>
      <c r="AM731" t="n">
        <v>2</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HYPERLINK("https://creighton-primo.hosted.exlibrisgroup.com/primo-explore/search?tab=default_tab&amp;search_scope=EVERYTHING&amp;vid=01CRU&amp;lang=en_US&amp;offset=0&amp;query=any,contains,991002152989702656","Catalog Record")</f>
        <v/>
      </c>
      <c r="AT731">
        <f>HYPERLINK("http://www.worldcat.org/oclc/27729283","WorldCat Record")</f>
        <v/>
      </c>
      <c r="AU731" t="inlineStr">
        <is>
          <t>323520066:eng</t>
        </is>
      </c>
      <c r="AV731" t="inlineStr">
        <is>
          <t>27729283</t>
        </is>
      </c>
      <c r="AW731" t="inlineStr">
        <is>
          <t>991002152989702656</t>
        </is>
      </c>
      <c r="AX731" t="inlineStr">
        <is>
          <t>991002152989702656</t>
        </is>
      </c>
      <c r="AY731" t="inlineStr">
        <is>
          <t>2265864610002656</t>
        </is>
      </c>
      <c r="AZ731" t="inlineStr">
        <is>
          <t>BOOK</t>
        </is>
      </c>
      <c r="BB731" t="inlineStr">
        <is>
          <t>9781557982018</t>
        </is>
      </c>
      <c r="BC731" t="inlineStr">
        <is>
          <t>32285001976496</t>
        </is>
      </c>
      <c r="BD731" t="inlineStr">
        <is>
          <t>893510364</t>
        </is>
      </c>
    </row>
    <row r="732">
      <c r="A732" t="inlineStr">
        <is>
          <t>No</t>
        </is>
      </c>
      <c r="B732" t="inlineStr">
        <is>
          <t>RC481 .H3</t>
        </is>
      </c>
      <c r="C732" t="inlineStr">
        <is>
          <t>0                      RC 0481000H  3</t>
        </is>
      </c>
      <c r="D732" t="inlineStr">
        <is>
          <t>Techniques of family therapy / Jay Haley and Lynn Hoffman.</t>
        </is>
      </c>
      <c r="F732" t="inlineStr">
        <is>
          <t>No</t>
        </is>
      </c>
      <c r="G732" t="inlineStr">
        <is>
          <t>1</t>
        </is>
      </c>
      <c r="H732" t="inlineStr">
        <is>
          <t>No</t>
        </is>
      </c>
      <c r="I732" t="inlineStr">
        <is>
          <t>No</t>
        </is>
      </c>
      <c r="J732" t="inlineStr">
        <is>
          <t>0</t>
        </is>
      </c>
      <c r="K732" t="inlineStr">
        <is>
          <t>Haley, Jay, 1923-2007.</t>
        </is>
      </c>
      <c r="L732" t="inlineStr">
        <is>
          <t>New York : Basic Books, 1967.</t>
        </is>
      </c>
      <c r="M732" t="inlineStr">
        <is>
          <t>1967</t>
        </is>
      </c>
      <c r="O732" t="inlineStr">
        <is>
          <t>eng</t>
        </is>
      </c>
      <c r="P732" t="inlineStr">
        <is>
          <t>nyu</t>
        </is>
      </c>
      <c r="R732" t="inlineStr">
        <is>
          <t xml:space="preserve">RC </t>
        </is>
      </c>
      <c r="S732" t="n">
        <v>2</v>
      </c>
      <c r="T732" t="n">
        <v>2</v>
      </c>
      <c r="U732" t="inlineStr">
        <is>
          <t>1996-05-06</t>
        </is>
      </c>
      <c r="V732" t="inlineStr">
        <is>
          <t>1996-05-06</t>
        </is>
      </c>
      <c r="W732" t="inlineStr">
        <is>
          <t>1991-01-25</t>
        </is>
      </c>
      <c r="X732" t="inlineStr">
        <is>
          <t>1991-01-25</t>
        </is>
      </c>
      <c r="Y732" t="n">
        <v>184</v>
      </c>
      <c r="Z732" t="n">
        <v>161</v>
      </c>
      <c r="AA732" t="n">
        <v>661</v>
      </c>
      <c r="AB732" t="n">
        <v>1</v>
      </c>
      <c r="AC732" t="n">
        <v>4</v>
      </c>
      <c r="AD732" t="n">
        <v>4</v>
      </c>
      <c r="AE732" t="n">
        <v>28</v>
      </c>
      <c r="AF732" t="n">
        <v>2</v>
      </c>
      <c r="AG732" t="n">
        <v>11</v>
      </c>
      <c r="AH732" t="n">
        <v>0</v>
      </c>
      <c r="AI732" t="n">
        <v>5</v>
      </c>
      <c r="AJ732" t="n">
        <v>3</v>
      </c>
      <c r="AK732" t="n">
        <v>16</v>
      </c>
      <c r="AL732" t="n">
        <v>0</v>
      </c>
      <c r="AM732" t="n">
        <v>2</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HYPERLINK("https://creighton-primo.hosted.exlibrisgroup.com/primo-explore/search?tab=default_tab&amp;search_scope=EVERYTHING&amp;vid=01CRU&amp;lang=en_US&amp;offset=0&amp;query=any,contains,991000247549702656","Catalog Record")</f>
        <v/>
      </c>
      <c r="AT732">
        <f>HYPERLINK("http://www.worldcat.org/oclc/9729178","WorldCat Record")</f>
        <v/>
      </c>
      <c r="AU732" t="inlineStr">
        <is>
          <t>197336144:eng</t>
        </is>
      </c>
      <c r="AV732" t="inlineStr">
        <is>
          <t>9729178</t>
        </is>
      </c>
      <c r="AW732" t="inlineStr">
        <is>
          <t>991000247549702656</t>
        </is>
      </c>
      <c r="AX732" t="inlineStr">
        <is>
          <t>991000247549702656</t>
        </is>
      </c>
      <c r="AY732" t="inlineStr">
        <is>
          <t>2264663690002656</t>
        </is>
      </c>
      <c r="AZ732" t="inlineStr">
        <is>
          <t>BOOK</t>
        </is>
      </c>
      <c r="BC732" t="inlineStr">
        <is>
          <t>32285000461094</t>
        </is>
      </c>
      <c r="BD732" t="inlineStr">
        <is>
          <t>893237190</t>
        </is>
      </c>
    </row>
    <row r="733">
      <c r="A733" t="inlineStr">
        <is>
          <t>No</t>
        </is>
      </c>
      <c r="B733" t="inlineStr">
        <is>
          <t>RC481 .H35</t>
        </is>
      </c>
      <c r="C733" t="inlineStr">
        <is>
          <t>0                      RC 0481000H  35</t>
        </is>
      </c>
      <c r="D733" t="inlineStr">
        <is>
          <t>New directions in client-centered therapy / edited by J. T. Hart and T. M. Tomlinson.</t>
        </is>
      </c>
      <c r="F733" t="inlineStr">
        <is>
          <t>No</t>
        </is>
      </c>
      <c r="G733" t="inlineStr">
        <is>
          <t>1</t>
        </is>
      </c>
      <c r="H733" t="inlineStr">
        <is>
          <t>No</t>
        </is>
      </c>
      <c r="I733" t="inlineStr">
        <is>
          <t>No</t>
        </is>
      </c>
      <c r="J733" t="inlineStr">
        <is>
          <t>0</t>
        </is>
      </c>
      <c r="K733" t="inlineStr">
        <is>
          <t>Hart, J. T. (Joseph Truman), 1937- compiler.</t>
        </is>
      </c>
      <c r="L733" t="inlineStr">
        <is>
          <t>Boston : Houghton Mifflin, [1970]</t>
        </is>
      </c>
      <c r="M733" t="inlineStr">
        <is>
          <t>1970</t>
        </is>
      </c>
      <c r="O733" t="inlineStr">
        <is>
          <t>eng</t>
        </is>
      </c>
      <c r="P733" t="inlineStr">
        <is>
          <t>mau</t>
        </is>
      </c>
      <c r="R733" t="inlineStr">
        <is>
          <t xml:space="preserve">RC </t>
        </is>
      </c>
      <c r="S733" t="n">
        <v>15</v>
      </c>
      <c r="T733" t="n">
        <v>15</v>
      </c>
      <c r="U733" t="inlineStr">
        <is>
          <t>1996-11-14</t>
        </is>
      </c>
      <c r="V733" t="inlineStr">
        <is>
          <t>1996-11-14</t>
        </is>
      </c>
      <c r="W733" t="inlineStr">
        <is>
          <t>1990-07-18</t>
        </is>
      </c>
      <c r="X733" t="inlineStr">
        <is>
          <t>1990-07-18</t>
        </is>
      </c>
      <c r="Y733" t="n">
        <v>564</v>
      </c>
      <c r="Z733" t="n">
        <v>460</v>
      </c>
      <c r="AA733" t="n">
        <v>463</v>
      </c>
      <c r="AB733" t="n">
        <v>3</v>
      </c>
      <c r="AC733" t="n">
        <v>3</v>
      </c>
      <c r="AD733" t="n">
        <v>22</v>
      </c>
      <c r="AE733" t="n">
        <v>22</v>
      </c>
      <c r="AF733" t="n">
        <v>10</v>
      </c>
      <c r="AG733" t="n">
        <v>10</v>
      </c>
      <c r="AH733" t="n">
        <v>3</v>
      </c>
      <c r="AI733" t="n">
        <v>3</v>
      </c>
      <c r="AJ733" t="n">
        <v>12</v>
      </c>
      <c r="AK733" t="n">
        <v>12</v>
      </c>
      <c r="AL733" t="n">
        <v>2</v>
      </c>
      <c r="AM733" t="n">
        <v>2</v>
      </c>
      <c r="AN733" t="n">
        <v>0</v>
      </c>
      <c r="AO733" t="n">
        <v>0</v>
      </c>
      <c r="AP733" t="inlineStr">
        <is>
          <t>No</t>
        </is>
      </c>
      <c r="AQ733" t="inlineStr">
        <is>
          <t>Yes</t>
        </is>
      </c>
      <c r="AR733">
        <f>HYPERLINK("http://catalog.hathitrust.org/Record/001564594","HathiTrust Record")</f>
        <v/>
      </c>
      <c r="AS733">
        <f>HYPERLINK("https://creighton-primo.hosted.exlibrisgroup.com/primo-explore/search?tab=default_tab&amp;search_scope=EVERYTHING&amp;vid=01CRU&amp;lang=en_US&amp;offset=0&amp;query=any,contains,991000528039702656","Catalog Record")</f>
        <v/>
      </c>
      <c r="AT733">
        <f>HYPERLINK("http://www.worldcat.org/oclc/89146","WorldCat Record")</f>
        <v/>
      </c>
      <c r="AU733" t="inlineStr">
        <is>
          <t>1091239006:eng</t>
        </is>
      </c>
      <c r="AV733" t="inlineStr">
        <is>
          <t>89146</t>
        </is>
      </c>
      <c r="AW733" t="inlineStr">
        <is>
          <t>991000528039702656</t>
        </is>
      </c>
      <c r="AX733" t="inlineStr">
        <is>
          <t>991000528039702656</t>
        </is>
      </c>
      <c r="AY733" t="inlineStr">
        <is>
          <t>2258822730002656</t>
        </is>
      </c>
      <c r="AZ733" t="inlineStr">
        <is>
          <t>BOOK</t>
        </is>
      </c>
      <c r="BC733" t="inlineStr">
        <is>
          <t>32285000232818</t>
        </is>
      </c>
      <c r="BD733" t="inlineStr">
        <is>
          <t>893896964</t>
        </is>
      </c>
    </row>
    <row r="734">
      <c r="A734" t="inlineStr">
        <is>
          <t>No</t>
        </is>
      </c>
      <c r="B734" t="inlineStr">
        <is>
          <t>RC481 .W49 1974</t>
        </is>
      </c>
      <c r="C734" t="inlineStr">
        <is>
          <t>0                      RC 0481000W  49          1974</t>
        </is>
      </c>
      <c r="D734" t="inlineStr">
        <is>
          <t>Innovations in client-centered therapy / edited by David A. Wexler [and] Laura North Rice.</t>
        </is>
      </c>
      <c r="F734" t="inlineStr">
        <is>
          <t>No</t>
        </is>
      </c>
      <c r="G734" t="inlineStr">
        <is>
          <t>1</t>
        </is>
      </c>
      <c r="H734" t="inlineStr">
        <is>
          <t>No</t>
        </is>
      </c>
      <c r="I734" t="inlineStr">
        <is>
          <t>No</t>
        </is>
      </c>
      <c r="J734" t="inlineStr">
        <is>
          <t>0</t>
        </is>
      </c>
      <c r="K734" t="inlineStr">
        <is>
          <t>Wexler, David A., 1946-</t>
        </is>
      </c>
      <c r="L734" t="inlineStr">
        <is>
          <t>New York : Wiley, [1974]</t>
        </is>
      </c>
      <c r="M734" t="inlineStr">
        <is>
          <t>1974</t>
        </is>
      </c>
      <c r="O734" t="inlineStr">
        <is>
          <t>eng</t>
        </is>
      </c>
      <c r="P734" t="inlineStr">
        <is>
          <t>nyu</t>
        </is>
      </c>
      <c r="Q734" t="inlineStr">
        <is>
          <t>Wiley series on personality processes</t>
        </is>
      </c>
      <c r="R734" t="inlineStr">
        <is>
          <t xml:space="preserve">RC </t>
        </is>
      </c>
      <c r="S734" t="n">
        <v>10</v>
      </c>
      <c r="T734" t="n">
        <v>10</v>
      </c>
      <c r="U734" t="inlineStr">
        <is>
          <t>1999-02-14</t>
        </is>
      </c>
      <c r="V734" t="inlineStr">
        <is>
          <t>1999-02-14</t>
        </is>
      </c>
      <c r="W734" t="inlineStr">
        <is>
          <t>1990-07-18</t>
        </is>
      </c>
      <c r="X734" t="inlineStr">
        <is>
          <t>1990-07-18</t>
        </is>
      </c>
      <c r="Y734" t="n">
        <v>509</v>
      </c>
      <c r="Z734" t="n">
        <v>374</v>
      </c>
      <c r="AA734" t="n">
        <v>381</v>
      </c>
      <c r="AB734" t="n">
        <v>5</v>
      </c>
      <c r="AC734" t="n">
        <v>5</v>
      </c>
      <c r="AD734" t="n">
        <v>15</v>
      </c>
      <c r="AE734" t="n">
        <v>15</v>
      </c>
      <c r="AF734" t="n">
        <v>5</v>
      </c>
      <c r="AG734" t="n">
        <v>5</v>
      </c>
      <c r="AH734" t="n">
        <v>1</v>
      </c>
      <c r="AI734" t="n">
        <v>1</v>
      </c>
      <c r="AJ734" t="n">
        <v>10</v>
      </c>
      <c r="AK734" t="n">
        <v>10</v>
      </c>
      <c r="AL734" t="n">
        <v>3</v>
      </c>
      <c r="AM734" t="n">
        <v>3</v>
      </c>
      <c r="AN734" t="n">
        <v>0</v>
      </c>
      <c r="AO734" t="n">
        <v>0</v>
      </c>
      <c r="AP734" t="inlineStr">
        <is>
          <t>No</t>
        </is>
      </c>
      <c r="AQ734" t="inlineStr">
        <is>
          <t>Yes</t>
        </is>
      </c>
      <c r="AR734">
        <f>HYPERLINK("http://catalog.hathitrust.org/Record/000014971","HathiTrust Record")</f>
        <v/>
      </c>
      <c r="AS734">
        <f>HYPERLINK("https://creighton-primo.hosted.exlibrisgroup.com/primo-explore/search?tab=default_tab&amp;search_scope=EVERYTHING&amp;vid=01CRU&amp;lang=en_US&amp;offset=0&amp;query=any,contains,991003396269702656","Catalog Record")</f>
        <v/>
      </c>
      <c r="AT734">
        <f>HYPERLINK("http://www.worldcat.org/oclc/934680","WorldCat Record")</f>
        <v/>
      </c>
      <c r="AU734" t="inlineStr">
        <is>
          <t>357077705:eng</t>
        </is>
      </c>
      <c r="AV734" t="inlineStr">
        <is>
          <t>934680</t>
        </is>
      </c>
      <c r="AW734" t="inlineStr">
        <is>
          <t>991003396269702656</t>
        </is>
      </c>
      <c r="AX734" t="inlineStr">
        <is>
          <t>991003396269702656</t>
        </is>
      </c>
      <c r="AY734" t="inlineStr">
        <is>
          <t>2271502060002656</t>
        </is>
      </c>
      <c r="AZ734" t="inlineStr">
        <is>
          <t>BOOK</t>
        </is>
      </c>
      <c r="BB734" t="inlineStr">
        <is>
          <t>9780471937159</t>
        </is>
      </c>
      <c r="BC734" t="inlineStr">
        <is>
          <t>32285000232826</t>
        </is>
      </c>
      <c r="BD734" t="inlineStr">
        <is>
          <t>893809966</t>
        </is>
      </c>
    </row>
    <row r="735">
      <c r="A735" t="inlineStr">
        <is>
          <t>No</t>
        </is>
      </c>
      <c r="B735" t="inlineStr">
        <is>
          <t>RC483 .A515 1995</t>
        </is>
      </c>
      <c r="C735" t="inlineStr">
        <is>
          <t>0                      RC 0483000A  515         1995</t>
        </is>
      </c>
      <c r="D735" t="inlineStr">
        <is>
          <t>The American Psychiatric Press textbook of psychopharmacology / edited by Alan F. Schatzberg and Charles B. Nemeroff.</t>
        </is>
      </c>
      <c r="F735" t="inlineStr">
        <is>
          <t>No</t>
        </is>
      </c>
      <c r="G735" t="inlineStr">
        <is>
          <t>1</t>
        </is>
      </c>
      <c r="H735" t="inlineStr">
        <is>
          <t>No</t>
        </is>
      </c>
      <c r="I735" t="inlineStr">
        <is>
          <t>Yes</t>
        </is>
      </c>
      <c r="J735" t="inlineStr">
        <is>
          <t>0</t>
        </is>
      </c>
      <c r="L735" t="inlineStr">
        <is>
          <t>Washington, DC : American Psychiatric Press, c1995.</t>
        </is>
      </c>
      <c r="M735" t="inlineStr">
        <is>
          <t>1995</t>
        </is>
      </c>
      <c r="N735" t="inlineStr">
        <is>
          <t>1st ed.</t>
        </is>
      </c>
      <c r="O735" t="inlineStr">
        <is>
          <t>eng</t>
        </is>
      </c>
      <c r="P735" t="inlineStr">
        <is>
          <t>dcu</t>
        </is>
      </c>
      <c r="R735" t="inlineStr">
        <is>
          <t xml:space="preserve">RC </t>
        </is>
      </c>
      <c r="S735" t="n">
        <v>49</v>
      </c>
      <c r="T735" t="n">
        <v>49</v>
      </c>
      <c r="U735" t="inlineStr">
        <is>
          <t>2007-02-28</t>
        </is>
      </c>
      <c r="V735" t="inlineStr">
        <is>
          <t>2007-02-28</t>
        </is>
      </c>
      <c r="W735" t="inlineStr">
        <is>
          <t>1996-03-28</t>
        </is>
      </c>
      <c r="X735" t="inlineStr">
        <is>
          <t>1996-03-28</t>
        </is>
      </c>
      <c r="Y735" t="n">
        <v>307</v>
      </c>
      <c r="Z735" t="n">
        <v>260</v>
      </c>
      <c r="AA735" t="n">
        <v>391</v>
      </c>
      <c r="AB735" t="n">
        <v>1</v>
      </c>
      <c r="AC735" t="n">
        <v>3</v>
      </c>
      <c r="AD735" t="n">
        <v>11</v>
      </c>
      <c r="AE735" t="n">
        <v>18</v>
      </c>
      <c r="AF735" t="n">
        <v>3</v>
      </c>
      <c r="AG735" t="n">
        <v>6</v>
      </c>
      <c r="AH735" t="n">
        <v>4</v>
      </c>
      <c r="AI735" t="n">
        <v>4</v>
      </c>
      <c r="AJ735" t="n">
        <v>8</v>
      </c>
      <c r="AK735" t="n">
        <v>12</v>
      </c>
      <c r="AL735" t="n">
        <v>0</v>
      </c>
      <c r="AM735" t="n">
        <v>1</v>
      </c>
      <c r="AN735" t="n">
        <v>0</v>
      </c>
      <c r="AO735" t="n">
        <v>1</v>
      </c>
      <c r="AP735" t="inlineStr">
        <is>
          <t>No</t>
        </is>
      </c>
      <c r="AQ735" t="inlineStr">
        <is>
          <t>No</t>
        </is>
      </c>
      <c r="AS735">
        <f>HYPERLINK("https://creighton-primo.hosted.exlibrisgroup.com/primo-explore/search?tab=default_tab&amp;search_scope=EVERYTHING&amp;vid=01CRU&amp;lang=en_US&amp;offset=0&amp;query=any,contains,991002441549702656","Catalog Record")</f>
        <v/>
      </c>
      <c r="AT735">
        <f>HYPERLINK("http://www.worldcat.org/oclc/31819707","WorldCat Record")</f>
        <v/>
      </c>
      <c r="AU735" t="inlineStr">
        <is>
          <t>3856829768:eng</t>
        </is>
      </c>
      <c r="AV735" t="inlineStr">
        <is>
          <t>31819707</t>
        </is>
      </c>
      <c r="AW735" t="inlineStr">
        <is>
          <t>991002441549702656</t>
        </is>
      </c>
      <c r="AX735" t="inlineStr">
        <is>
          <t>991002441549702656</t>
        </is>
      </c>
      <c r="AY735" t="inlineStr">
        <is>
          <t>2259829880002656</t>
        </is>
      </c>
      <c r="AZ735" t="inlineStr">
        <is>
          <t>BOOK</t>
        </is>
      </c>
      <c r="BB735" t="inlineStr">
        <is>
          <t>9780880483896</t>
        </is>
      </c>
      <c r="BC735" t="inlineStr">
        <is>
          <t>32285002147741</t>
        </is>
      </c>
      <c r="BD735" t="inlineStr">
        <is>
          <t>893433895</t>
        </is>
      </c>
    </row>
    <row r="736">
      <c r="A736" t="inlineStr">
        <is>
          <t>No</t>
        </is>
      </c>
      <c r="B736" t="inlineStr">
        <is>
          <t>RC483 .D753</t>
        </is>
      </c>
      <c r="C736" t="inlineStr">
        <is>
          <t>0                      RC 0483000D  753</t>
        </is>
      </c>
      <c r="D736" t="inlineStr">
        <is>
          <t>Drug treatment of mental disorders / edited by Lance L. Simpson.</t>
        </is>
      </c>
      <c r="F736" t="inlineStr">
        <is>
          <t>No</t>
        </is>
      </c>
      <c r="G736" t="inlineStr">
        <is>
          <t>1</t>
        </is>
      </c>
      <c r="H736" t="inlineStr">
        <is>
          <t>No</t>
        </is>
      </c>
      <c r="I736" t="inlineStr">
        <is>
          <t>No</t>
        </is>
      </c>
      <c r="J736" t="inlineStr">
        <is>
          <t>0</t>
        </is>
      </c>
      <c r="L736" t="inlineStr">
        <is>
          <t>New York : Raven Press, c1976.</t>
        </is>
      </c>
      <c r="M736" t="inlineStr">
        <is>
          <t>1976</t>
        </is>
      </c>
      <c r="O736" t="inlineStr">
        <is>
          <t>eng</t>
        </is>
      </c>
      <c r="P736" t="inlineStr">
        <is>
          <t>nyu</t>
        </is>
      </c>
      <c r="R736" t="inlineStr">
        <is>
          <t xml:space="preserve">RC </t>
        </is>
      </c>
      <c r="S736" t="n">
        <v>11</v>
      </c>
      <c r="T736" t="n">
        <v>11</v>
      </c>
      <c r="U736" t="inlineStr">
        <is>
          <t>1999-03-04</t>
        </is>
      </c>
      <c r="V736" t="inlineStr">
        <is>
          <t>1999-03-04</t>
        </is>
      </c>
      <c r="W736" t="inlineStr">
        <is>
          <t>1992-05-06</t>
        </is>
      </c>
      <c r="X736" t="inlineStr">
        <is>
          <t>1992-05-06</t>
        </is>
      </c>
      <c r="Y736" t="n">
        <v>298</v>
      </c>
      <c r="Z736" t="n">
        <v>231</v>
      </c>
      <c r="AA736" t="n">
        <v>235</v>
      </c>
      <c r="AB736" t="n">
        <v>3</v>
      </c>
      <c r="AC736" t="n">
        <v>3</v>
      </c>
      <c r="AD736" t="n">
        <v>10</v>
      </c>
      <c r="AE736" t="n">
        <v>10</v>
      </c>
      <c r="AF736" t="n">
        <v>1</v>
      </c>
      <c r="AG736" t="n">
        <v>1</v>
      </c>
      <c r="AH736" t="n">
        <v>3</v>
      </c>
      <c r="AI736" t="n">
        <v>3</v>
      </c>
      <c r="AJ736" t="n">
        <v>7</v>
      </c>
      <c r="AK736" t="n">
        <v>7</v>
      </c>
      <c r="AL736" t="n">
        <v>2</v>
      </c>
      <c r="AM736" t="n">
        <v>2</v>
      </c>
      <c r="AN736" t="n">
        <v>0</v>
      </c>
      <c r="AO736" t="n">
        <v>0</v>
      </c>
      <c r="AP736" t="inlineStr">
        <is>
          <t>No</t>
        </is>
      </c>
      <c r="AQ736" t="inlineStr">
        <is>
          <t>Yes</t>
        </is>
      </c>
      <c r="AR736">
        <f>HYPERLINK("http://catalog.hathitrust.org/Record/000697394","HathiTrust Record")</f>
        <v/>
      </c>
      <c r="AS736">
        <f>HYPERLINK("https://creighton-primo.hosted.exlibrisgroup.com/primo-explore/search?tab=default_tab&amp;search_scope=EVERYTHING&amp;vid=01CRU&amp;lang=en_US&amp;offset=0&amp;query=any,contains,991003996789702656","Catalog Record")</f>
        <v/>
      </c>
      <c r="AT736">
        <f>HYPERLINK("http://www.worldcat.org/oclc/2063798","WorldCat Record")</f>
        <v/>
      </c>
      <c r="AU736" t="inlineStr">
        <is>
          <t>54102237:eng</t>
        </is>
      </c>
      <c r="AV736" t="inlineStr">
        <is>
          <t>2063798</t>
        </is>
      </c>
      <c r="AW736" t="inlineStr">
        <is>
          <t>991003996789702656</t>
        </is>
      </c>
      <c r="AX736" t="inlineStr">
        <is>
          <t>991003996789702656</t>
        </is>
      </c>
      <c r="AY736" t="inlineStr">
        <is>
          <t>2260665030002656</t>
        </is>
      </c>
      <c r="AZ736" t="inlineStr">
        <is>
          <t>BOOK</t>
        </is>
      </c>
      <c r="BB736" t="inlineStr">
        <is>
          <t>9780890040072</t>
        </is>
      </c>
      <c r="BC736" t="inlineStr">
        <is>
          <t>32285001104057</t>
        </is>
      </c>
      <c r="BD736" t="inlineStr">
        <is>
          <t>893506250</t>
        </is>
      </c>
    </row>
    <row r="737">
      <c r="A737" t="inlineStr">
        <is>
          <t>No</t>
        </is>
      </c>
      <c r="B737" t="inlineStr">
        <is>
          <t>RC483 .K44 1998</t>
        </is>
      </c>
      <c r="C737" t="inlineStr">
        <is>
          <t>0                      RC 0483000K  44          1998</t>
        </is>
      </c>
      <c r="D737" t="inlineStr">
        <is>
          <t>Drugs, therapy, and professional power : problems and pills / Ernest Keen.</t>
        </is>
      </c>
      <c r="F737" t="inlineStr">
        <is>
          <t>No</t>
        </is>
      </c>
      <c r="G737" t="inlineStr">
        <is>
          <t>1</t>
        </is>
      </c>
      <c r="H737" t="inlineStr">
        <is>
          <t>No</t>
        </is>
      </c>
      <c r="I737" t="inlineStr">
        <is>
          <t>No</t>
        </is>
      </c>
      <c r="J737" t="inlineStr">
        <is>
          <t>0</t>
        </is>
      </c>
      <c r="K737" t="inlineStr">
        <is>
          <t>Keen, Ernest, 1937-</t>
        </is>
      </c>
      <c r="L737" t="inlineStr">
        <is>
          <t>Westport, Conn. : Praeger, 1998.</t>
        </is>
      </c>
      <c r="M737" t="inlineStr">
        <is>
          <t>1998</t>
        </is>
      </c>
      <c r="O737" t="inlineStr">
        <is>
          <t>eng</t>
        </is>
      </c>
      <c r="P737" t="inlineStr">
        <is>
          <t>ctu</t>
        </is>
      </c>
      <c r="R737" t="inlineStr">
        <is>
          <t xml:space="preserve">RC </t>
        </is>
      </c>
      <c r="S737" t="n">
        <v>4</v>
      </c>
      <c r="T737" t="n">
        <v>4</v>
      </c>
      <c r="U737" t="inlineStr">
        <is>
          <t>2006-11-01</t>
        </is>
      </c>
      <c r="V737" t="inlineStr">
        <is>
          <t>2006-11-01</t>
        </is>
      </c>
      <c r="W737" t="inlineStr">
        <is>
          <t>1999-11-01</t>
        </is>
      </c>
      <c r="X737" t="inlineStr">
        <is>
          <t>1999-11-01</t>
        </is>
      </c>
      <c r="Y737" t="n">
        <v>188</v>
      </c>
      <c r="Z737" t="n">
        <v>167</v>
      </c>
      <c r="AA737" t="n">
        <v>169</v>
      </c>
      <c r="AB737" t="n">
        <v>1</v>
      </c>
      <c r="AC737" t="n">
        <v>1</v>
      </c>
      <c r="AD737" t="n">
        <v>11</v>
      </c>
      <c r="AE737" t="n">
        <v>11</v>
      </c>
      <c r="AF737" t="n">
        <v>4</v>
      </c>
      <c r="AG737" t="n">
        <v>4</v>
      </c>
      <c r="AH737" t="n">
        <v>1</v>
      </c>
      <c r="AI737" t="n">
        <v>1</v>
      </c>
      <c r="AJ737" t="n">
        <v>10</v>
      </c>
      <c r="AK737" t="n">
        <v>10</v>
      </c>
      <c r="AL737" t="n">
        <v>0</v>
      </c>
      <c r="AM737" t="n">
        <v>0</v>
      </c>
      <c r="AN737" t="n">
        <v>0</v>
      </c>
      <c r="AO737" t="n">
        <v>0</v>
      </c>
      <c r="AP737" t="inlineStr">
        <is>
          <t>No</t>
        </is>
      </c>
      <c r="AQ737" t="inlineStr">
        <is>
          <t>Yes</t>
        </is>
      </c>
      <c r="AR737">
        <f>HYPERLINK("http://catalog.hathitrust.org/Record/004026977","HathiTrust Record")</f>
        <v/>
      </c>
      <c r="AS737">
        <f>HYPERLINK("https://creighton-primo.hosted.exlibrisgroup.com/primo-explore/search?tab=default_tab&amp;search_scope=EVERYTHING&amp;vid=01CRU&amp;lang=en_US&amp;offset=0&amp;query=any,contains,991002863069702656","Catalog Record")</f>
        <v/>
      </c>
      <c r="AT737">
        <f>HYPERLINK("http://www.worldcat.org/oclc/37732050","WorldCat Record")</f>
        <v/>
      </c>
      <c r="AU737" t="inlineStr">
        <is>
          <t>138831006:eng</t>
        </is>
      </c>
      <c r="AV737" t="inlineStr">
        <is>
          <t>37732050</t>
        </is>
      </c>
      <c r="AW737" t="inlineStr">
        <is>
          <t>991002863069702656</t>
        </is>
      </c>
      <c r="AX737" t="inlineStr">
        <is>
          <t>991002863069702656</t>
        </is>
      </c>
      <c r="AY737" t="inlineStr">
        <is>
          <t>2270333570002656</t>
        </is>
      </c>
      <c r="AZ737" t="inlineStr">
        <is>
          <t>BOOK</t>
        </is>
      </c>
      <c r="BB737" t="inlineStr">
        <is>
          <t>9780275962005</t>
        </is>
      </c>
      <c r="BC737" t="inlineStr">
        <is>
          <t>32285003616025</t>
        </is>
      </c>
      <c r="BD737" t="inlineStr">
        <is>
          <t>893874101</t>
        </is>
      </c>
    </row>
    <row r="738">
      <c r="A738" t="inlineStr">
        <is>
          <t>No</t>
        </is>
      </c>
      <c r="B738" t="inlineStr">
        <is>
          <t>RC483 .P723</t>
        </is>
      </c>
      <c r="C738" t="inlineStr">
        <is>
          <t>0                      RC 0483000P  723</t>
        </is>
      </c>
      <c r="D738" t="inlineStr">
        <is>
          <t>Psychotropic drugs : a guide for the practitioner / H. M. van Praag ; [translated from the Dutch by Th. van Winsen].</t>
        </is>
      </c>
      <c r="F738" t="inlineStr">
        <is>
          <t>No</t>
        </is>
      </c>
      <c r="G738" t="inlineStr">
        <is>
          <t>1</t>
        </is>
      </c>
      <c r="H738" t="inlineStr">
        <is>
          <t>No</t>
        </is>
      </c>
      <c r="I738" t="inlineStr">
        <is>
          <t>No</t>
        </is>
      </c>
      <c r="J738" t="inlineStr">
        <is>
          <t>0</t>
        </is>
      </c>
      <c r="K738" t="inlineStr">
        <is>
          <t>Praag, Herman M. van (Herman Meïr), 1929-</t>
        </is>
      </c>
      <c r="L738" t="inlineStr">
        <is>
          <t>New York : Brunner/Mazel, c1978.</t>
        </is>
      </c>
      <c r="M738" t="inlineStr">
        <is>
          <t>1978</t>
        </is>
      </c>
      <c r="O738" t="inlineStr">
        <is>
          <t>eng</t>
        </is>
      </c>
      <c r="P738" t="inlineStr">
        <is>
          <t>nyu</t>
        </is>
      </c>
      <c r="R738" t="inlineStr">
        <is>
          <t xml:space="preserve">RC </t>
        </is>
      </c>
      <c r="S738" t="n">
        <v>9</v>
      </c>
      <c r="T738" t="n">
        <v>9</v>
      </c>
      <c r="U738" t="inlineStr">
        <is>
          <t>2006-02-21</t>
        </is>
      </c>
      <c r="V738" t="inlineStr">
        <is>
          <t>2006-02-21</t>
        </is>
      </c>
      <c r="W738" t="inlineStr">
        <is>
          <t>1992-05-05</t>
        </is>
      </c>
      <c r="X738" t="inlineStr">
        <is>
          <t>1992-05-05</t>
        </is>
      </c>
      <c r="Y738" t="n">
        <v>193</v>
      </c>
      <c r="Z738" t="n">
        <v>167</v>
      </c>
      <c r="AA738" t="n">
        <v>171</v>
      </c>
      <c r="AB738" t="n">
        <v>1</v>
      </c>
      <c r="AC738" t="n">
        <v>1</v>
      </c>
      <c r="AD738" t="n">
        <v>6</v>
      </c>
      <c r="AE738" t="n">
        <v>6</v>
      </c>
      <c r="AF738" t="n">
        <v>1</v>
      </c>
      <c r="AG738" t="n">
        <v>1</v>
      </c>
      <c r="AH738" t="n">
        <v>3</v>
      </c>
      <c r="AI738" t="n">
        <v>3</v>
      </c>
      <c r="AJ738" t="n">
        <v>5</v>
      </c>
      <c r="AK738" t="n">
        <v>5</v>
      </c>
      <c r="AL738" t="n">
        <v>0</v>
      </c>
      <c r="AM738" t="n">
        <v>0</v>
      </c>
      <c r="AN738" t="n">
        <v>0</v>
      </c>
      <c r="AO738" t="n">
        <v>0</v>
      </c>
      <c r="AP738" t="inlineStr">
        <is>
          <t>No</t>
        </is>
      </c>
      <c r="AQ738" t="inlineStr">
        <is>
          <t>Yes</t>
        </is>
      </c>
      <c r="AR738">
        <f>HYPERLINK("http://catalog.hathitrust.org/Record/000750188","HathiTrust Record")</f>
        <v/>
      </c>
      <c r="AS738">
        <f>HYPERLINK("https://creighton-primo.hosted.exlibrisgroup.com/primo-explore/search?tab=default_tab&amp;search_scope=EVERYTHING&amp;vid=01CRU&amp;lang=en_US&amp;offset=0&amp;query=any,contains,991004415629702656","Catalog Record")</f>
        <v/>
      </c>
      <c r="AT738">
        <f>HYPERLINK("http://www.worldcat.org/oclc/3361555","WorldCat Record")</f>
        <v/>
      </c>
      <c r="AU738" t="inlineStr">
        <is>
          <t>5568223:eng</t>
        </is>
      </c>
      <c r="AV738" t="inlineStr">
        <is>
          <t>3361555</t>
        </is>
      </c>
      <c r="AW738" t="inlineStr">
        <is>
          <t>991004415629702656</t>
        </is>
      </c>
      <c r="AX738" t="inlineStr">
        <is>
          <t>991004415629702656</t>
        </is>
      </c>
      <c r="AY738" t="inlineStr">
        <is>
          <t>2255474040002656</t>
        </is>
      </c>
      <c r="AZ738" t="inlineStr">
        <is>
          <t>BOOK</t>
        </is>
      </c>
      <c r="BB738" t="inlineStr">
        <is>
          <t>9780876301579</t>
        </is>
      </c>
      <c r="BC738" t="inlineStr">
        <is>
          <t>32285001093466</t>
        </is>
      </c>
      <c r="BD738" t="inlineStr">
        <is>
          <t>893593665</t>
        </is>
      </c>
    </row>
    <row r="739">
      <c r="A739" t="inlineStr">
        <is>
          <t>No</t>
        </is>
      </c>
      <c r="B739" t="inlineStr">
        <is>
          <t>RC483 .P74 1993</t>
        </is>
      </c>
      <c r="C739" t="inlineStr">
        <is>
          <t>0                      RC 0483000P  74          1993</t>
        </is>
      </c>
      <c r="D739" t="inlineStr">
        <is>
          <t>Principles and practice of psychopharmacotherapy / Philip G. Janicak ... [et al.].</t>
        </is>
      </c>
      <c r="F739" t="inlineStr">
        <is>
          <t>No</t>
        </is>
      </c>
      <c r="G739" t="inlineStr">
        <is>
          <t>1</t>
        </is>
      </c>
      <c r="H739" t="inlineStr">
        <is>
          <t>No</t>
        </is>
      </c>
      <c r="I739" t="inlineStr">
        <is>
          <t>Yes</t>
        </is>
      </c>
      <c r="J739" t="inlineStr">
        <is>
          <t>0</t>
        </is>
      </c>
      <c r="L739" t="inlineStr">
        <is>
          <t>Baltimore : Williams &amp; Wilkins, c1993.</t>
        </is>
      </c>
      <c r="M739" t="inlineStr">
        <is>
          <t>1993</t>
        </is>
      </c>
      <c r="N739" t="inlineStr">
        <is>
          <t>1st ed.</t>
        </is>
      </c>
      <c r="O739" t="inlineStr">
        <is>
          <t>eng</t>
        </is>
      </c>
      <c r="P739" t="inlineStr">
        <is>
          <t>mdu</t>
        </is>
      </c>
      <c r="R739" t="inlineStr">
        <is>
          <t xml:space="preserve">RC </t>
        </is>
      </c>
      <c r="S739" t="n">
        <v>2</v>
      </c>
      <c r="T739" t="n">
        <v>2</v>
      </c>
      <c r="U739" t="inlineStr">
        <is>
          <t>2000-05-17</t>
        </is>
      </c>
      <c r="V739" t="inlineStr">
        <is>
          <t>2000-05-17</t>
        </is>
      </c>
      <c r="W739" t="inlineStr">
        <is>
          <t>1996-01-02</t>
        </is>
      </c>
      <c r="X739" t="inlineStr">
        <is>
          <t>1996-01-02</t>
        </is>
      </c>
      <c r="Y739" t="n">
        <v>194</v>
      </c>
      <c r="Z739" t="n">
        <v>139</v>
      </c>
      <c r="AA739" t="n">
        <v>731</v>
      </c>
      <c r="AB739" t="n">
        <v>1</v>
      </c>
      <c r="AC739" t="n">
        <v>8</v>
      </c>
      <c r="AD739" t="n">
        <v>6</v>
      </c>
      <c r="AE739" t="n">
        <v>36</v>
      </c>
      <c r="AF739" t="n">
        <v>3</v>
      </c>
      <c r="AG739" t="n">
        <v>13</v>
      </c>
      <c r="AH739" t="n">
        <v>1</v>
      </c>
      <c r="AI739" t="n">
        <v>9</v>
      </c>
      <c r="AJ739" t="n">
        <v>4</v>
      </c>
      <c r="AK739" t="n">
        <v>15</v>
      </c>
      <c r="AL739" t="n">
        <v>0</v>
      </c>
      <c r="AM739" t="n">
        <v>6</v>
      </c>
      <c r="AN739" t="n">
        <v>0</v>
      </c>
      <c r="AO739" t="n">
        <v>1</v>
      </c>
      <c r="AP739" t="inlineStr">
        <is>
          <t>No</t>
        </is>
      </c>
      <c r="AQ739" t="inlineStr">
        <is>
          <t>Yes</t>
        </is>
      </c>
      <c r="AR739">
        <f>HYPERLINK("http://catalog.hathitrust.org/Record/002710683","HathiTrust Record")</f>
        <v/>
      </c>
      <c r="AS739">
        <f>HYPERLINK("https://creighton-primo.hosted.exlibrisgroup.com/primo-explore/search?tab=default_tab&amp;search_scope=EVERYTHING&amp;vid=01CRU&amp;lang=en_US&amp;offset=0&amp;query=any,contains,991005416529702656","Catalog Record")</f>
        <v/>
      </c>
      <c r="AT739">
        <f>HYPERLINK("http://www.worldcat.org/oclc/27642929","WorldCat Record")</f>
        <v/>
      </c>
      <c r="AU739" t="inlineStr">
        <is>
          <t>4923521631:eng</t>
        </is>
      </c>
      <c r="AV739" t="inlineStr">
        <is>
          <t>27642929</t>
        </is>
      </c>
      <c r="AW739" t="inlineStr">
        <is>
          <t>991005416529702656</t>
        </is>
      </c>
      <c r="AX739" t="inlineStr">
        <is>
          <t>991005416529702656</t>
        </is>
      </c>
      <c r="AY739" t="inlineStr">
        <is>
          <t>2256068610002656</t>
        </is>
      </c>
      <c r="AZ739" t="inlineStr">
        <is>
          <t>BOOK</t>
        </is>
      </c>
      <c r="BB739" t="inlineStr">
        <is>
          <t>9780683043730</t>
        </is>
      </c>
      <c r="BC739" t="inlineStr">
        <is>
          <t>32285002114022</t>
        </is>
      </c>
      <c r="BD739" t="inlineStr">
        <is>
          <t>893601182</t>
        </is>
      </c>
    </row>
    <row r="740">
      <c r="A740" t="inlineStr">
        <is>
          <t>No</t>
        </is>
      </c>
      <c r="B740" t="inlineStr">
        <is>
          <t>RC483 .P77</t>
        </is>
      </c>
      <c r="C740" t="inlineStr">
        <is>
          <t>0                      RC 0483000P  77</t>
        </is>
      </c>
      <c r="D740" t="inlineStr">
        <is>
          <t>Psychoactive drugs and social judgment : theory and research / edited by Kenneth R. Hammond, C. R. B. Joyce.</t>
        </is>
      </c>
      <c r="F740" t="inlineStr">
        <is>
          <t>No</t>
        </is>
      </c>
      <c r="G740" t="inlineStr">
        <is>
          <t>1</t>
        </is>
      </c>
      <c r="H740" t="inlineStr">
        <is>
          <t>No</t>
        </is>
      </c>
      <c r="I740" t="inlineStr">
        <is>
          <t>No</t>
        </is>
      </c>
      <c r="J740" t="inlineStr">
        <is>
          <t>0</t>
        </is>
      </c>
      <c r="L740" t="inlineStr">
        <is>
          <t>New York : Wiley, [1975]</t>
        </is>
      </c>
      <c r="M740" t="inlineStr">
        <is>
          <t>1975</t>
        </is>
      </c>
      <c r="O740" t="inlineStr">
        <is>
          <t>eng</t>
        </is>
      </c>
      <c r="P740" t="inlineStr">
        <is>
          <t>nyu</t>
        </is>
      </c>
      <c r="Q740" t="inlineStr">
        <is>
          <t>Wiley series on personality processes</t>
        </is>
      </c>
      <c r="R740" t="inlineStr">
        <is>
          <t xml:space="preserve">RC </t>
        </is>
      </c>
      <c r="S740" t="n">
        <v>3</v>
      </c>
      <c r="T740" t="n">
        <v>3</v>
      </c>
      <c r="U740" t="inlineStr">
        <is>
          <t>1996-09-22</t>
        </is>
      </c>
      <c r="V740" t="inlineStr">
        <is>
          <t>1996-09-22</t>
        </is>
      </c>
      <c r="W740" t="inlineStr">
        <is>
          <t>1995-04-03</t>
        </is>
      </c>
      <c r="X740" t="inlineStr">
        <is>
          <t>1995-04-03</t>
        </is>
      </c>
      <c r="Y740" t="n">
        <v>251</v>
      </c>
      <c r="Z740" t="n">
        <v>180</v>
      </c>
      <c r="AA740" t="n">
        <v>188</v>
      </c>
      <c r="AB740" t="n">
        <v>3</v>
      </c>
      <c r="AC740" t="n">
        <v>3</v>
      </c>
      <c r="AD740" t="n">
        <v>7</v>
      </c>
      <c r="AE740" t="n">
        <v>7</v>
      </c>
      <c r="AF740" t="n">
        <v>3</v>
      </c>
      <c r="AG740" t="n">
        <v>3</v>
      </c>
      <c r="AH740" t="n">
        <v>0</v>
      </c>
      <c r="AI740" t="n">
        <v>0</v>
      </c>
      <c r="AJ740" t="n">
        <v>3</v>
      </c>
      <c r="AK740" t="n">
        <v>3</v>
      </c>
      <c r="AL740" t="n">
        <v>2</v>
      </c>
      <c r="AM740" t="n">
        <v>2</v>
      </c>
      <c r="AN740" t="n">
        <v>0</v>
      </c>
      <c r="AO740" t="n">
        <v>0</v>
      </c>
      <c r="AP740" t="inlineStr">
        <is>
          <t>No</t>
        </is>
      </c>
      <c r="AQ740" t="inlineStr">
        <is>
          <t>Yes</t>
        </is>
      </c>
      <c r="AR740">
        <f>HYPERLINK("http://catalog.hathitrust.org/Record/000018826","HathiTrust Record")</f>
        <v/>
      </c>
      <c r="AS740">
        <f>HYPERLINK("https://creighton-primo.hosted.exlibrisgroup.com/primo-explore/search?tab=default_tab&amp;search_scope=EVERYTHING&amp;vid=01CRU&amp;lang=en_US&amp;offset=0&amp;query=any,contains,991003721739702656","Catalog Record")</f>
        <v/>
      </c>
      <c r="AT740">
        <f>HYPERLINK("http://www.worldcat.org/oclc/1366312","WorldCat Record")</f>
        <v/>
      </c>
      <c r="AU740" t="inlineStr">
        <is>
          <t>836712180:eng</t>
        </is>
      </c>
      <c r="AV740" t="inlineStr">
        <is>
          <t>1366312</t>
        </is>
      </c>
      <c r="AW740" t="inlineStr">
        <is>
          <t>991003721739702656</t>
        </is>
      </c>
      <c r="AX740" t="inlineStr">
        <is>
          <t>991003721739702656</t>
        </is>
      </c>
      <c r="AY740" t="inlineStr">
        <is>
          <t>2254793170002656</t>
        </is>
      </c>
      <c r="AZ740" t="inlineStr">
        <is>
          <t>BOOK</t>
        </is>
      </c>
      <c r="BB740" t="inlineStr">
        <is>
          <t>9780471347286</t>
        </is>
      </c>
      <c r="BC740" t="inlineStr">
        <is>
          <t>32285002025657</t>
        </is>
      </c>
      <c r="BD740" t="inlineStr">
        <is>
          <t>893246671</t>
        </is>
      </c>
    </row>
    <row r="741">
      <c r="A741" t="inlineStr">
        <is>
          <t>No</t>
        </is>
      </c>
      <c r="B741" t="inlineStr">
        <is>
          <t>RC483.5.F55 K7 1993</t>
        </is>
      </c>
      <c r="C741" t="inlineStr">
        <is>
          <t>0                      RC 0483500F  55                 K  7           1993</t>
        </is>
      </c>
      <c r="D741" t="inlineStr">
        <is>
          <t>Listening to Prozac / Peter D. Kramer.</t>
        </is>
      </c>
      <c r="F741" t="inlineStr">
        <is>
          <t>No</t>
        </is>
      </c>
      <c r="G741" t="inlineStr">
        <is>
          <t>1</t>
        </is>
      </c>
      <c r="H741" t="inlineStr">
        <is>
          <t>No</t>
        </is>
      </c>
      <c r="I741" t="inlineStr">
        <is>
          <t>No</t>
        </is>
      </c>
      <c r="J741" t="inlineStr">
        <is>
          <t>0</t>
        </is>
      </c>
      <c r="K741" t="inlineStr">
        <is>
          <t>Kramer, Peter D.</t>
        </is>
      </c>
      <c r="L741" t="inlineStr">
        <is>
          <t>New York : Viking, 1993.</t>
        </is>
      </c>
      <c r="M741" t="inlineStr">
        <is>
          <t>1992</t>
        </is>
      </c>
      <c r="O741" t="inlineStr">
        <is>
          <t>eng</t>
        </is>
      </c>
      <c r="P741" t="inlineStr">
        <is>
          <t>nyu</t>
        </is>
      </c>
      <c r="R741" t="inlineStr">
        <is>
          <t xml:space="preserve">RC </t>
        </is>
      </c>
      <c r="S741" t="n">
        <v>44</v>
      </c>
      <c r="T741" t="n">
        <v>44</v>
      </c>
      <c r="U741" t="inlineStr">
        <is>
          <t>2005-06-01</t>
        </is>
      </c>
      <c r="V741" t="inlineStr">
        <is>
          <t>2005-06-01</t>
        </is>
      </c>
      <c r="W741" t="inlineStr">
        <is>
          <t>1993-06-30</t>
        </is>
      </c>
      <c r="X741" t="inlineStr">
        <is>
          <t>1993-06-30</t>
        </is>
      </c>
      <c r="Y741" t="n">
        <v>2061</v>
      </c>
      <c r="Z741" t="n">
        <v>1961</v>
      </c>
      <c r="AA741" t="n">
        <v>2437</v>
      </c>
      <c r="AB741" t="n">
        <v>14</v>
      </c>
      <c r="AC741" t="n">
        <v>22</v>
      </c>
      <c r="AD741" t="n">
        <v>41</v>
      </c>
      <c r="AE741" t="n">
        <v>56</v>
      </c>
      <c r="AF741" t="n">
        <v>19</v>
      </c>
      <c r="AG741" t="n">
        <v>24</v>
      </c>
      <c r="AH741" t="n">
        <v>4</v>
      </c>
      <c r="AI741" t="n">
        <v>8</v>
      </c>
      <c r="AJ741" t="n">
        <v>20</v>
      </c>
      <c r="AK741" t="n">
        <v>22</v>
      </c>
      <c r="AL741" t="n">
        <v>5</v>
      </c>
      <c r="AM741" t="n">
        <v>11</v>
      </c>
      <c r="AN741" t="n">
        <v>2</v>
      </c>
      <c r="AO741" t="n">
        <v>2</v>
      </c>
      <c r="AP741" t="inlineStr">
        <is>
          <t>No</t>
        </is>
      </c>
      <c r="AQ741" t="inlineStr">
        <is>
          <t>No</t>
        </is>
      </c>
      <c r="AS741">
        <f>HYPERLINK("https://creighton-primo.hosted.exlibrisgroup.com/primo-explore/search?tab=default_tab&amp;search_scope=EVERYTHING&amp;vid=01CRU&amp;lang=en_US&amp;offset=0&amp;query=any,contains,991002116889702656","Catalog Record")</f>
        <v/>
      </c>
      <c r="AT741">
        <f>HYPERLINK("http://www.worldcat.org/oclc/27143771","WorldCat Record")</f>
        <v/>
      </c>
      <c r="AU741" t="inlineStr">
        <is>
          <t>345441:eng</t>
        </is>
      </c>
      <c r="AV741" t="inlineStr">
        <is>
          <t>27143771</t>
        </is>
      </c>
      <c r="AW741" t="inlineStr">
        <is>
          <t>991002116889702656</t>
        </is>
      </c>
      <c r="AX741" t="inlineStr">
        <is>
          <t>991002116889702656</t>
        </is>
      </c>
      <c r="AY741" t="inlineStr">
        <is>
          <t>2271799120002656</t>
        </is>
      </c>
      <c r="AZ741" t="inlineStr">
        <is>
          <t>BOOK</t>
        </is>
      </c>
      <c r="BB741" t="inlineStr">
        <is>
          <t>9780670841837</t>
        </is>
      </c>
      <c r="BC741" t="inlineStr">
        <is>
          <t>32285001700409</t>
        </is>
      </c>
      <c r="BD741" t="inlineStr">
        <is>
          <t>893773240</t>
        </is>
      </c>
    </row>
    <row r="742">
      <c r="A742" t="inlineStr">
        <is>
          <t>No</t>
        </is>
      </c>
      <c r="B742" t="inlineStr">
        <is>
          <t>RC483.5.L9 C3</t>
        </is>
      </c>
      <c r="C742" t="inlineStr">
        <is>
          <t>0                      RC 0483500L  9                  C  3</t>
        </is>
      </c>
      <c r="D742" t="inlineStr">
        <is>
          <t>LSD psychotherapy : an exploration of psychedelic and psycholytic therapy / by W. V. Caldwell.</t>
        </is>
      </c>
      <c r="F742" t="inlineStr">
        <is>
          <t>No</t>
        </is>
      </c>
      <c r="G742" t="inlineStr">
        <is>
          <t>1</t>
        </is>
      </c>
      <c r="H742" t="inlineStr">
        <is>
          <t>No</t>
        </is>
      </c>
      <c r="I742" t="inlineStr">
        <is>
          <t>No</t>
        </is>
      </c>
      <c r="J742" t="inlineStr">
        <is>
          <t>0</t>
        </is>
      </c>
      <c r="K742" t="inlineStr">
        <is>
          <t>Caldwell, W. V. (William Vernon)</t>
        </is>
      </c>
      <c r="L742" t="inlineStr">
        <is>
          <t>New York : Grove Press, [1968]</t>
        </is>
      </c>
      <c r="M742" t="inlineStr">
        <is>
          <t>1968</t>
        </is>
      </c>
      <c r="O742" t="inlineStr">
        <is>
          <t>eng</t>
        </is>
      </c>
      <c r="P742" t="inlineStr">
        <is>
          <t>nyu</t>
        </is>
      </c>
      <c r="R742" t="inlineStr">
        <is>
          <t xml:space="preserve">RC </t>
        </is>
      </c>
      <c r="S742" t="n">
        <v>10</v>
      </c>
      <c r="T742" t="n">
        <v>10</v>
      </c>
      <c r="U742" t="inlineStr">
        <is>
          <t>2010-12-08</t>
        </is>
      </c>
      <c r="V742" t="inlineStr">
        <is>
          <t>2010-12-08</t>
        </is>
      </c>
      <c r="W742" t="inlineStr">
        <is>
          <t>1995-04-03</t>
        </is>
      </c>
      <c r="X742" t="inlineStr">
        <is>
          <t>1995-04-03</t>
        </is>
      </c>
      <c r="Y742" t="n">
        <v>363</v>
      </c>
      <c r="Z742" t="n">
        <v>333</v>
      </c>
      <c r="AA742" t="n">
        <v>346</v>
      </c>
      <c r="AB742" t="n">
        <v>4</v>
      </c>
      <c r="AC742" t="n">
        <v>4</v>
      </c>
      <c r="AD742" t="n">
        <v>15</v>
      </c>
      <c r="AE742" t="n">
        <v>16</v>
      </c>
      <c r="AF742" t="n">
        <v>4</v>
      </c>
      <c r="AG742" t="n">
        <v>4</v>
      </c>
      <c r="AH742" t="n">
        <v>1</v>
      </c>
      <c r="AI742" t="n">
        <v>2</v>
      </c>
      <c r="AJ742" t="n">
        <v>8</v>
      </c>
      <c r="AK742" t="n">
        <v>9</v>
      </c>
      <c r="AL742" t="n">
        <v>3</v>
      </c>
      <c r="AM742" t="n">
        <v>3</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HYPERLINK("https://creighton-primo.hosted.exlibrisgroup.com/primo-explore/search?tab=default_tab&amp;search_scope=EVERYTHING&amp;vid=01CRU&amp;lang=en_US&amp;offset=0&amp;query=any,contains,991002650119702656","Catalog Record")</f>
        <v/>
      </c>
      <c r="AT742">
        <f>HYPERLINK("http://www.worldcat.org/oclc/386839","WorldCat Record")</f>
        <v/>
      </c>
      <c r="AU742" t="inlineStr">
        <is>
          <t>1512667:eng</t>
        </is>
      </c>
      <c r="AV742" t="inlineStr">
        <is>
          <t>386839</t>
        </is>
      </c>
      <c r="AW742" t="inlineStr">
        <is>
          <t>991002650119702656</t>
        </is>
      </c>
      <c r="AX742" t="inlineStr">
        <is>
          <t>991002650119702656</t>
        </is>
      </c>
      <c r="AY742" t="inlineStr">
        <is>
          <t>2259570390002656</t>
        </is>
      </c>
      <c r="AZ742" t="inlineStr">
        <is>
          <t>BOOK</t>
        </is>
      </c>
      <c r="BC742" t="inlineStr">
        <is>
          <t>32285002025640</t>
        </is>
      </c>
      <c r="BD742" t="inlineStr">
        <is>
          <t>893616381</t>
        </is>
      </c>
    </row>
    <row r="743">
      <c r="A743" t="inlineStr">
        <is>
          <t>No</t>
        </is>
      </c>
      <c r="B743" t="inlineStr">
        <is>
          <t>RC488 .C357 1980</t>
        </is>
      </c>
      <c r="C743" t="inlineStr">
        <is>
          <t>0                      RC 0488000C  357         1980</t>
        </is>
      </c>
      <c r="D743" t="inlineStr">
        <is>
          <t>A Casebook in group therapy : a cognitive-behavior approach / Sheldon D. Rose.</t>
        </is>
      </c>
      <c r="F743" t="inlineStr">
        <is>
          <t>No</t>
        </is>
      </c>
      <c r="G743" t="inlineStr">
        <is>
          <t>1</t>
        </is>
      </c>
      <c r="H743" t="inlineStr">
        <is>
          <t>No</t>
        </is>
      </c>
      <c r="I743" t="inlineStr">
        <is>
          <t>No</t>
        </is>
      </c>
      <c r="J743" t="inlineStr">
        <is>
          <t>0</t>
        </is>
      </c>
      <c r="L743" t="inlineStr">
        <is>
          <t>Englewood Cliffs, N.J. : Prentice-Hall, c1980.</t>
        </is>
      </c>
      <c r="M743" t="inlineStr">
        <is>
          <t>1979</t>
        </is>
      </c>
      <c r="O743" t="inlineStr">
        <is>
          <t>eng</t>
        </is>
      </c>
      <c r="P743" t="inlineStr">
        <is>
          <t>nju</t>
        </is>
      </c>
      <c r="R743" t="inlineStr">
        <is>
          <t xml:space="preserve">RC </t>
        </is>
      </c>
      <c r="S743" t="n">
        <v>5</v>
      </c>
      <c r="T743" t="n">
        <v>5</v>
      </c>
      <c r="U743" t="inlineStr">
        <is>
          <t>2006-01-25</t>
        </is>
      </c>
      <c r="V743" t="inlineStr">
        <is>
          <t>2006-01-25</t>
        </is>
      </c>
      <c r="W743" t="inlineStr">
        <is>
          <t>1990-03-20</t>
        </is>
      </c>
      <c r="X743" t="inlineStr">
        <is>
          <t>1990-03-20</t>
        </is>
      </c>
      <c r="Y743" t="n">
        <v>297</v>
      </c>
      <c r="Z743" t="n">
        <v>218</v>
      </c>
      <c r="AA743" t="n">
        <v>221</v>
      </c>
      <c r="AB743" t="n">
        <v>2</v>
      </c>
      <c r="AC743" t="n">
        <v>2</v>
      </c>
      <c r="AD743" t="n">
        <v>9</v>
      </c>
      <c r="AE743" t="n">
        <v>9</v>
      </c>
      <c r="AF743" t="n">
        <v>3</v>
      </c>
      <c r="AG743" t="n">
        <v>3</v>
      </c>
      <c r="AH743" t="n">
        <v>1</v>
      </c>
      <c r="AI743" t="n">
        <v>1</v>
      </c>
      <c r="AJ743" t="n">
        <v>6</v>
      </c>
      <c r="AK743" t="n">
        <v>6</v>
      </c>
      <c r="AL743" t="n">
        <v>1</v>
      </c>
      <c r="AM743" t="n">
        <v>1</v>
      </c>
      <c r="AN743" t="n">
        <v>0</v>
      </c>
      <c r="AO743" t="n">
        <v>0</v>
      </c>
      <c r="AP743" t="inlineStr">
        <is>
          <t>No</t>
        </is>
      </c>
      <c r="AQ743" t="inlineStr">
        <is>
          <t>Yes</t>
        </is>
      </c>
      <c r="AR743">
        <f>HYPERLINK("http://catalog.hathitrust.org/Record/000303445","HathiTrust Record")</f>
        <v/>
      </c>
      <c r="AS743">
        <f>HYPERLINK("https://creighton-primo.hosted.exlibrisgroup.com/primo-explore/search?tab=default_tab&amp;search_scope=EVERYTHING&amp;vid=01CRU&amp;lang=en_US&amp;offset=0&amp;query=any,contains,991004777379702656","Catalog Record")</f>
        <v/>
      </c>
      <c r="AT743">
        <f>HYPERLINK("http://www.worldcat.org/oclc/5101609","WorldCat Record")</f>
        <v/>
      </c>
      <c r="AU743" t="inlineStr">
        <is>
          <t>410357:eng</t>
        </is>
      </c>
      <c r="AV743" t="inlineStr">
        <is>
          <t>5101609</t>
        </is>
      </c>
      <c r="AW743" t="inlineStr">
        <is>
          <t>991004777379702656</t>
        </is>
      </c>
      <c r="AX743" t="inlineStr">
        <is>
          <t>991004777379702656</t>
        </is>
      </c>
      <c r="AY743" t="inlineStr">
        <is>
          <t>2258941070002656</t>
        </is>
      </c>
      <c r="AZ743" t="inlineStr">
        <is>
          <t>BOOK</t>
        </is>
      </c>
      <c r="BB743" t="inlineStr">
        <is>
          <t>9780131174085</t>
        </is>
      </c>
      <c r="BC743" t="inlineStr">
        <is>
          <t>32285000088525</t>
        </is>
      </c>
      <c r="BD743" t="inlineStr">
        <is>
          <t>893229816</t>
        </is>
      </c>
    </row>
    <row r="744">
      <c r="A744" t="inlineStr">
        <is>
          <t>No</t>
        </is>
      </c>
      <c r="B744" t="inlineStr">
        <is>
          <t>RC488 .C53 1992</t>
        </is>
      </c>
      <c r="C744" t="inlineStr">
        <is>
          <t>0                      RC 0488000C  53          1992</t>
        </is>
      </c>
      <c r="D744" t="inlineStr">
        <is>
          <t>Classics in group psychotherapy / K. Roy MacKenzie, editor.</t>
        </is>
      </c>
      <c r="F744" t="inlineStr">
        <is>
          <t>No</t>
        </is>
      </c>
      <c r="G744" t="inlineStr">
        <is>
          <t>1</t>
        </is>
      </c>
      <c r="H744" t="inlineStr">
        <is>
          <t>No</t>
        </is>
      </c>
      <c r="I744" t="inlineStr">
        <is>
          <t>No</t>
        </is>
      </c>
      <c r="J744" t="inlineStr">
        <is>
          <t>0</t>
        </is>
      </c>
      <c r="L744" t="inlineStr">
        <is>
          <t>New York : Guilford Press, c1992.</t>
        </is>
      </c>
      <c r="M744" t="inlineStr">
        <is>
          <t>1992</t>
        </is>
      </c>
      <c r="O744" t="inlineStr">
        <is>
          <t>eng</t>
        </is>
      </c>
      <c r="P744" t="inlineStr">
        <is>
          <t>nyu</t>
        </is>
      </c>
      <c r="R744" t="inlineStr">
        <is>
          <t xml:space="preserve">RC </t>
        </is>
      </c>
      <c r="S744" t="n">
        <v>3</v>
      </c>
      <c r="T744" t="n">
        <v>3</v>
      </c>
      <c r="U744" t="inlineStr">
        <is>
          <t>2003-01-02</t>
        </is>
      </c>
      <c r="V744" t="inlineStr">
        <is>
          <t>2003-01-02</t>
        </is>
      </c>
      <c r="W744" t="inlineStr">
        <is>
          <t>1993-02-01</t>
        </is>
      </c>
      <c r="X744" t="inlineStr">
        <is>
          <t>1993-02-01</t>
        </is>
      </c>
      <c r="Y744" t="n">
        <v>204</v>
      </c>
      <c r="Z744" t="n">
        <v>166</v>
      </c>
      <c r="AA744" t="n">
        <v>166</v>
      </c>
      <c r="AB744" t="n">
        <v>2</v>
      </c>
      <c r="AC744" t="n">
        <v>2</v>
      </c>
      <c r="AD744" t="n">
        <v>9</v>
      </c>
      <c r="AE744" t="n">
        <v>9</v>
      </c>
      <c r="AF744" t="n">
        <v>3</v>
      </c>
      <c r="AG744" t="n">
        <v>3</v>
      </c>
      <c r="AH744" t="n">
        <v>1</v>
      </c>
      <c r="AI744" t="n">
        <v>1</v>
      </c>
      <c r="AJ744" t="n">
        <v>6</v>
      </c>
      <c r="AK744" t="n">
        <v>6</v>
      </c>
      <c r="AL744" t="n">
        <v>1</v>
      </c>
      <c r="AM744" t="n">
        <v>1</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HYPERLINK("https://creighton-primo.hosted.exlibrisgroup.com/primo-explore/search?tab=default_tab&amp;search_scope=EVERYTHING&amp;vid=01CRU&amp;lang=en_US&amp;offset=0&amp;query=any,contains,991001977399702656","Catalog Record")</f>
        <v/>
      </c>
      <c r="AT744">
        <f>HYPERLINK("http://www.worldcat.org/oclc/25091266","WorldCat Record")</f>
        <v/>
      </c>
      <c r="AU744" t="inlineStr">
        <is>
          <t>350343707:eng</t>
        </is>
      </c>
      <c r="AV744" t="inlineStr">
        <is>
          <t>25091266</t>
        </is>
      </c>
      <c r="AW744" t="inlineStr">
        <is>
          <t>991001977399702656</t>
        </is>
      </c>
      <c r="AX744" t="inlineStr">
        <is>
          <t>991001977399702656</t>
        </is>
      </c>
      <c r="AY744" t="inlineStr">
        <is>
          <t>2263532870002656</t>
        </is>
      </c>
      <c r="AZ744" t="inlineStr">
        <is>
          <t>BOOK</t>
        </is>
      </c>
      <c r="BB744" t="inlineStr">
        <is>
          <t>9780898627992</t>
        </is>
      </c>
      <c r="BC744" t="inlineStr">
        <is>
          <t>32285001449031</t>
        </is>
      </c>
      <c r="BD744" t="inlineStr">
        <is>
          <t>893804086</t>
        </is>
      </c>
    </row>
    <row r="745">
      <c r="A745" t="inlineStr">
        <is>
          <t>No</t>
        </is>
      </c>
      <c r="B745" t="inlineStr">
        <is>
          <t>RC488 .K44</t>
        </is>
      </c>
      <c r="C745" t="inlineStr">
        <is>
          <t>0                      RC 0488000K  44</t>
        </is>
      </c>
      <c r="D745" t="inlineStr">
        <is>
          <t>Group psychotherapy and personality : intersecting structures :/ by Henry Kellerman.</t>
        </is>
      </c>
      <c r="F745" t="inlineStr">
        <is>
          <t>No</t>
        </is>
      </c>
      <c r="G745" t="inlineStr">
        <is>
          <t>1</t>
        </is>
      </c>
      <c r="H745" t="inlineStr">
        <is>
          <t>No</t>
        </is>
      </c>
      <c r="I745" t="inlineStr">
        <is>
          <t>No</t>
        </is>
      </c>
      <c r="J745" t="inlineStr">
        <is>
          <t>0</t>
        </is>
      </c>
      <c r="K745" t="inlineStr">
        <is>
          <t>Kellerman, Henry.</t>
        </is>
      </c>
      <c r="L745" t="inlineStr">
        <is>
          <t>New York : Grune &amp; Stratton, c1979.</t>
        </is>
      </c>
      <c r="M745" t="inlineStr">
        <is>
          <t>1979</t>
        </is>
      </c>
      <c r="O745" t="inlineStr">
        <is>
          <t>eng</t>
        </is>
      </c>
      <c r="P745" t="inlineStr">
        <is>
          <t>nyu</t>
        </is>
      </c>
      <c r="R745" t="inlineStr">
        <is>
          <t xml:space="preserve">RC </t>
        </is>
      </c>
      <c r="S745" t="n">
        <v>4</v>
      </c>
      <c r="T745" t="n">
        <v>4</v>
      </c>
      <c r="U745" t="inlineStr">
        <is>
          <t>1998-08-19</t>
        </is>
      </c>
      <c r="V745" t="inlineStr">
        <is>
          <t>1998-08-19</t>
        </is>
      </c>
      <c r="W745" t="inlineStr">
        <is>
          <t>1990-02-28</t>
        </is>
      </c>
      <c r="X745" t="inlineStr">
        <is>
          <t>1990-02-28</t>
        </is>
      </c>
      <c r="Y745" t="n">
        <v>269</v>
      </c>
      <c r="Z745" t="n">
        <v>204</v>
      </c>
      <c r="AA745" t="n">
        <v>211</v>
      </c>
      <c r="AB745" t="n">
        <v>2</v>
      </c>
      <c r="AC745" t="n">
        <v>2</v>
      </c>
      <c r="AD745" t="n">
        <v>13</v>
      </c>
      <c r="AE745" t="n">
        <v>13</v>
      </c>
      <c r="AF745" t="n">
        <v>5</v>
      </c>
      <c r="AG745" t="n">
        <v>5</v>
      </c>
      <c r="AH745" t="n">
        <v>1</v>
      </c>
      <c r="AI745" t="n">
        <v>1</v>
      </c>
      <c r="AJ745" t="n">
        <v>11</v>
      </c>
      <c r="AK745" t="n">
        <v>11</v>
      </c>
      <c r="AL745" t="n">
        <v>1</v>
      </c>
      <c r="AM745" t="n">
        <v>1</v>
      </c>
      <c r="AN745" t="n">
        <v>0</v>
      </c>
      <c r="AO745" t="n">
        <v>0</v>
      </c>
      <c r="AP745" t="inlineStr">
        <is>
          <t>No</t>
        </is>
      </c>
      <c r="AQ745" t="inlineStr">
        <is>
          <t>Yes</t>
        </is>
      </c>
      <c r="AR745">
        <f>HYPERLINK("http://catalog.hathitrust.org/Record/000472676","HathiTrust Record")</f>
        <v/>
      </c>
      <c r="AS745">
        <f>HYPERLINK("https://creighton-primo.hosted.exlibrisgroup.com/primo-explore/search?tab=default_tab&amp;search_scope=EVERYTHING&amp;vid=01CRU&amp;lang=en_US&amp;offset=0&amp;query=any,contains,991004750859702656","Catalog Record")</f>
        <v/>
      </c>
      <c r="AT745">
        <f>HYPERLINK("http://www.worldcat.org/oclc/4933465","WorldCat Record")</f>
        <v/>
      </c>
      <c r="AU745" t="inlineStr">
        <is>
          <t>836626022:eng</t>
        </is>
      </c>
      <c r="AV745" t="inlineStr">
        <is>
          <t>4933465</t>
        </is>
      </c>
      <c r="AW745" t="inlineStr">
        <is>
          <t>991004750859702656</t>
        </is>
      </c>
      <c r="AX745" t="inlineStr">
        <is>
          <t>991004750859702656</t>
        </is>
      </c>
      <c r="AY745" t="inlineStr">
        <is>
          <t>2269185550002656</t>
        </is>
      </c>
      <c r="AZ745" t="inlineStr">
        <is>
          <t>BOOK</t>
        </is>
      </c>
      <c r="BB745" t="inlineStr">
        <is>
          <t>9780808911821</t>
        </is>
      </c>
      <c r="BC745" t="inlineStr">
        <is>
          <t>32285000072438</t>
        </is>
      </c>
      <c r="BD745" t="inlineStr">
        <is>
          <t>893625077</t>
        </is>
      </c>
    </row>
    <row r="746">
      <c r="A746" t="inlineStr">
        <is>
          <t>No</t>
        </is>
      </c>
      <c r="B746" t="inlineStr">
        <is>
          <t>RC488 .L3 1986</t>
        </is>
      </c>
      <c r="C746" t="inlineStr">
        <is>
          <t>0                      RC 0488000L  3           1986</t>
        </is>
      </c>
      <c r="D746" t="inlineStr">
        <is>
          <t>Methods of family therapy / Luciano L'Abate, Gary Ganahl, James C. Hansen.</t>
        </is>
      </c>
      <c r="F746" t="inlineStr">
        <is>
          <t>No</t>
        </is>
      </c>
      <c r="G746" t="inlineStr">
        <is>
          <t>1</t>
        </is>
      </c>
      <c r="H746" t="inlineStr">
        <is>
          <t>No</t>
        </is>
      </c>
      <c r="I746" t="inlineStr">
        <is>
          <t>No</t>
        </is>
      </c>
      <c r="J746" t="inlineStr">
        <is>
          <t>0</t>
        </is>
      </c>
      <c r="K746" t="inlineStr">
        <is>
          <t>L'Abate, Luciano, 1928-2016.</t>
        </is>
      </c>
      <c r="L746" t="inlineStr">
        <is>
          <t>Englewood Cliffs, N.J. : Prentice-Hall, c1986.</t>
        </is>
      </c>
      <c r="M746" t="inlineStr">
        <is>
          <t>1986</t>
        </is>
      </c>
      <c r="O746" t="inlineStr">
        <is>
          <t>eng</t>
        </is>
      </c>
      <c r="P746" t="inlineStr">
        <is>
          <t>nju</t>
        </is>
      </c>
      <c r="R746" t="inlineStr">
        <is>
          <t xml:space="preserve">RC </t>
        </is>
      </c>
      <c r="S746" t="n">
        <v>9</v>
      </c>
      <c r="T746" t="n">
        <v>9</v>
      </c>
      <c r="U746" t="inlineStr">
        <is>
          <t>1999-02-13</t>
        </is>
      </c>
      <c r="V746" t="inlineStr">
        <is>
          <t>1999-02-13</t>
        </is>
      </c>
      <c r="W746" t="inlineStr">
        <is>
          <t>1993-03-23</t>
        </is>
      </c>
      <c r="X746" t="inlineStr">
        <is>
          <t>1993-03-23</t>
        </is>
      </c>
      <c r="Y746" t="n">
        <v>301</v>
      </c>
      <c r="Z746" t="n">
        <v>262</v>
      </c>
      <c r="AA746" t="n">
        <v>269</v>
      </c>
      <c r="AB746" t="n">
        <v>2</v>
      </c>
      <c r="AC746" t="n">
        <v>2</v>
      </c>
      <c r="AD746" t="n">
        <v>15</v>
      </c>
      <c r="AE746" t="n">
        <v>15</v>
      </c>
      <c r="AF746" t="n">
        <v>7</v>
      </c>
      <c r="AG746" t="n">
        <v>7</v>
      </c>
      <c r="AH746" t="n">
        <v>3</v>
      </c>
      <c r="AI746" t="n">
        <v>3</v>
      </c>
      <c r="AJ746" t="n">
        <v>7</v>
      </c>
      <c r="AK746" t="n">
        <v>7</v>
      </c>
      <c r="AL746" t="n">
        <v>1</v>
      </c>
      <c r="AM746" t="n">
        <v>1</v>
      </c>
      <c r="AN746" t="n">
        <v>0</v>
      </c>
      <c r="AO746" t="n">
        <v>0</v>
      </c>
      <c r="AP746" t="inlineStr">
        <is>
          <t>No</t>
        </is>
      </c>
      <c r="AQ746" t="inlineStr">
        <is>
          <t>Yes</t>
        </is>
      </c>
      <c r="AR746">
        <f>HYPERLINK("http://catalog.hathitrust.org/Record/000631657","HathiTrust Record")</f>
        <v/>
      </c>
      <c r="AS746">
        <f>HYPERLINK("https://creighton-primo.hosted.exlibrisgroup.com/primo-explore/search?tab=default_tab&amp;search_scope=EVERYTHING&amp;vid=01CRU&amp;lang=en_US&amp;offset=0&amp;query=any,contains,991000707729702656","Catalog Record")</f>
        <v/>
      </c>
      <c r="AT746">
        <f>HYPERLINK("http://www.worldcat.org/oclc/12558381","WorldCat Record")</f>
        <v/>
      </c>
      <c r="AU746" t="inlineStr">
        <is>
          <t>4946452:eng</t>
        </is>
      </c>
      <c r="AV746" t="inlineStr">
        <is>
          <t>12558381</t>
        </is>
      </c>
      <c r="AW746" t="inlineStr">
        <is>
          <t>991000707729702656</t>
        </is>
      </c>
      <c r="AX746" t="inlineStr">
        <is>
          <t>991000707729702656</t>
        </is>
      </c>
      <c r="AY746" t="inlineStr">
        <is>
          <t>2257051860002656</t>
        </is>
      </c>
      <c r="AZ746" t="inlineStr">
        <is>
          <t>BOOK</t>
        </is>
      </c>
      <c r="BB746" t="inlineStr">
        <is>
          <t>9780135793763</t>
        </is>
      </c>
      <c r="BC746" t="inlineStr">
        <is>
          <t>32285001606671</t>
        </is>
      </c>
      <c r="BD746" t="inlineStr">
        <is>
          <t>893890959</t>
        </is>
      </c>
    </row>
    <row r="747">
      <c r="A747" t="inlineStr">
        <is>
          <t>No</t>
        </is>
      </c>
      <c r="B747" t="inlineStr">
        <is>
          <t>RC488 .M8 1978</t>
        </is>
      </c>
      <c r="C747" t="inlineStr">
        <is>
          <t>0                      RC 0488000M  8           1978</t>
        </is>
      </c>
      <c r="D747" t="inlineStr">
        <is>
          <t>Group psychotherapy : theory and practice / Hugh Mullan and Max Rosenbaum.</t>
        </is>
      </c>
      <c r="F747" t="inlineStr">
        <is>
          <t>No</t>
        </is>
      </c>
      <c r="G747" t="inlineStr">
        <is>
          <t>1</t>
        </is>
      </c>
      <c r="H747" t="inlineStr">
        <is>
          <t>No</t>
        </is>
      </c>
      <c r="I747" t="inlineStr">
        <is>
          <t>No</t>
        </is>
      </c>
      <c r="J747" t="inlineStr">
        <is>
          <t>0</t>
        </is>
      </c>
      <c r="K747" t="inlineStr">
        <is>
          <t>Mullan, Hugh.</t>
        </is>
      </c>
      <c r="L747" t="inlineStr">
        <is>
          <t>New York : Free Press, c1978.</t>
        </is>
      </c>
      <c r="M747" t="inlineStr">
        <is>
          <t>1978</t>
        </is>
      </c>
      <c r="N747" t="inlineStr">
        <is>
          <t>2d ed.</t>
        </is>
      </c>
      <c r="O747" t="inlineStr">
        <is>
          <t>eng</t>
        </is>
      </c>
      <c r="P747" t="inlineStr">
        <is>
          <t>nyu</t>
        </is>
      </c>
      <c r="R747" t="inlineStr">
        <is>
          <t xml:space="preserve">RC </t>
        </is>
      </c>
      <c r="S747" t="n">
        <v>6</v>
      </c>
      <c r="T747" t="n">
        <v>6</v>
      </c>
      <c r="U747" t="inlineStr">
        <is>
          <t>2003-03-16</t>
        </is>
      </c>
      <c r="V747" t="inlineStr">
        <is>
          <t>2003-03-16</t>
        </is>
      </c>
      <c r="W747" t="inlineStr">
        <is>
          <t>1993-03-23</t>
        </is>
      </c>
      <c r="X747" t="inlineStr">
        <is>
          <t>1993-03-23</t>
        </is>
      </c>
      <c r="Y747" t="n">
        <v>405</v>
      </c>
      <c r="Z747" t="n">
        <v>329</v>
      </c>
      <c r="AA747" t="n">
        <v>559</v>
      </c>
      <c r="AB747" t="n">
        <v>3</v>
      </c>
      <c r="AC747" t="n">
        <v>3</v>
      </c>
      <c r="AD747" t="n">
        <v>13</v>
      </c>
      <c r="AE747" t="n">
        <v>18</v>
      </c>
      <c r="AF747" t="n">
        <v>2</v>
      </c>
      <c r="AG747" t="n">
        <v>4</v>
      </c>
      <c r="AH747" t="n">
        <v>4</v>
      </c>
      <c r="AI747" t="n">
        <v>6</v>
      </c>
      <c r="AJ747" t="n">
        <v>8</v>
      </c>
      <c r="AK747" t="n">
        <v>11</v>
      </c>
      <c r="AL747" t="n">
        <v>2</v>
      </c>
      <c r="AM747" t="n">
        <v>2</v>
      </c>
      <c r="AN747" t="n">
        <v>0</v>
      </c>
      <c r="AO747" t="n">
        <v>0</v>
      </c>
      <c r="AP747" t="inlineStr">
        <is>
          <t>No</t>
        </is>
      </c>
      <c r="AQ747" t="inlineStr">
        <is>
          <t>Yes</t>
        </is>
      </c>
      <c r="AR747">
        <f>HYPERLINK("http://catalog.hathitrust.org/Record/000178960","HathiTrust Record")</f>
        <v/>
      </c>
      <c r="AS747">
        <f>HYPERLINK("https://creighton-primo.hosted.exlibrisgroup.com/primo-explore/search?tab=default_tab&amp;search_scope=EVERYTHING&amp;vid=01CRU&amp;lang=en_US&amp;offset=0&amp;query=any,contains,991005265499702656","Catalog Record")</f>
        <v/>
      </c>
      <c r="AT747">
        <f>HYPERLINK("http://www.worldcat.org/oclc/4076845","WorldCat Record")</f>
        <v/>
      </c>
      <c r="AU747" t="inlineStr">
        <is>
          <t>8564826:eng</t>
        </is>
      </c>
      <c r="AV747" t="inlineStr">
        <is>
          <t>4076845</t>
        </is>
      </c>
      <c r="AW747" t="inlineStr">
        <is>
          <t>991005265499702656</t>
        </is>
      </c>
      <c r="AX747" t="inlineStr">
        <is>
          <t>991005265499702656</t>
        </is>
      </c>
      <c r="AY747" t="inlineStr">
        <is>
          <t>2263029510002656</t>
        </is>
      </c>
      <c r="AZ747" t="inlineStr">
        <is>
          <t>BOOK</t>
        </is>
      </c>
      <c r="BB747" t="inlineStr">
        <is>
          <t>9780029220801</t>
        </is>
      </c>
      <c r="BC747" t="inlineStr">
        <is>
          <t>32285001606689</t>
        </is>
      </c>
      <c r="BD747" t="inlineStr">
        <is>
          <t>893353805</t>
        </is>
      </c>
    </row>
    <row r="748">
      <c r="A748" t="inlineStr">
        <is>
          <t>No</t>
        </is>
      </c>
      <c r="B748" t="inlineStr">
        <is>
          <t>RC488 .P35 2000</t>
        </is>
      </c>
      <c r="C748" t="inlineStr">
        <is>
          <t>0                      RC 0488000P  35          2000</t>
        </is>
      </c>
      <c r="D748" t="inlineStr">
        <is>
          <t>The group therapy treatment planner / Kim Paleg and Arthur E. Jongsma, Jr.</t>
        </is>
      </c>
      <c r="F748" t="inlineStr">
        <is>
          <t>No</t>
        </is>
      </c>
      <c r="G748" t="inlineStr">
        <is>
          <t>1</t>
        </is>
      </c>
      <c r="H748" t="inlineStr">
        <is>
          <t>No</t>
        </is>
      </c>
      <c r="I748" t="inlineStr">
        <is>
          <t>No</t>
        </is>
      </c>
      <c r="J748" t="inlineStr">
        <is>
          <t>0</t>
        </is>
      </c>
      <c r="K748" t="inlineStr">
        <is>
          <t>Paleg, Kim.</t>
        </is>
      </c>
      <c r="L748" t="inlineStr">
        <is>
          <t>New York : Wiley, c2000.</t>
        </is>
      </c>
      <c r="M748" t="inlineStr">
        <is>
          <t>2000</t>
        </is>
      </c>
      <c r="O748" t="inlineStr">
        <is>
          <t>eng</t>
        </is>
      </c>
      <c r="P748" t="inlineStr">
        <is>
          <t>nyu</t>
        </is>
      </c>
      <c r="Q748" t="inlineStr">
        <is>
          <t>Practice planners</t>
        </is>
      </c>
      <c r="R748" t="inlineStr">
        <is>
          <t xml:space="preserve">RC </t>
        </is>
      </c>
      <c r="S748" t="n">
        <v>5</v>
      </c>
      <c r="T748" t="n">
        <v>5</v>
      </c>
      <c r="U748" t="inlineStr">
        <is>
          <t>2010-04-07</t>
        </is>
      </c>
      <c r="V748" t="inlineStr">
        <is>
          <t>2010-04-07</t>
        </is>
      </c>
      <c r="W748" t="inlineStr">
        <is>
          <t>2003-03-26</t>
        </is>
      </c>
      <c r="X748" t="inlineStr">
        <is>
          <t>2003-03-26</t>
        </is>
      </c>
      <c r="Y748" t="n">
        <v>135</v>
      </c>
      <c r="Z748" t="n">
        <v>109</v>
      </c>
      <c r="AA748" t="n">
        <v>224</v>
      </c>
      <c r="AB748" t="n">
        <v>1</v>
      </c>
      <c r="AC748" t="n">
        <v>2</v>
      </c>
      <c r="AD748" t="n">
        <v>6</v>
      </c>
      <c r="AE748" t="n">
        <v>7</v>
      </c>
      <c r="AF748" t="n">
        <v>3</v>
      </c>
      <c r="AG748" t="n">
        <v>3</v>
      </c>
      <c r="AH748" t="n">
        <v>1</v>
      </c>
      <c r="AI748" t="n">
        <v>1</v>
      </c>
      <c r="AJ748" t="n">
        <v>4</v>
      </c>
      <c r="AK748" t="n">
        <v>4</v>
      </c>
      <c r="AL748" t="n">
        <v>0</v>
      </c>
      <c r="AM748" t="n">
        <v>1</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HYPERLINK("https://creighton-primo.hosted.exlibrisgroup.com/primo-explore/search?tab=default_tab&amp;search_scope=EVERYTHING&amp;vid=01CRU&amp;lang=en_US&amp;offset=0&amp;query=any,contains,991004007529702656","Catalog Record")</f>
        <v/>
      </c>
      <c r="AT748">
        <f>HYPERLINK("http://www.worldcat.org/oclc/41606190","WorldCat Record")</f>
        <v/>
      </c>
      <c r="AU748" t="inlineStr">
        <is>
          <t>34801143:eng</t>
        </is>
      </c>
      <c r="AV748" t="inlineStr">
        <is>
          <t>41606190</t>
        </is>
      </c>
      <c r="AW748" t="inlineStr">
        <is>
          <t>991004007529702656</t>
        </is>
      </c>
      <c r="AX748" t="inlineStr">
        <is>
          <t>991004007529702656</t>
        </is>
      </c>
      <c r="AY748" t="inlineStr">
        <is>
          <t>2258645040002656</t>
        </is>
      </c>
      <c r="AZ748" t="inlineStr">
        <is>
          <t>BOOK</t>
        </is>
      </c>
      <c r="BB748" t="inlineStr">
        <is>
          <t>9780471254690</t>
        </is>
      </c>
      <c r="BC748" t="inlineStr">
        <is>
          <t>32285004686852</t>
        </is>
      </c>
      <c r="BD748" t="inlineStr">
        <is>
          <t>893318687</t>
        </is>
      </c>
    </row>
    <row r="749">
      <c r="A749" t="inlineStr">
        <is>
          <t>No</t>
        </is>
      </c>
      <c r="B749" t="inlineStr">
        <is>
          <t>RC488 .R65</t>
        </is>
      </c>
      <c r="C749" t="inlineStr">
        <is>
          <t>0                      RC 0488000R  65</t>
        </is>
      </c>
      <c r="D749" t="inlineStr">
        <is>
          <t>Group therapy : a behavioral approach / Sheldon D. Rose.</t>
        </is>
      </c>
      <c r="F749" t="inlineStr">
        <is>
          <t>No</t>
        </is>
      </c>
      <c r="G749" t="inlineStr">
        <is>
          <t>1</t>
        </is>
      </c>
      <c r="H749" t="inlineStr">
        <is>
          <t>No</t>
        </is>
      </c>
      <c r="I749" t="inlineStr">
        <is>
          <t>No</t>
        </is>
      </c>
      <c r="J749" t="inlineStr">
        <is>
          <t>0</t>
        </is>
      </c>
      <c r="K749" t="inlineStr">
        <is>
          <t>Rose, Sheldon D.</t>
        </is>
      </c>
      <c r="L749" t="inlineStr">
        <is>
          <t>Englewood Cliffs, N.J. : Prentice-Hall, c1977.</t>
        </is>
      </c>
      <c r="M749" t="inlineStr">
        <is>
          <t>1977</t>
        </is>
      </c>
      <c r="O749" t="inlineStr">
        <is>
          <t>eng</t>
        </is>
      </c>
      <c r="P749" t="inlineStr">
        <is>
          <t>nju</t>
        </is>
      </c>
      <c r="R749" t="inlineStr">
        <is>
          <t xml:space="preserve">RC </t>
        </is>
      </c>
      <c r="S749" t="n">
        <v>2</v>
      </c>
      <c r="T749" t="n">
        <v>2</v>
      </c>
      <c r="U749" t="inlineStr">
        <is>
          <t>2003-10-26</t>
        </is>
      </c>
      <c r="V749" t="inlineStr">
        <is>
          <t>2003-10-26</t>
        </is>
      </c>
      <c r="W749" t="inlineStr">
        <is>
          <t>1997-08-12</t>
        </is>
      </c>
      <c r="X749" t="inlineStr">
        <is>
          <t>1997-08-12</t>
        </is>
      </c>
      <c r="Y749" t="n">
        <v>647</v>
      </c>
      <c r="Z749" t="n">
        <v>510</v>
      </c>
      <c r="AA749" t="n">
        <v>512</v>
      </c>
      <c r="AB749" t="n">
        <v>9</v>
      </c>
      <c r="AC749" t="n">
        <v>9</v>
      </c>
      <c r="AD749" t="n">
        <v>26</v>
      </c>
      <c r="AE749" t="n">
        <v>26</v>
      </c>
      <c r="AF749" t="n">
        <v>10</v>
      </c>
      <c r="AG749" t="n">
        <v>10</v>
      </c>
      <c r="AH749" t="n">
        <v>4</v>
      </c>
      <c r="AI749" t="n">
        <v>4</v>
      </c>
      <c r="AJ749" t="n">
        <v>12</v>
      </c>
      <c r="AK749" t="n">
        <v>12</v>
      </c>
      <c r="AL749" t="n">
        <v>7</v>
      </c>
      <c r="AM749" t="n">
        <v>7</v>
      </c>
      <c r="AN749" t="n">
        <v>0</v>
      </c>
      <c r="AO749" t="n">
        <v>0</v>
      </c>
      <c r="AP749" t="inlineStr">
        <is>
          <t>No</t>
        </is>
      </c>
      <c r="AQ749" t="inlineStr">
        <is>
          <t>Yes</t>
        </is>
      </c>
      <c r="AR749">
        <f>HYPERLINK("http://catalog.hathitrust.org/Record/000145856","HathiTrust Record")</f>
        <v/>
      </c>
      <c r="AS749">
        <f>HYPERLINK("https://creighton-primo.hosted.exlibrisgroup.com/primo-explore/search?tab=default_tab&amp;search_scope=EVERYTHING&amp;vid=01CRU&amp;lang=en_US&amp;offset=0&amp;query=any,contains,991004107699702656","Catalog Record")</f>
        <v/>
      </c>
      <c r="AT749">
        <f>HYPERLINK("http://www.worldcat.org/oclc/2388087","WorldCat Record")</f>
        <v/>
      </c>
      <c r="AU749" t="inlineStr">
        <is>
          <t>310811377:eng</t>
        </is>
      </c>
      <c r="AV749" t="inlineStr">
        <is>
          <t>2388087</t>
        </is>
      </c>
      <c r="AW749" t="inlineStr">
        <is>
          <t>991004107699702656</t>
        </is>
      </c>
      <c r="AX749" t="inlineStr">
        <is>
          <t>991004107699702656</t>
        </is>
      </c>
      <c r="AY749" t="inlineStr">
        <is>
          <t>2259290380002656</t>
        </is>
      </c>
      <c r="AZ749" t="inlineStr">
        <is>
          <t>BOOK</t>
        </is>
      </c>
      <c r="BB749" t="inlineStr">
        <is>
          <t>9780133652390</t>
        </is>
      </c>
      <c r="BC749" t="inlineStr">
        <is>
          <t>32285003091799</t>
        </is>
      </c>
      <c r="BD749" t="inlineStr">
        <is>
          <t>893263097</t>
        </is>
      </c>
    </row>
    <row r="750">
      <c r="A750" t="inlineStr">
        <is>
          <t>No</t>
        </is>
      </c>
      <c r="B750" t="inlineStr">
        <is>
          <t>RC488 .R66</t>
        </is>
      </c>
      <c r="C750" t="inlineStr">
        <is>
          <t>0                      RC 0488000R  66</t>
        </is>
      </c>
      <c r="D750" t="inlineStr">
        <is>
          <t>Group psychotherapy and group function, edited by Max Rosenbaum and Milton Berger.</t>
        </is>
      </c>
      <c r="F750" t="inlineStr">
        <is>
          <t>No</t>
        </is>
      </c>
      <c r="G750" t="inlineStr">
        <is>
          <t>1</t>
        </is>
      </c>
      <c r="H750" t="inlineStr">
        <is>
          <t>No</t>
        </is>
      </c>
      <c r="I750" t="inlineStr">
        <is>
          <t>No</t>
        </is>
      </c>
      <c r="J750" t="inlineStr">
        <is>
          <t>0</t>
        </is>
      </c>
      <c r="K750" t="inlineStr">
        <is>
          <t>Rosenbaum, Max, 1923- editor.</t>
        </is>
      </c>
      <c r="L750" t="inlineStr">
        <is>
          <t>New York, Basic Books [1963]</t>
        </is>
      </c>
      <c r="M750" t="inlineStr">
        <is>
          <t>1963</t>
        </is>
      </c>
      <c r="O750" t="inlineStr">
        <is>
          <t>eng</t>
        </is>
      </c>
      <c r="P750" t="inlineStr">
        <is>
          <t>nyu</t>
        </is>
      </c>
      <c r="R750" t="inlineStr">
        <is>
          <t xml:space="preserve">RC </t>
        </is>
      </c>
      <c r="S750" t="n">
        <v>3</v>
      </c>
      <c r="T750" t="n">
        <v>3</v>
      </c>
      <c r="U750" t="inlineStr">
        <is>
          <t>2003-10-26</t>
        </is>
      </c>
      <c r="V750" t="inlineStr">
        <is>
          <t>2003-10-26</t>
        </is>
      </c>
      <c r="W750" t="inlineStr">
        <is>
          <t>1997-08-12</t>
        </is>
      </c>
      <c r="X750" t="inlineStr">
        <is>
          <t>1997-08-12</t>
        </is>
      </c>
      <c r="Y750" t="n">
        <v>536</v>
      </c>
      <c r="Z750" t="n">
        <v>462</v>
      </c>
      <c r="AA750" t="n">
        <v>595</v>
      </c>
      <c r="AB750" t="n">
        <v>3</v>
      </c>
      <c r="AC750" t="n">
        <v>4</v>
      </c>
      <c r="AD750" t="n">
        <v>22</v>
      </c>
      <c r="AE750" t="n">
        <v>26</v>
      </c>
      <c r="AF750" t="n">
        <v>7</v>
      </c>
      <c r="AG750" t="n">
        <v>9</v>
      </c>
      <c r="AH750" t="n">
        <v>5</v>
      </c>
      <c r="AI750" t="n">
        <v>5</v>
      </c>
      <c r="AJ750" t="n">
        <v>12</v>
      </c>
      <c r="AK750" t="n">
        <v>16</v>
      </c>
      <c r="AL750" t="n">
        <v>2</v>
      </c>
      <c r="AM750" t="n">
        <v>2</v>
      </c>
      <c r="AN750" t="n">
        <v>0</v>
      </c>
      <c r="AO750" t="n">
        <v>0</v>
      </c>
      <c r="AP750" t="inlineStr">
        <is>
          <t>No</t>
        </is>
      </c>
      <c r="AQ750" t="inlineStr">
        <is>
          <t>Yes</t>
        </is>
      </c>
      <c r="AR750">
        <f>HYPERLINK("http://catalog.hathitrust.org/Record/001564671","HathiTrust Record")</f>
        <v/>
      </c>
      <c r="AS750">
        <f>HYPERLINK("https://creighton-primo.hosted.exlibrisgroup.com/primo-explore/search?tab=default_tab&amp;search_scope=EVERYTHING&amp;vid=01CRU&amp;lang=en_US&amp;offset=0&amp;query=any,contains,991003140469702656","Catalog Record")</f>
        <v/>
      </c>
      <c r="AT750">
        <f>HYPERLINK("http://www.worldcat.org/oclc/682014","WorldCat Record")</f>
        <v/>
      </c>
      <c r="AU750" t="inlineStr">
        <is>
          <t>364283284:eng</t>
        </is>
      </c>
      <c r="AV750" t="inlineStr">
        <is>
          <t>682014</t>
        </is>
      </c>
      <c r="AW750" t="inlineStr">
        <is>
          <t>991003140469702656</t>
        </is>
      </c>
      <c r="AX750" t="inlineStr">
        <is>
          <t>991003140469702656</t>
        </is>
      </c>
      <c r="AY750" t="inlineStr">
        <is>
          <t>2266761760002656</t>
        </is>
      </c>
      <c r="AZ750" t="inlineStr">
        <is>
          <t>BOOK</t>
        </is>
      </c>
      <c r="BC750" t="inlineStr">
        <is>
          <t>32285003091807</t>
        </is>
      </c>
      <c r="BD750" t="inlineStr">
        <is>
          <t>893317681</t>
        </is>
      </c>
    </row>
    <row r="751">
      <c r="A751" t="inlineStr">
        <is>
          <t>No</t>
        </is>
      </c>
      <c r="B751" t="inlineStr">
        <is>
          <t>RC488 .R68 1987</t>
        </is>
      </c>
      <c r="C751" t="inlineStr">
        <is>
          <t>0                      RC 0488000R  68          1987</t>
        </is>
      </c>
      <c r="D751" t="inlineStr">
        <is>
          <t>Resolving resistance in group psychotherapy / by Leslie Rosenthal.</t>
        </is>
      </c>
      <c r="F751" t="inlineStr">
        <is>
          <t>No</t>
        </is>
      </c>
      <c r="G751" t="inlineStr">
        <is>
          <t>1</t>
        </is>
      </c>
      <c r="H751" t="inlineStr">
        <is>
          <t>No</t>
        </is>
      </c>
      <c r="I751" t="inlineStr">
        <is>
          <t>No</t>
        </is>
      </c>
      <c r="J751" t="inlineStr">
        <is>
          <t>0</t>
        </is>
      </c>
      <c r="K751" t="inlineStr">
        <is>
          <t>Rosenthal, Leslie.</t>
        </is>
      </c>
      <c r="L751" t="inlineStr">
        <is>
          <t>Northvale, N.J. : J. Aronson, c1987.</t>
        </is>
      </c>
      <c r="M751" t="inlineStr">
        <is>
          <t>1987</t>
        </is>
      </c>
      <c r="O751" t="inlineStr">
        <is>
          <t>eng</t>
        </is>
      </c>
      <c r="P751" t="inlineStr">
        <is>
          <t>nju</t>
        </is>
      </c>
      <c r="R751" t="inlineStr">
        <is>
          <t xml:space="preserve">RC </t>
        </is>
      </c>
      <c r="S751" t="n">
        <v>2</v>
      </c>
      <c r="T751" t="n">
        <v>2</v>
      </c>
      <c r="U751" t="inlineStr">
        <is>
          <t>1994-06-29</t>
        </is>
      </c>
      <c r="V751" t="inlineStr">
        <is>
          <t>1994-06-29</t>
        </is>
      </c>
      <c r="W751" t="inlineStr">
        <is>
          <t>1993-03-23</t>
        </is>
      </c>
      <c r="X751" t="inlineStr">
        <is>
          <t>1993-03-23</t>
        </is>
      </c>
      <c r="Y751" t="n">
        <v>136</v>
      </c>
      <c r="Z751" t="n">
        <v>105</v>
      </c>
      <c r="AA751" t="n">
        <v>140</v>
      </c>
      <c r="AB751" t="n">
        <v>1</v>
      </c>
      <c r="AC751" t="n">
        <v>1</v>
      </c>
      <c r="AD751" t="n">
        <v>6</v>
      </c>
      <c r="AE751" t="n">
        <v>7</v>
      </c>
      <c r="AF751" t="n">
        <v>2</v>
      </c>
      <c r="AG751" t="n">
        <v>3</v>
      </c>
      <c r="AH751" t="n">
        <v>1</v>
      </c>
      <c r="AI751" t="n">
        <v>2</v>
      </c>
      <c r="AJ751" t="n">
        <v>5</v>
      </c>
      <c r="AK751" t="n">
        <v>5</v>
      </c>
      <c r="AL751" t="n">
        <v>0</v>
      </c>
      <c r="AM751" t="n">
        <v>0</v>
      </c>
      <c r="AN751" t="n">
        <v>0</v>
      </c>
      <c r="AO751" t="n">
        <v>0</v>
      </c>
      <c r="AP751" t="inlineStr">
        <is>
          <t>No</t>
        </is>
      </c>
      <c r="AQ751" t="inlineStr">
        <is>
          <t>Yes</t>
        </is>
      </c>
      <c r="AR751">
        <f>HYPERLINK("http://catalog.hathitrust.org/Record/000871587","HathiTrust Record")</f>
        <v/>
      </c>
      <c r="AS751">
        <f>HYPERLINK("https://creighton-primo.hosted.exlibrisgroup.com/primo-explore/search?tab=default_tab&amp;search_scope=EVERYTHING&amp;vid=01CRU&amp;lang=en_US&amp;offset=0&amp;query=any,contains,991000683449702656","Catalog Record")</f>
        <v/>
      </c>
      <c r="AT751">
        <f>HYPERLINK("http://www.worldcat.org/oclc/12419058","WorldCat Record")</f>
        <v/>
      </c>
      <c r="AU751" t="inlineStr">
        <is>
          <t>5021943:eng</t>
        </is>
      </c>
      <c r="AV751" t="inlineStr">
        <is>
          <t>12419058</t>
        </is>
      </c>
      <c r="AW751" t="inlineStr">
        <is>
          <t>991000683449702656</t>
        </is>
      </c>
      <c r="AX751" t="inlineStr">
        <is>
          <t>991000683449702656</t>
        </is>
      </c>
      <c r="AY751" t="inlineStr">
        <is>
          <t>2261925380002656</t>
        </is>
      </c>
      <c r="AZ751" t="inlineStr">
        <is>
          <t>BOOK</t>
        </is>
      </c>
      <c r="BB751" t="inlineStr">
        <is>
          <t>9780876689141</t>
        </is>
      </c>
      <c r="BC751" t="inlineStr">
        <is>
          <t>32285001606697</t>
        </is>
      </c>
      <c r="BD751" t="inlineStr">
        <is>
          <t>893884633</t>
        </is>
      </c>
    </row>
    <row r="752">
      <c r="A752" t="inlineStr">
        <is>
          <t>No</t>
        </is>
      </c>
      <c r="B752" t="inlineStr">
        <is>
          <t>RC488 .S45</t>
        </is>
      </c>
      <c r="C752" t="inlineStr">
        <is>
          <t>0                      RC 0488000S  45</t>
        </is>
      </c>
      <c r="D752" t="inlineStr">
        <is>
          <t>Models of group therapy and sensitivity training [by] John B. P. Shaffer [and] M. David Galinsky.</t>
        </is>
      </c>
      <c r="F752" t="inlineStr">
        <is>
          <t>No</t>
        </is>
      </c>
      <c r="G752" t="inlineStr">
        <is>
          <t>1</t>
        </is>
      </c>
      <c r="H752" t="inlineStr">
        <is>
          <t>No</t>
        </is>
      </c>
      <c r="I752" t="inlineStr">
        <is>
          <t>No</t>
        </is>
      </c>
      <c r="J752" t="inlineStr">
        <is>
          <t>0</t>
        </is>
      </c>
      <c r="K752" t="inlineStr">
        <is>
          <t>Shaffer, John B. P., 1934-</t>
        </is>
      </c>
      <c r="L752" t="inlineStr">
        <is>
          <t>Englewood Cliffs, N.J., Prentice-Hall [1974]</t>
        </is>
      </c>
      <c r="M752" t="inlineStr">
        <is>
          <t>1974</t>
        </is>
      </c>
      <c r="O752" t="inlineStr">
        <is>
          <t>eng</t>
        </is>
      </c>
      <c r="P752" t="inlineStr">
        <is>
          <t>nju</t>
        </is>
      </c>
      <c r="Q752" t="inlineStr">
        <is>
          <t>Prentice-Hall series in personal, clinical, and social psychology</t>
        </is>
      </c>
      <c r="R752" t="inlineStr">
        <is>
          <t xml:space="preserve">RC </t>
        </is>
      </c>
      <c r="S752" t="n">
        <v>1</v>
      </c>
      <c r="T752" t="n">
        <v>1</v>
      </c>
      <c r="U752" t="inlineStr">
        <is>
          <t>2002-12-05</t>
        </is>
      </c>
      <c r="V752" t="inlineStr">
        <is>
          <t>2002-12-05</t>
        </is>
      </c>
      <c r="W752" t="inlineStr">
        <is>
          <t>1997-08-12</t>
        </is>
      </c>
      <c r="X752" t="inlineStr">
        <is>
          <t>1997-08-12</t>
        </is>
      </c>
      <c r="Y752" t="n">
        <v>685</v>
      </c>
      <c r="Z752" t="n">
        <v>537</v>
      </c>
      <c r="AA752" t="n">
        <v>553</v>
      </c>
      <c r="AB752" t="n">
        <v>5</v>
      </c>
      <c r="AC752" t="n">
        <v>5</v>
      </c>
      <c r="AD752" t="n">
        <v>24</v>
      </c>
      <c r="AE752" t="n">
        <v>26</v>
      </c>
      <c r="AF752" t="n">
        <v>8</v>
      </c>
      <c r="AG752" t="n">
        <v>9</v>
      </c>
      <c r="AH752" t="n">
        <v>3</v>
      </c>
      <c r="AI752" t="n">
        <v>4</v>
      </c>
      <c r="AJ752" t="n">
        <v>15</v>
      </c>
      <c r="AK752" t="n">
        <v>15</v>
      </c>
      <c r="AL752" t="n">
        <v>4</v>
      </c>
      <c r="AM752" t="n">
        <v>4</v>
      </c>
      <c r="AN752" t="n">
        <v>0</v>
      </c>
      <c r="AO752" t="n">
        <v>0</v>
      </c>
      <c r="AP752" t="inlineStr">
        <is>
          <t>No</t>
        </is>
      </c>
      <c r="AQ752" t="inlineStr">
        <is>
          <t>Yes</t>
        </is>
      </c>
      <c r="AR752">
        <f>HYPERLINK("http://catalog.hathitrust.org/Record/001578215","HathiTrust Record")</f>
        <v/>
      </c>
      <c r="AS752">
        <f>HYPERLINK("https://creighton-primo.hosted.exlibrisgroup.com/primo-explore/search?tab=default_tab&amp;search_scope=EVERYTHING&amp;vid=01CRU&amp;lang=en_US&amp;offset=0&amp;query=any,contains,991003281159702656","Catalog Record")</f>
        <v/>
      </c>
      <c r="AT752">
        <f>HYPERLINK("http://www.worldcat.org/oclc/803754","WorldCat Record")</f>
        <v/>
      </c>
      <c r="AU752" t="inlineStr">
        <is>
          <t>1617037:eng</t>
        </is>
      </c>
      <c r="AV752" t="inlineStr">
        <is>
          <t>803754</t>
        </is>
      </c>
      <c r="AW752" t="inlineStr">
        <is>
          <t>991003281159702656</t>
        </is>
      </c>
      <c r="AX752" t="inlineStr">
        <is>
          <t>991003281159702656</t>
        </is>
      </c>
      <c r="AY752" t="inlineStr">
        <is>
          <t>2269040440002656</t>
        </is>
      </c>
      <c r="AZ752" t="inlineStr">
        <is>
          <t>BOOK</t>
        </is>
      </c>
      <c r="BB752" t="inlineStr">
        <is>
          <t>9780135860816</t>
        </is>
      </c>
      <c r="BC752" t="inlineStr">
        <is>
          <t>32285003091849</t>
        </is>
      </c>
      <c r="BD752" t="inlineStr">
        <is>
          <t>893258257</t>
        </is>
      </c>
    </row>
    <row r="753">
      <c r="A753" t="inlineStr">
        <is>
          <t>No</t>
        </is>
      </c>
      <c r="B753" t="inlineStr">
        <is>
          <t>RC488 .S5</t>
        </is>
      </c>
      <c r="C753" t="inlineStr">
        <is>
          <t>0                      RC 0488000S  5</t>
        </is>
      </c>
      <c r="D753" t="inlineStr">
        <is>
          <t>Methods of group psychotherapy and encounter : a tradition of innovation / Jerrold Lee Shapiro.</t>
        </is>
      </c>
      <c r="F753" t="inlineStr">
        <is>
          <t>No</t>
        </is>
      </c>
      <c r="G753" t="inlineStr">
        <is>
          <t>1</t>
        </is>
      </c>
      <c r="H753" t="inlineStr">
        <is>
          <t>No</t>
        </is>
      </c>
      <c r="I753" t="inlineStr">
        <is>
          <t>No</t>
        </is>
      </c>
      <c r="J753" t="inlineStr">
        <is>
          <t>0</t>
        </is>
      </c>
      <c r="K753" t="inlineStr">
        <is>
          <t>Shapiro, Jerrold Lee.</t>
        </is>
      </c>
      <c r="L753" t="inlineStr">
        <is>
          <t>Itasca, Ill. : F.E. Peacock Publ., c1978.</t>
        </is>
      </c>
      <c r="M753" t="inlineStr">
        <is>
          <t>1978</t>
        </is>
      </c>
      <c r="O753" t="inlineStr">
        <is>
          <t>eng</t>
        </is>
      </c>
      <c r="P753" t="inlineStr">
        <is>
          <t>ilu</t>
        </is>
      </c>
      <c r="R753" t="inlineStr">
        <is>
          <t xml:space="preserve">RC </t>
        </is>
      </c>
      <c r="S753" t="n">
        <v>1</v>
      </c>
      <c r="T753" t="n">
        <v>1</v>
      </c>
      <c r="U753" t="inlineStr">
        <is>
          <t>1992-01-21</t>
        </is>
      </c>
      <c r="V753" t="inlineStr">
        <is>
          <t>1992-01-21</t>
        </is>
      </c>
      <c r="W753" t="inlineStr">
        <is>
          <t>1990-04-17</t>
        </is>
      </c>
      <c r="X753" t="inlineStr">
        <is>
          <t>1990-04-17</t>
        </is>
      </c>
      <c r="Y753" t="n">
        <v>248</v>
      </c>
      <c r="Z753" t="n">
        <v>194</v>
      </c>
      <c r="AA753" t="n">
        <v>196</v>
      </c>
      <c r="AB753" t="n">
        <v>2</v>
      </c>
      <c r="AC753" t="n">
        <v>2</v>
      </c>
      <c r="AD753" t="n">
        <v>9</v>
      </c>
      <c r="AE753" t="n">
        <v>9</v>
      </c>
      <c r="AF753" t="n">
        <v>4</v>
      </c>
      <c r="AG753" t="n">
        <v>4</v>
      </c>
      <c r="AH753" t="n">
        <v>0</v>
      </c>
      <c r="AI753" t="n">
        <v>0</v>
      </c>
      <c r="AJ753" t="n">
        <v>6</v>
      </c>
      <c r="AK753" t="n">
        <v>6</v>
      </c>
      <c r="AL753" t="n">
        <v>1</v>
      </c>
      <c r="AM753" t="n">
        <v>1</v>
      </c>
      <c r="AN753" t="n">
        <v>0</v>
      </c>
      <c r="AO753" t="n">
        <v>0</v>
      </c>
      <c r="AP753" t="inlineStr">
        <is>
          <t>No</t>
        </is>
      </c>
      <c r="AQ753" t="inlineStr">
        <is>
          <t>Yes</t>
        </is>
      </c>
      <c r="AR753">
        <f>HYPERLINK("http://catalog.hathitrust.org/Record/000715300","HathiTrust Record")</f>
        <v/>
      </c>
      <c r="AS753">
        <f>HYPERLINK("https://creighton-primo.hosted.exlibrisgroup.com/primo-explore/search?tab=default_tab&amp;search_scope=EVERYTHING&amp;vid=01CRU&amp;lang=en_US&amp;offset=0&amp;query=any,contains,991004621859702656","Catalog Record")</f>
        <v/>
      </c>
      <c r="AT753">
        <f>HYPERLINK("http://www.worldcat.org/oclc/4302833","WorldCat Record")</f>
        <v/>
      </c>
      <c r="AU753" t="inlineStr">
        <is>
          <t>255553294:eng</t>
        </is>
      </c>
      <c r="AV753" t="inlineStr">
        <is>
          <t>4302833</t>
        </is>
      </c>
      <c r="AW753" t="inlineStr">
        <is>
          <t>991004621859702656</t>
        </is>
      </c>
      <c r="AX753" t="inlineStr">
        <is>
          <t>991004621859702656</t>
        </is>
      </c>
      <c r="AY753" t="inlineStr">
        <is>
          <t>2266049930002656</t>
        </is>
      </c>
      <c r="AZ753" t="inlineStr">
        <is>
          <t>BOOK</t>
        </is>
      </c>
      <c r="BB753" t="inlineStr">
        <is>
          <t>9780875812298</t>
        </is>
      </c>
      <c r="BC753" t="inlineStr">
        <is>
          <t>32285000121532</t>
        </is>
      </c>
      <c r="BD753" t="inlineStr">
        <is>
          <t>893712821</t>
        </is>
      </c>
    </row>
    <row r="754">
      <c r="A754" t="inlineStr">
        <is>
          <t>No</t>
        </is>
      </c>
      <c r="B754" t="inlineStr">
        <is>
          <t>RC488 .S77 1996</t>
        </is>
      </c>
      <c r="C754" t="inlineStr">
        <is>
          <t>0                      RC 0488000S  77          1996</t>
        </is>
      </c>
      <c r="D754" t="inlineStr">
        <is>
          <t>Structured exercises for promoting family and group strengths : a handbook for group leaders, trainers, educators, counselors, and therapists / Ron McManus, Glen Jennings, editors.</t>
        </is>
      </c>
      <c r="F754" t="inlineStr">
        <is>
          <t>No</t>
        </is>
      </c>
      <c r="G754" t="inlineStr">
        <is>
          <t>1</t>
        </is>
      </c>
      <c r="H754" t="inlineStr">
        <is>
          <t>No</t>
        </is>
      </c>
      <c r="I754" t="inlineStr">
        <is>
          <t>No</t>
        </is>
      </c>
      <c r="J754" t="inlineStr">
        <is>
          <t>0</t>
        </is>
      </c>
      <c r="L754" t="inlineStr">
        <is>
          <t>New York : Haworth Press, c1996.</t>
        </is>
      </c>
      <c r="M754" t="inlineStr">
        <is>
          <t>1996</t>
        </is>
      </c>
      <c r="O754" t="inlineStr">
        <is>
          <t>eng</t>
        </is>
      </c>
      <c r="P754" t="inlineStr">
        <is>
          <t>nyu</t>
        </is>
      </c>
      <c r="Q754" t="inlineStr">
        <is>
          <t>Haworth marriage &amp; the family</t>
        </is>
      </c>
      <c r="R754" t="inlineStr">
        <is>
          <t xml:space="preserve">RC </t>
        </is>
      </c>
      <c r="S754" t="n">
        <v>5</v>
      </c>
      <c r="T754" t="n">
        <v>5</v>
      </c>
      <c r="U754" t="inlineStr">
        <is>
          <t>2007-04-10</t>
        </is>
      </c>
      <c r="V754" t="inlineStr">
        <is>
          <t>2007-04-10</t>
        </is>
      </c>
      <c r="W754" t="inlineStr">
        <is>
          <t>1997-04-28</t>
        </is>
      </c>
      <c r="X754" t="inlineStr">
        <is>
          <t>1997-04-28</t>
        </is>
      </c>
      <c r="Y754" t="n">
        <v>181</v>
      </c>
      <c r="Z754" t="n">
        <v>142</v>
      </c>
      <c r="AA754" t="n">
        <v>183</v>
      </c>
      <c r="AB754" t="n">
        <v>2</v>
      </c>
      <c r="AC754" t="n">
        <v>2</v>
      </c>
      <c r="AD754" t="n">
        <v>11</v>
      </c>
      <c r="AE754" t="n">
        <v>11</v>
      </c>
      <c r="AF754" t="n">
        <v>6</v>
      </c>
      <c r="AG754" t="n">
        <v>6</v>
      </c>
      <c r="AH754" t="n">
        <v>1</v>
      </c>
      <c r="AI754" t="n">
        <v>1</v>
      </c>
      <c r="AJ754" t="n">
        <v>5</v>
      </c>
      <c r="AK754" t="n">
        <v>5</v>
      </c>
      <c r="AL754" t="n">
        <v>1</v>
      </c>
      <c r="AM754" t="n">
        <v>1</v>
      </c>
      <c r="AN754" t="n">
        <v>0</v>
      </c>
      <c r="AO754" t="n">
        <v>0</v>
      </c>
      <c r="AP754" t="inlineStr">
        <is>
          <t>No</t>
        </is>
      </c>
      <c r="AQ754" t="inlineStr">
        <is>
          <t>Yes</t>
        </is>
      </c>
      <c r="AR754">
        <f>HYPERLINK("http://catalog.hathitrust.org/Record/003043223","HathiTrust Record")</f>
        <v/>
      </c>
      <c r="AS754">
        <f>HYPERLINK("https://creighton-primo.hosted.exlibrisgroup.com/primo-explore/search?tab=default_tab&amp;search_scope=EVERYTHING&amp;vid=01CRU&amp;lang=en_US&amp;offset=0&amp;query=any,contains,991002508079702656","Catalog Record")</f>
        <v/>
      </c>
      <c r="AT754">
        <f>HYPERLINK("http://www.worldcat.org/oclc/32625073","WorldCat Record")</f>
        <v/>
      </c>
      <c r="AU754" t="inlineStr">
        <is>
          <t>960922157:eng</t>
        </is>
      </c>
      <c r="AV754" t="inlineStr">
        <is>
          <t>32625073</t>
        </is>
      </c>
      <c r="AW754" t="inlineStr">
        <is>
          <t>991002508079702656</t>
        </is>
      </c>
      <c r="AX754" t="inlineStr">
        <is>
          <t>991002508079702656</t>
        </is>
      </c>
      <c r="AY754" t="inlineStr">
        <is>
          <t>2269131120002656</t>
        </is>
      </c>
      <c r="AZ754" t="inlineStr">
        <is>
          <t>BOOK</t>
        </is>
      </c>
      <c r="BB754" t="inlineStr">
        <is>
          <t>9781560249788</t>
        </is>
      </c>
      <c r="BC754" t="inlineStr">
        <is>
          <t>32285002541778</t>
        </is>
      </c>
      <c r="BD754" t="inlineStr">
        <is>
          <t>893226933</t>
        </is>
      </c>
    </row>
    <row r="755">
      <c r="A755" t="inlineStr">
        <is>
          <t>No</t>
        </is>
      </c>
      <c r="B755" t="inlineStr">
        <is>
          <t>RC488 .W46 1964</t>
        </is>
      </c>
      <c r="C755" t="inlineStr">
        <is>
          <t>0                      RC 0488000W  46          1964</t>
        </is>
      </c>
      <c r="D755" t="inlineStr">
        <is>
          <t>Psychotherapy through the group process [by] Dorothy Stock Whitaker &amp; Morton A. Lieberman.</t>
        </is>
      </c>
      <c r="F755" t="inlineStr">
        <is>
          <t>No</t>
        </is>
      </c>
      <c r="G755" t="inlineStr">
        <is>
          <t>1</t>
        </is>
      </c>
      <c r="H755" t="inlineStr">
        <is>
          <t>No</t>
        </is>
      </c>
      <c r="I755" t="inlineStr">
        <is>
          <t>No</t>
        </is>
      </c>
      <c r="J755" t="inlineStr">
        <is>
          <t>0</t>
        </is>
      </c>
      <c r="K755" t="inlineStr">
        <is>
          <t>Whitaker, Dorothy Stock, 1925-</t>
        </is>
      </c>
      <c r="L755" t="inlineStr">
        <is>
          <t>New York, Atherton Press, 1964.</t>
        </is>
      </c>
      <c r="M755" t="inlineStr">
        <is>
          <t>1964</t>
        </is>
      </c>
      <c r="O755" t="inlineStr">
        <is>
          <t>eng</t>
        </is>
      </c>
      <c r="P755" t="inlineStr">
        <is>
          <t>nyu</t>
        </is>
      </c>
      <c r="Q755" t="inlineStr">
        <is>
          <t>The Atherton Press behavioral science series</t>
        </is>
      </c>
      <c r="R755" t="inlineStr">
        <is>
          <t xml:space="preserve">RC </t>
        </is>
      </c>
      <c r="S755" t="n">
        <v>1</v>
      </c>
      <c r="T755" t="n">
        <v>1</v>
      </c>
      <c r="U755" t="inlineStr">
        <is>
          <t>2001-02-26</t>
        </is>
      </c>
      <c r="V755" t="inlineStr">
        <is>
          <t>2001-02-26</t>
        </is>
      </c>
      <c r="W755" t="inlineStr">
        <is>
          <t>1997-08-12</t>
        </is>
      </c>
      <c r="X755" t="inlineStr">
        <is>
          <t>1997-08-12</t>
        </is>
      </c>
      <c r="Y755" t="n">
        <v>510</v>
      </c>
      <c r="Z755" t="n">
        <v>447</v>
      </c>
      <c r="AA755" t="n">
        <v>500</v>
      </c>
      <c r="AB755" t="n">
        <v>4</v>
      </c>
      <c r="AC755" t="n">
        <v>4</v>
      </c>
      <c r="AD755" t="n">
        <v>19</v>
      </c>
      <c r="AE755" t="n">
        <v>19</v>
      </c>
      <c r="AF755" t="n">
        <v>3</v>
      </c>
      <c r="AG755" t="n">
        <v>3</v>
      </c>
      <c r="AH755" t="n">
        <v>6</v>
      </c>
      <c r="AI755" t="n">
        <v>6</v>
      </c>
      <c r="AJ755" t="n">
        <v>12</v>
      </c>
      <c r="AK755" t="n">
        <v>12</v>
      </c>
      <c r="AL755" t="n">
        <v>2</v>
      </c>
      <c r="AM755" t="n">
        <v>2</v>
      </c>
      <c r="AN755" t="n">
        <v>0</v>
      </c>
      <c r="AO755" t="n">
        <v>0</v>
      </c>
      <c r="AP755" t="inlineStr">
        <is>
          <t>No</t>
        </is>
      </c>
      <c r="AQ755" t="inlineStr">
        <is>
          <t>Yes</t>
        </is>
      </c>
      <c r="AR755">
        <f>HYPERLINK("http://catalog.hathitrust.org/Record/001564682","HathiTrust Record")</f>
        <v/>
      </c>
      <c r="AS755">
        <f>HYPERLINK("https://creighton-primo.hosted.exlibrisgroup.com/primo-explore/search?tab=default_tab&amp;search_scope=EVERYTHING&amp;vid=01CRU&amp;lang=en_US&amp;offset=0&amp;query=any,contains,991005265529702656","Catalog Record")</f>
        <v/>
      </c>
      <c r="AT755">
        <f>HYPERLINK("http://www.worldcat.org/oclc/588084","WorldCat Record")</f>
        <v/>
      </c>
      <c r="AU755" t="inlineStr">
        <is>
          <t>1759984:eng</t>
        </is>
      </c>
      <c r="AV755" t="inlineStr">
        <is>
          <t>588084</t>
        </is>
      </c>
      <c r="AW755" t="inlineStr">
        <is>
          <t>991005265529702656</t>
        </is>
      </c>
      <c r="AX755" t="inlineStr">
        <is>
          <t>991005265529702656</t>
        </is>
      </c>
      <c r="AY755" t="inlineStr">
        <is>
          <t>2270073770002656</t>
        </is>
      </c>
      <c r="AZ755" t="inlineStr">
        <is>
          <t>BOOK</t>
        </is>
      </c>
      <c r="BC755" t="inlineStr">
        <is>
          <t>32285003091856</t>
        </is>
      </c>
      <c r="BD755" t="inlineStr">
        <is>
          <t>893688861</t>
        </is>
      </c>
    </row>
    <row r="756">
      <c r="A756" t="inlineStr">
        <is>
          <t>No</t>
        </is>
      </c>
      <c r="B756" t="inlineStr">
        <is>
          <t>RC488 .Y3 1975</t>
        </is>
      </c>
      <c r="C756" t="inlineStr">
        <is>
          <t>0                      RC 0488000Y  3           1975</t>
        </is>
      </c>
      <c r="D756" t="inlineStr">
        <is>
          <t>The theory and practice of group psychotherapy / Irvin D. Yalom.</t>
        </is>
      </c>
      <c r="F756" t="inlineStr">
        <is>
          <t>No</t>
        </is>
      </c>
      <c r="G756" t="inlineStr">
        <is>
          <t>1</t>
        </is>
      </c>
      <c r="H756" t="inlineStr">
        <is>
          <t>No</t>
        </is>
      </c>
      <c r="I756" t="inlineStr">
        <is>
          <t>Yes</t>
        </is>
      </c>
      <c r="J756" t="inlineStr">
        <is>
          <t>0</t>
        </is>
      </c>
      <c r="K756" t="inlineStr">
        <is>
          <t>Yalom, Irvin D., 1931-</t>
        </is>
      </c>
      <c r="L756" t="inlineStr">
        <is>
          <t>New York : Basic Books, [1975]</t>
        </is>
      </c>
      <c r="M756" t="inlineStr">
        <is>
          <t>1975</t>
        </is>
      </c>
      <c r="N756" t="inlineStr">
        <is>
          <t>2d ed.</t>
        </is>
      </c>
      <c r="O756" t="inlineStr">
        <is>
          <t>eng</t>
        </is>
      </c>
      <c r="P756" t="inlineStr">
        <is>
          <t>nyu</t>
        </is>
      </c>
      <c r="R756" t="inlineStr">
        <is>
          <t xml:space="preserve">RC </t>
        </is>
      </c>
      <c r="S756" t="n">
        <v>3</v>
      </c>
      <c r="T756" t="n">
        <v>3</v>
      </c>
      <c r="U756" t="inlineStr">
        <is>
          <t>1995-02-06</t>
        </is>
      </c>
      <c r="V756" t="inlineStr">
        <is>
          <t>1995-02-06</t>
        </is>
      </c>
      <c r="W756" t="inlineStr">
        <is>
          <t>1992-02-21</t>
        </is>
      </c>
      <c r="X756" t="inlineStr">
        <is>
          <t>1992-02-21</t>
        </is>
      </c>
      <c r="Y756" t="n">
        <v>693</v>
      </c>
      <c r="Z756" t="n">
        <v>551</v>
      </c>
      <c r="AA756" t="n">
        <v>1960</v>
      </c>
      <c r="AB756" t="n">
        <v>6</v>
      </c>
      <c r="AC756" t="n">
        <v>16</v>
      </c>
      <c r="AD756" t="n">
        <v>17</v>
      </c>
      <c r="AE756" t="n">
        <v>55</v>
      </c>
      <c r="AF756" t="n">
        <v>7</v>
      </c>
      <c r="AG756" t="n">
        <v>24</v>
      </c>
      <c r="AH756" t="n">
        <v>1</v>
      </c>
      <c r="AI756" t="n">
        <v>9</v>
      </c>
      <c r="AJ756" t="n">
        <v>6</v>
      </c>
      <c r="AK756" t="n">
        <v>22</v>
      </c>
      <c r="AL756" t="n">
        <v>5</v>
      </c>
      <c r="AM756" t="n">
        <v>11</v>
      </c>
      <c r="AN756" t="n">
        <v>0</v>
      </c>
      <c r="AO756" t="n">
        <v>0</v>
      </c>
      <c r="AP756" t="inlineStr">
        <is>
          <t>No</t>
        </is>
      </c>
      <c r="AQ756" t="inlineStr">
        <is>
          <t>Yes</t>
        </is>
      </c>
      <c r="AR756">
        <f>HYPERLINK("http://catalog.hathitrust.org/Record/000017825","HathiTrust Record")</f>
        <v/>
      </c>
      <c r="AS756">
        <f>HYPERLINK("https://creighton-primo.hosted.exlibrisgroup.com/primo-explore/search?tab=default_tab&amp;search_scope=EVERYTHING&amp;vid=01CRU&amp;lang=en_US&amp;offset=0&amp;query=any,contains,991005244529702656","Catalog Record")</f>
        <v/>
      </c>
      <c r="AT756">
        <f>HYPERLINK("http://www.worldcat.org/oclc/1611222","WorldCat Record")</f>
        <v/>
      </c>
      <c r="AU756" t="inlineStr">
        <is>
          <t>587051:eng</t>
        </is>
      </c>
      <c r="AV756" t="inlineStr">
        <is>
          <t>1611222</t>
        </is>
      </c>
      <c r="AW756" t="inlineStr">
        <is>
          <t>991005244529702656</t>
        </is>
      </c>
      <c r="AX756" t="inlineStr">
        <is>
          <t>991005244529702656</t>
        </is>
      </c>
      <c r="AY756" t="inlineStr">
        <is>
          <t>2268212860002656</t>
        </is>
      </c>
      <c r="AZ756" t="inlineStr">
        <is>
          <t>BOOK</t>
        </is>
      </c>
      <c r="BB756" t="inlineStr">
        <is>
          <t>9780465084463</t>
        </is>
      </c>
      <c r="BC756" t="inlineStr">
        <is>
          <t>32285000972801</t>
        </is>
      </c>
      <c r="BD756" t="inlineStr">
        <is>
          <t>893801991</t>
        </is>
      </c>
    </row>
    <row r="757">
      <c r="A757" t="inlineStr">
        <is>
          <t>No</t>
        </is>
      </c>
      <c r="B757" t="inlineStr">
        <is>
          <t>RC488.5 .A24</t>
        </is>
      </c>
      <c r="C757" t="inlineStr">
        <is>
          <t>0                      RC 0488500A  24</t>
        </is>
      </c>
      <c r="D757" t="inlineStr">
        <is>
          <t>Therapy for couples / Billie S. Ables, in collaboration with Jeffrey M. Brandsma.</t>
        </is>
      </c>
      <c r="F757" t="inlineStr">
        <is>
          <t>No</t>
        </is>
      </c>
      <c r="G757" t="inlineStr">
        <is>
          <t>1</t>
        </is>
      </c>
      <c r="H757" t="inlineStr">
        <is>
          <t>No</t>
        </is>
      </c>
      <c r="I757" t="inlineStr">
        <is>
          <t>No</t>
        </is>
      </c>
      <c r="J757" t="inlineStr">
        <is>
          <t>0</t>
        </is>
      </c>
      <c r="K757" t="inlineStr">
        <is>
          <t>Ables, Billie S.</t>
        </is>
      </c>
      <c r="L757" t="inlineStr">
        <is>
          <t>San Francisco : Jossey-Bass, 1977.</t>
        </is>
      </c>
      <c r="M757" t="inlineStr">
        <is>
          <t>1977</t>
        </is>
      </c>
      <c r="N757" t="inlineStr">
        <is>
          <t>1st ed.</t>
        </is>
      </c>
      <c r="O757" t="inlineStr">
        <is>
          <t>eng</t>
        </is>
      </c>
      <c r="P757" t="inlineStr">
        <is>
          <t>cau</t>
        </is>
      </c>
      <c r="Q757" t="inlineStr">
        <is>
          <t>The Jossey-Bass behavioral science series</t>
        </is>
      </c>
      <c r="R757" t="inlineStr">
        <is>
          <t xml:space="preserve">RC </t>
        </is>
      </c>
      <c r="S757" t="n">
        <v>2</v>
      </c>
      <c r="T757" t="n">
        <v>2</v>
      </c>
      <c r="U757" t="inlineStr">
        <is>
          <t>1997-05-27</t>
        </is>
      </c>
      <c r="V757" t="inlineStr">
        <is>
          <t>1997-05-27</t>
        </is>
      </c>
      <c r="W757" t="inlineStr">
        <is>
          <t>1995-05-16</t>
        </is>
      </c>
      <c r="X757" t="inlineStr">
        <is>
          <t>1995-05-16</t>
        </is>
      </c>
      <c r="Y757" t="n">
        <v>591</v>
      </c>
      <c r="Z757" t="n">
        <v>493</v>
      </c>
      <c r="AA757" t="n">
        <v>523</v>
      </c>
      <c r="AB757" t="n">
        <v>3</v>
      </c>
      <c r="AC757" t="n">
        <v>3</v>
      </c>
      <c r="AD757" t="n">
        <v>22</v>
      </c>
      <c r="AE757" t="n">
        <v>27</v>
      </c>
      <c r="AF757" t="n">
        <v>9</v>
      </c>
      <c r="AG757" t="n">
        <v>12</v>
      </c>
      <c r="AH757" t="n">
        <v>3</v>
      </c>
      <c r="AI757" t="n">
        <v>5</v>
      </c>
      <c r="AJ757" t="n">
        <v>15</v>
      </c>
      <c r="AK757" t="n">
        <v>17</v>
      </c>
      <c r="AL757" t="n">
        <v>2</v>
      </c>
      <c r="AM757" t="n">
        <v>2</v>
      </c>
      <c r="AN757" t="n">
        <v>0</v>
      </c>
      <c r="AO757" t="n">
        <v>0</v>
      </c>
      <c r="AP757" t="inlineStr">
        <is>
          <t>No</t>
        </is>
      </c>
      <c r="AQ757" t="inlineStr">
        <is>
          <t>Yes</t>
        </is>
      </c>
      <c r="AR757">
        <f>HYPERLINK("http://catalog.hathitrust.org/Record/000213181","HathiTrust Record")</f>
        <v/>
      </c>
      <c r="AS757">
        <f>HYPERLINK("https://creighton-primo.hosted.exlibrisgroup.com/primo-explore/search?tab=default_tab&amp;search_scope=EVERYTHING&amp;vid=01CRU&amp;lang=en_US&amp;offset=0&amp;query=any,contains,991004293219702656","Catalog Record")</f>
        <v/>
      </c>
      <c r="AT757">
        <f>HYPERLINK("http://www.worldcat.org/oclc/2954959","WorldCat Record")</f>
        <v/>
      </c>
      <c r="AU757" t="inlineStr">
        <is>
          <t>532566:eng</t>
        </is>
      </c>
      <c r="AV757" t="inlineStr">
        <is>
          <t>2954959</t>
        </is>
      </c>
      <c r="AW757" t="inlineStr">
        <is>
          <t>991004293219702656</t>
        </is>
      </c>
      <c r="AX757" t="inlineStr">
        <is>
          <t>991004293219702656</t>
        </is>
      </c>
      <c r="AY757" t="inlineStr">
        <is>
          <t>2267504800002656</t>
        </is>
      </c>
      <c r="AZ757" t="inlineStr">
        <is>
          <t>BOOK</t>
        </is>
      </c>
      <c r="BB757" t="inlineStr">
        <is>
          <t>9780875893129</t>
        </is>
      </c>
      <c r="BC757" t="inlineStr">
        <is>
          <t>32285002034089</t>
        </is>
      </c>
      <c r="BD757" t="inlineStr">
        <is>
          <t>893423626</t>
        </is>
      </c>
    </row>
    <row r="758">
      <c r="A758" t="inlineStr">
        <is>
          <t>No</t>
        </is>
      </c>
      <c r="B758" t="inlineStr">
        <is>
          <t>RC488.5 .A26 1984</t>
        </is>
      </c>
      <c r="C758" t="inlineStr">
        <is>
          <t>0                      RC 0488500A  26          1984</t>
        </is>
      </c>
      <c r="D758" t="inlineStr">
        <is>
          <t>A theory of family systems / Norman J. Ackerman.</t>
        </is>
      </c>
      <c r="F758" t="inlineStr">
        <is>
          <t>No</t>
        </is>
      </c>
      <c r="G758" t="inlineStr">
        <is>
          <t>1</t>
        </is>
      </c>
      <c r="H758" t="inlineStr">
        <is>
          <t>No</t>
        </is>
      </c>
      <c r="I758" t="inlineStr">
        <is>
          <t>No</t>
        </is>
      </c>
      <c r="J758" t="inlineStr">
        <is>
          <t>0</t>
        </is>
      </c>
      <c r="K758" t="inlineStr">
        <is>
          <t>Ackerman, Norman J.</t>
        </is>
      </c>
      <c r="L758" t="inlineStr">
        <is>
          <t>New York : Gardner Press, c1984.</t>
        </is>
      </c>
      <c r="M758" t="inlineStr">
        <is>
          <t>1984</t>
        </is>
      </c>
      <c r="O758" t="inlineStr">
        <is>
          <t>eng</t>
        </is>
      </c>
      <c r="P758" t="inlineStr">
        <is>
          <t>nyu</t>
        </is>
      </c>
      <c r="R758" t="inlineStr">
        <is>
          <t xml:space="preserve">RC </t>
        </is>
      </c>
      <c r="S758" t="n">
        <v>12</v>
      </c>
      <c r="T758" t="n">
        <v>12</v>
      </c>
      <c r="U758" t="inlineStr">
        <is>
          <t>2001-12-11</t>
        </is>
      </c>
      <c r="V758" t="inlineStr">
        <is>
          <t>2001-12-11</t>
        </is>
      </c>
      <c r="W758" t="inlineStr">
        <is>
          <t>1991-12-23</t>
        </is>
      </c>
      <c r="X758" t="inlineStr">
        <is>
          <t>1991-12-23</t>
        </is>
      </c>
      <c r="Y758" t="n">
        <v>258</v>
      </c>
      <c r="Z758" t="n">
        <v>198</v>
      </c>
      <c r="AA758" t="n">
        <v>205</v>
      </c>
      <c r="AB758" t="n">
        <v>3</v>
      </c>
      <c r="AC758" t="n">
        <v>3</v>
      </c>
      <c r="AD758" t="n">
        <v>8</v>
      </c>
      <c r="AE758" t="n">
        <v>8</v>
      </c>
      <c r="AF758" t="n">
        <v>3</v>
      </c>
      <c r="AG758" t="n">
        <v>3</v>
      </c>
      <c r="AH758" t="n">
        <v>1</v>
      </c>
      <c r="AI758" t="n">
        <v>1</v>
      </c>
      <c r="AJ758" t="n">
        <v>4</v>
      </c>
      <c r="AK758" t="n">
        <v>4</v>
      </c>
      <c r="AL758" t="n">
        <v>2</v>
      </c>
      <c r="AM758" t="n">
        <v>2</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HYPERLINK("https://creighton-primo.hosted.exlibrisgroup.com/primo-explore/search?tab=default_tab&amp;search_scope=EVERYTHING&amp;vid=01CRU&amp;lang=en_US&amp;offset=0&amp;query=any,contains,991000196989702656","Catalog Record")</f>
        <v/>
      </c>
      <c r="AT758">
        <f>HYPERLINK("http://www.worldcat.org/oclc/9441976","WorldCat Record")</f>
        <v/>
      </c>
      <c r="AU758" t="inlineStr">
        <is>
          <t>21023315:eng</t>
        </is>
      </c>
      <c r="AV758" t="inlineStr">
        <is>
          <t>9441976</t>
        </is>
      </c>
      <c r="AW758" t="inlineStr">
        <is>
          <t>991000196989702656</t>
        </is>
      </c>
      <c r="AX758" t="inlineStr">
        <is>
          <t>991000196989702656</t>
        </is>
      </c>
      <c r="AY758" t="inlineStr">
        <is>
          <t>2265063200002656</t>
        </is>
      </c>
      <c r="AZ758" t="inlineStr">
        <is>
          <t>BOOK</t>
        </is>
      </c>
      <c r="BB758" t="inlineStr">
        <is>
          <t>9780898760323</t>
        </is>
      </c>
      <c r="BC758" t="inlineStr">
        <is>
          <t>32285000880400</t>
        </is>
      </c>
      <c r="BD758" t="inlineStr">
        <is>
          <t>893333292</t>
        </is>
      </c>
    </row>
    <row r="759">
      <c r="A759" t="inlineStr">
        <is>
          <t>No</t>
        </is>
      </c>
      <c r="B759" t="inlineStr">
        <is>
          <t>RC488.5 .A454 2008</t>
        </is>
      </c>
      <c r="C759" t="inlineStr">
        <is>
          <t>0                      RC 0488500A  454         2008</t>
        </is>
      </c>
      <c r="D759" t="inlineStr">
        <is>
          <t>Transformative family therapy : just families in a just society / Rhea V. Almeida, Ken Dolan-Del Vecchio, Lynn Parker.</t>
        </is>
      </c>
      <c r="F759" t="inlineStr">
        <is>
          <t>No</t>
        </is>
      </c>
      <c r="G759" t="inlineStr">
        <is>
          <t>1</t>
        </is>
      </c>
      <c r="H759" t="inlineStr">
        <is>
          <t>No</t>
        </is>
      </c>
      <c r="I759" t="inlineStr">
        <is>
          <t>No</t>
        </is>
      </c>
      <c r="J759" t="inlineStr">
        <is>
          <t>0</t>
        </is>
      </c>
      <c r="K759" t="inlineStr">
        <is>
          <t>Almeida, Rhea V.</t>
        </is>
      </c>
      <c r="L759" t="inlineStr">
        <is>
          <t>Boston : Pearson/Allyn and Bacon, c2008.</t>
        </is>
      </c>
      <c r="M759" t="inlineStr">
        <is>
          <t>2008</t>
        </is>
      </c>
      <c r="O759" t="inlineStr">
        <is>
          <t>eng</t>
        </is>
      </c>
      <c r="P759" t="inlineStr">
        <is>
          <t>mau</t>
        </is>
      </c>
      <c r="R759" t="inlineStr">
        <is>
          <t xml:space="preserve">RC </t>
        </is>
      </c>
      <c r="S759" t="n">
        <v>3</v>
      </c>
      <c r="T759" t="n">
        <v>3</v>
      </c>
      <c r="U759" t="inlineStr">
        <is>
          <t>2010-04-07</t>
        </is>
      </c>
      <c r="V759" t="inlineStr">
        <is>
          <t>2010-04-07</t>
        </is>
      </c>
      <c r="W759" t="inlineStr">
        <is>
          <t>2007-12-13</t>
        </is>
      </c>
      <c r="X759" t="inlineStr">
        <is>
          <t>2007-12-13</t>
        </is>
      </c>
      <c r="Y759" t="n">
        <v>116</v>
      </c>
      <c r="Z759" t="n">
        <v>76</v>
      </c>
      <c r="AA759" t="n">
        <v>77</v>
      </c>
      <c r="AB759" t="n">
        <v>1</v>
      </c>
      <c r="AC759" t="n">
        <v>1</v>
      </c>
      <c r="AD759" t="n">
        <v>5</v>
      </c>
      <c r="AE759" t="n">
        <v>5</v>
      </c>
      <c r="AF759" t="n">
        <v>2</v>
      </c>
      <c r="AG759" t="n">
        <v>2</v>
      </c>
      <c r="AH759" t="n">
        <v>0</v>
      </c>
      <c r="AI759" t="n">
        <v>0</v>
      </c>
      <c r="AJ759" t="n">
        <v>5</v>
      </c>
      <c r="AK759" t="n">
        <v>5</v>
      </c>
      <c r="AL759" t="n">
        <v>0</v>
      </c>
      <c r="AM759" t="n">
        <v>0</v>
      </c>
      <c r="AN759" t="n">
        <v>0</v>
      </c>
      <c r="AO759" t="n">
        <v>0</v>
      </c>
      <c r="AP759" t="inlineStr">
        <is>
          <t>No</t>
        </is>
      </c>
      <c r="AQ759" t="inlineStr">
        <is>
          <t>Yes</t>
        </is>
      </c>
      <c r="AR759">
        <f>HYPERLINK("http://catalog.hathitrust.org/Record/008513905","HathiTrust Record")</f>
        <v/>
      </c>
      <c r="AS759">
        <f>HYPERLINK("https://creighton-primo.hosted.exlibrisgroup.com/primo-explore/search?tab=default_tab&amp;search_scope=EVERYTHING&amp;vid=01CRU&amp;lang=en_US&amp;offset=0&amp;query=any,contains,991005150609702656","Catalog Record")</f>
        <v/>
      </c>
      <c r="AT759">
        <f>HYPERLINK("http://www.worldcat.org/oclc/85885348","WorldCat Record")</f>
        <v/>
      </c>
      <c r="AU759" t="inlineStr">
        <is>
          <t>197049778:eng</t>
        </is>
      </c>
      <c r="AV759" t="inlineStr">
        <is>
          <t>85885348</t>
        </is>
      </c>
      <c r="AW759" t="inlineStr">
        <is>
          <t>991005150609702656</t>
        </is>
      </c>
      <c r="AX759" t="inlineStr">
        <is>
          <t>991005150609702656</t>
        </is>
      </c>
      <c r="AY759" t="inlineStr">
        <is>
          <t>2262146830002656</t>
        </is>
      </c>
      <c r="AZ759" t="inlineStr">
        <is>
          <t>BOOK</t>
        </is>
      </c>
      <c r="BB759" t="inlineStr">
        <is>
          <t>9780205470082</t>
        </is>
      </c>
      <c r="BC759" t="inlineStr">
        <is>
          <t>32285005372684</t>
        </is>
      </c>
      <c r="BD759" t="inlineStr">
        <is>
          <t>893688680</t>
        </is>
      </c>
    </row>
    <row r="760">
      <c r="A760" t="inlineStr">
        <is>
          <t>No</t>
        </is>
      </c>
      <c r="B760" t="inlineStr">
        <is>
          <t>RC488.5 .A56 1994</t>
        </is>
      </c>
      <c r="C760" t="inlineStr">
        <is>
          <t>0                      RC 0488500A  56          1994</t>
        </is>
      </c>
      <c r="D760" t="inlineStr">
        <is>
          <t>Solving your problems together : family therapy for the whole family / Jane Annunziata, Phyllis Jacobson-Kram ; illustrated by Elizabeth Wolf.</t>
        </is>
      </c>
      <c r="F760" t="inlineStr">
        <is>
          <t>No</t>
        </is>
      </c>
      <c r="G760" t="inlineStr">
        <is>
          <t>1</t>
        </is>
      </c>
      <c r="H760" t="inlineStr">
        <is>
          <t>No</t>
        </is>
      </c>
      <c r="I760" t="inlineStr">
        <is>
          <t>No</t>
        </is>
      </c>
      <c r="J760" t="inlineStr">
        <is>
          <t>0</t>
        </is>
      </c>
      <c r="K760" t="inlineStr">
        <is>
          <t>Annunziata, Jane.</t>
        </is>
      </c>
      <c r="L760" t="inlineStr">
        <is>
          <t>Washington, DC : American Psychological Association, 1994.</t>
        </is>
      </c>
      <c r="M760" t="inlineStr">
        <is>
          <t>1994</t>
        </is>
      </c>
      <c r="O760" t="inlineStr">
        <is>
          <t>eng</t>
        </is>
      </c>
      <c r="P760" t="inlineStr">
        <is>
          <t>dcu</t>
        </is>
      </c>
      <c r="R760" t="inlineStr">
        <is>
          <t xml:space="preserve">RC </t>
        </is>
      </c>
      <c r="S760" t="n">
        <v>5</v>
      </c>
      <c r="T760" t="n">
        <v>5</v>
      </c>
      <c r="U760" t="inlineStr">
        <is>
          <t>1999-02-13</t>
        </is>
      </c>
      <c r="V760" t="inlineStr">
        <is>
          <t>1999-02-13</t>
        </is>
      </c>
      <c r="W760" t="inlineStr">
        <is>
          <t>1995-03-19</t>
        </is>
      </c>
      <c r="X760" t="inlineStr">
        <is>
          <t>1995-03-19</t>
        </is>
      </c>
      <c r="Y760" t="n">
        <v>231</v>
      </c>
      <c r="Z760" t="n">
        <v>198</v>
      </c>
      <c r="AA760" t="n">
        <v>199</v>
      </c>
      <c r="AB760" t="n">
        <v>2</v>
      </c>
      <c r="AC760" t="n">
        <v>2</v>
      </c>
      <c r="AD760" t="n">
        <v>10</v>
      </c>
      <c r="AE760" t="n">
        <v>10</v>
      </c>
      <c r="AF760" t="n">
        <v>3</v>
      </c>
      <c r="AG760" t="n">
        <v>3</v>
      </c>
      <c r="AH760" t="n">
        <v>0</v>
      </c>
      <c r="AI760" t="n">
        <v>0</v>
      </c>
      <c r="AJ760" t="n">
        <v>8</v>
      </c>
      <c r="AK760" t="n">
        <v>8</v>
      </c>
      <c r="AL760" t="n">
        <v>1</v>
      </c>
      <c r="AM760" t="n">
        <v>1</v>
      </c>
      <c r="AN760" t="n">
        <v>0</v>
      </c>
      <c r="AO760" t="n">
        <v>0</v>
      </c>
      <c r="AP760" t="inlineStr">
        <is>
          <t>No</t>
        </is>
      </c>
      <c r="AQ760" t="inlineStr">
        <is>
          <t>No</t>
        </is>
      </c>
      <c r="AS760">
        <f>HYPERLINK("https://creighton-primo.hosted.exlibrisgroup.com/primo-explore/search?tab=default_tab&amp;search_scope=EVERYTHING&amp;vid=01CRU&amp;lang=en_US&amp;offset=0&amp;query=any,contains,991002378349702656","Catalog Record")</f>
        <v/>
      </c>
      <c r="AT760">
        <f>HYPERLINK("http://www.worldcat.org/oclc/30913180","WorldCat Record")</f>
        <v/>
      </c>
      <c r="AU760" t="inlineStr">
        <is>
          <t>1363769924:eng</t>
        </is>
      </c>
      <c r="AV760" t="inlineStr">
        <is>
          <t>30913180</t>
        </is>
      </c>
      <c r="AW760" t="inlineStr">
        <is>
          <t>991002378349702656</t>
        </is>
      </c>
      <c r="AX760" t="inlineStr">
        <is>
          <t>991002378349702656</t>
        </is>
      </c>
      <c r="AY760" t="inlineStr">
        <is>
          <t>2270144380002656</t>
        </is>
      </c>
      <c r="AZ760" t="inlineStr">
        <is>
          <t>BOOK</t>
        </is>
      </c>
      <c r="BB760" t="inlineStr">
        <is>
          <t>9781557982681</t>
        </is>
      </c>
      <c r="BC760" t="inlineStr">
        <is>
          <t>32285002003084</t>
        </is>
      </c>
      <c r="BD760" t="inlineStr">
        <is>
          <t>893440088</t>
        </is>
      </c>
    </row>
    <row r="761">
      <c r="A761" t="inlineStr">
        <is>
          <t>No</t>
        </is>
      </c>
      <c r="B761" t="inlineStr">
        <is>
          <t>RC488.5 .A9 1992</t>
        </is>
      </c>
      <c r="C761" t="inlineStr">
        <is>
          <t>0                      RC 0488500A  9           1992</t>
        </is>
      </c>
      <c r="D761" t="inlineStr">
        <is>
          <t>Family therapy : a systemic-behavioral approach / editor, Joan D. Atwood.</t>
        </is>
      </c>
      <c r="F761" t="inlineStr">
        <is>
          <t>No</t>
        </is>
      </c>
      <c r="G761" t="inlineStr">
        <is>
          <t>1</t>
        </is>
      </c>
      <c r="H761" t="inlineStr">
        <is>
          <t>No</t>
        </is>
      </c>
      <c r="I761" t="inlineStr">
        <is>
          <t>No</t>
        </is>
      </c>
      <c r="J761" t="inlineStr">
        <is>
          <t>0</t>
        </is>
      </c>
      <c r="L761" t="inlineStr">
        <is>
          <t>Chicago : Nelson-Hall, c1992.</t>
        </is>
      </c>
      <c r="M761" t="inlineStr">
        <is>
          <t>1992</t>
        </is>
      </c>
      <c r="O761" t="inlineStr">
        <is>
          <t>eng</t>
        </is>
      </c>
      <c r="P761" t="inlineStr">
        <is>
          <t>ilu</t>
        </is>
      </c>
      <c r="R761" t="inlineStr">
        <is>
          <t xml:space="preserve">RC </t>
        </is>
      </c>
      <c r="S761" t="n">
        <v>20</v>
      </c>
      <c r="T761" t="n">
        <v>20</v>
      </c>
      <c r="U761" t="inlineStr">
        <is>
          <t>2004-03-20</t>
        </is>
      </c>
      <c r="V761" t="inlineStr">
        <is>
          <t>2004-03-20</t>
        </is>
      </c>
      <c r="W761" t="inlineStr">
        <is>
          <t>1995-07-14</t>
        </is>
      </c>
      <c r="X761" t="inlineStr">
        <is>
          <t>1995-07-14</t>
        </is>
      </c>
      <c r="Y761" t="n">
        <v>250</v>
      </c>
      <c r="Z761" t="n">
        <v>223</v>
      </c>
      <c r="AA761" t="n">
        <v>225</v>
      </c>
      <c r="AB761" t="n">
        <v>2</v>
      </c>
      <c r="AC761" t="n">
        <v>2</v>
      </c>
      <c r="AD761" t="n">
        <v>10</v>
      </c>
      <c r="AE761" t="n">
        <v>10</v>
      </c>
      <c r="AF761" t="n">
        <v>3</v>
      </c>
      <c r="AG761" t="n">
        <v>3</v>
      </c>
      <c r="AH761" t="n">
        <v>1</v>
      </c>
      <c r="AI761" t="n">
        <v>1</v>
      </c>
      <c r="AJ761" t="n">
        <v>7</v>
      </c>
      <c r="AK761" t="n">
        <v>7</v>
      </c>
      <c r="AL761" t="n">
        <v>1</v>
      </c>
      <c r="AM761" t="n">
        <v>1</v>
      </c>
      <c r="AN761" t="n">
        <v>0</v>
      </c>
      <c r="AO761" t="n">
        <v>0</v>
      </c>
      <c r="AP761" t="inlineStr">
        <is>
          <t>No</t>
        </is>
      </c>
      <c r="AQ761" t="inlineStr">
        <is>
          <t>Yes</t>
        </is>
      </c>
      <c r="AR761">
        <f>HYPERLINK("http://catalog.hathitrust.org/Record/003164805","HathiTrust Record")</f>
        <v/>
      </c>
      <c r="AS761">
        <f>HYPERLINK("https://creighton-primo.hosted.exlibrisgroup.com/primo-explore/search?tab=default_tab&amp;search_scope=EVERYTHING&amp;vid=01CRU&amp;lang=en_US&amp;offset=0&amp;query=any,contains,991001969369702656","Catalog Record")</f>
        <v/>
      </c>
      <c r="AT761">
        <f>HYPERLINK("http://www.worldcat.org/oclc/24954721","WorldCat Record")</f>
        <v/>
      </c>
      <c r="AU761" t="inlineStr">
        <is>
          <t>796287066:eng</t>
        </is>
      </c>
      <c r="AV761" t="inlineStr">
        <is>
          <t>24954721</t>
        </is>
      </c>
      <c r="AW761" t="inlineStr">
        <is>
          <t>991001969369702656</t>
        </is>
      </c>
      <c r="AX761" t="inlineStr">
        <is>
          <t>991001969369702656</t>
        </is>
      </c>
      <c r="AY761" t="inlineStr">
        <is>
          <t>2271606590002656</t>
        </is>
      </c>
      <c r="AZ761" t="inlineStr">
        <is>
          <t>BOOK</t>
        </is>
      </c>
      <c r="BB761" t="inlineStr">
        <is>
          <t>9780830413003</t>
        </is>
      </c>
      <c r="BC761" t="inlineStr">
        <is>
          <t>32285002054418</t>
        </is>
      </c>
      <c r="BD761" t="inlineStr">
        <is>
          <t>893346955</t>
        </is>
      </c>
    </row>
    <row r="762">
      <c r="A762" t="inlineStr">
        <is>
          <t>No</t>
        </is>
      </c>
      <c r="B762" t="inlineStr">
        <is>
          <t>RC488.5 .B35</t>
        </is>
      </c>
      <c r="C762" t="inlineStr">
        <is>
          <t>0                      RC 0488500B  35</t>
        </is>
      </c>
      <c r="D762" t="inlineStr">
        <is>
          <t>The theory and technique of family therapy / by Charles P. Barnard and Ramon Garrido Corrales.</t>
        </is>
      </c>
      <c r="F762" t="inlineStr">
        <is>
          <t>No</t>
        </is>
      </c>
      <c r="G762" t="inlineStr">
        <is>
          <t>1</t>
        </is>
      </c>
      <c r="H762" t="inlineStr">
        <is>
          <t>Yes</t>
        </is>
      </c>
      <c r="I762" t="inlineStr">
        <is>
          <t>No</t>
        </is>
      </c>
      <c r="J762" t="inlineStr">
        <is>
          <t>0</t>
        </is>
      </c>
      <c r="K762" t="inlineStr">
        <is>
          <t>Barnard, Charles P.</t>
        </is>
      </c>
      <c r="L762" t="inlineStr">
        <is>
          <t>Springfield, Ill. : Thomas, c1979.</t>
        </is>
      </c>
      <c r="M762" t="inlineStr">
        <is>
          <t>1979</t>
        </is>
      </c>
      <c r="O762" t="inlineStr">
        <is>
          <t>eng</t>
        </is>
      </c>
      <c r="P762" t="inlineStr">
        <is>
          <t>ilu</t>
        </is>
      </c>
      <c r="R762" t="inlineStr">
        <is>
          <t xml:space="preserve">RC </t>
        </is>
      </c>
      <c r="S762" t="n">
        <v>3</v>
      </c>
      <c r="T762" t="n">
        <v>7</v>
      </c>
      <c r="U762" t="inlineStr">
        <is>
          <t>1996-09-25</t>
        </is>
      </c>
      <c r="V762" t="inlineStr">
        <is>
          <t>1996-09-25</t>
        </is>
      </c>
      <c r="W762" t="inlineStr">
        <is>
          <t>1993-03-23</t>
        </is>
      </c>
      <c r="X762" t="inlineStr">
        <is>
          <t>1993-03-23</t>
        </is>
      </c>
      <c r="Y762" t="n">
        <v>369</v>
      </c>
      <c r="Z762" t="n">
        <v>324</v>
      </c>
      <c r="AA762" t="n">
        <v>331</v>
      </c>
      <c r="AB762" t="n">
        <v>5</v>
      </c>
      <c r="AC762" t="n">
        <v>5</v>
      </c>
      <c r="AD762" t="n">
        <v>19</v>
      </c>
      <c r="AE762" t="n">
        <v>19</v>
      </c>
      <c r="AF762" t="n">
        <v>7</v>
      </c>
      <c r="AG762" t="n">
        <v>7</v>
      </c>
      <c r="AH762" t="n">
        <v>4</v>
      </c>
      <c r="AI762" t="n">
        <v>4</v>
      </c>
      <c r="AJ762" t="n">
        <v>12</v>
      </c>
      <c r="AK762" t="n">
        <v>12</v>
      </c>
      <c r="AL762" t="n">
        <v>2</v>
      </c>
      <c r="AM762" t="n">
        <v>2</v>
      </c>
      <c r="AN762" t="n">
        <v>0</v>
      </c>
      <c r="AO762" t="n">
        <v>0</v>
      </c>
      <c r="AP762" t="inlineStr">
        <is>
          <t>No</t>
        </is>
      </c>
      <c r="AQ762" t="inlineStr">
        <is>
          <t>Yes</t>
        </is>
      </c>
      <c r="AR762">
        <f>HYPERLINK("http://catalog.hathitrust.org/Record/000697139","HathiTrust Record")</f>
        <v/>
      </c>
      <c r="AS762">
        <f>HYPERLINK("https://creighton-primo.hosted.exlibrisgroup.com/primo-explore/search?tab=default_tab&amp;search_scope=EVERYTHING&amp;vid=01CRU&amp;lang=en_US&amp;offset=0&amp;query=any,contains,991001786969702656","Catalog Record")</f>
        <v/>
      </c>
      <c r="AT762">
        <f>HYPERLINK("http://www.worldcat.org/oclc/4496127","WorldCat Record")</f>
        <v/>
      </c>
      <c r="AU762" t="inlineStr">
        <is>
          <t>471973:eng</t>
        </is>
      </c>
      <c r="AV762" t="inlineStr">
        <is>
          <t>4496127</t>
        </is>
      </c>
      <c r="AW762" t="inlineStr">
        <is>
          <t>991001786969702656</t>
        </is>
      </c>
      <c r="AX762" t="inlineStr">
        <is>
          <t>991001786969702656</t>
        </is>
      </c>
      <c r="AY762" t="inlineStr">
        <is>
          <t>2268724080002656</t>
        </is>
      </c>
      <c r="AZ762" t="inlineStr">
        <is>
          <t>BOOK</t>
        </is>
      </c>
      <c r="BB762" t="inlineStr">
        <is>
          <t>9780398038595</t>
        </is>
      </c>
      <c r="BC762" t="inlineStr">
        <is>
          <t>32285001606721</t>
        </is>
      </c>
      <c r="BD762" t="inlineStr">
        <is>
          <t>893529226</t>
        </is>
      </c>
    </row>
    <row r="763">
      <c r="A763" t="inlineStr">
        <is>
          <t>No</t>
        </is>
      </c>
      <c r="B763" t="inlineStr">
        <is>
          <t>RC488.5 .B37 1990</t>
        </is>
      </c>
      <c r="C763" t="inlineStr">
        <is>
          <t>0                      RC 0488500B  37          1990</t>
        </is>
      </c>
      <c r="D763" t="inlineStr">
        <is>
          <t>Cognitive-behavioral marital therapy / by Donald H. Baucom and Norman Epstein.</t>
        </is>
      </c>
      <c r="F763" t="inlineStr">
        <is>
          <t>No</t>
        </is>
      </c>
      <c r="G763" t="inlineStr">
        <is>
          <t>1</t>
        </is>
      </c>
      <c r="H763" t="inlineStr">
        <is>
          <t>No</t>
        </is>
      </c>
      <c r="I763" t="inlineStr">
        <is>
          <t>No</t>
        </is>
      </c>
      <c r="J763" t="inlineStr">
        <is>
          <t>0</t>
        </is>
      </c>
      <c r="K763" t="inlineStr">
        <is>
          <t>Baucom, Donald H.</t>
        </is>
      </c>
      <c r="L763" t="inlineStr">
        <is>
          <t>New York : Brunner/Mazel, 1990.</t>
        </is>
      </c>
      <c r="M763" t="inlineStr">
        <is>
          <t>1990</t>
        </is>
      </c>
      <c r="O763" t="inlineStr">
        <is>
          <t>eng</t>
        </is>
      </c>
      <c r="P763" t="inlineStr">
        <is>
          <t>nyu</t>
        </is>
      </c>
      <c r="Q763" t="inlineStr">
        <is>
          <t>Brunner/Mazel cognitive therapy series</t>
        </is>
      </c>
      <c r="R763" t="inlineStr">
        <is>
          <t xml:space="preserve">RC </t>
        </is>
      </c>
      <c r="S763" t="n">
        <v>3</v>
      </c>
      <c r="T763" t="n">
        <v>3</v>
      </c>
      <c r="U763" t="inlineStr">
        <is>
          <t>1994-08-15</t>
        </is>
      </c>
      <c r="V763" t="inlineStr">
        <is>
          <t>1994-08-15</t>
        </is>
      </c>
      <c r="W763" t="inlineStr">
        <is>
          <t>1992-04-02</t>
        </is>
      </c>
      <c r="X763" t="inlineStr">
        <is>
          <t>1992-04-02</t>
        </is>
      </c>
      <c r="Y763" t="n">
        <v>315</v>
      </c>
      <c r="Z763" t="n">
        <v>256</v>
      </c>
      <c r="AA763" t="n">
        <v>285</v>
      </c>
      <c r="AB763" t="n">
        <v>5</v>
      </c>
      <c r="AC763" t="n">
        <v>5</v>
      </c>
      <c r="AD763" t="n">
        <v>18</v>
      </c>
      <c r="AE763" t="n">
        <v>18</v>
      </c>
      <c r="AF763" t="n">
        <v>3</v>
      </c>
      <c r="AG763" t="n">
        <v>3</v>
      </c>
      <c r="AH763" t="n">
        <v>4</v>
      </c>
      <c r="AI763" t="n">
        <v>4</v>
      </c>
      <c r="AJ763" t="n">
        <v>11</v>
      </c>
      <c r="AK763" t="n">
        <v>11</v>
      </c>
      <c r="AL763" t="n">
        <v>4</v>
      </c>
      <c r="AM763" t="n">
        <v>4</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HYPERLINK("https://creighton-primo.hosted.exlibrisgroup.com/primo-explore/search?tab=default_tab&amp;search_scope=EVERYTHING&amp;vid=01CRU&amp;lang=en_US&amp;offset=0&amp;query=any,contains,991001477179702656","Catalog Record")</f>
        <v/>
      </c>
      <c r="AT763">
        <f>HYPERLINK("http://www.worldcat.org/oclc/19589044","WorldCat Record")</f>
        <v/>
      </c>
      <c r="AU763" t="inlineStr">
        <is>
          <t>2854058:eng</t>
        </is>
      </c>
      <c r="AV763" t="inlineStr">
        <is>
          <t>19589044</t>
        </is>
      </c>
      <c r="AW763" t="inlineStr">
        <is>
          <t>991001477179702656</t>
        </is>
      </c>
      <c r="AX763" t="inlineStr">
        <is>
          <t>991001477179702656</t>
        </is>
      </c>
      <c r="AY763" t="inlineStr">
        <is>
          <t>2264003200002656</t>
        </is>
      </c>
      <c r="AZ763" t="inlineStr">
        <is>
          <t>BOOK</t>
        </is>
      </c>
      <c r="BB763" t="inlineStr">
        <is>
          <t>9780876305584</t>
        </is>
      </c>
      <c r="BC763" t="inlineStr">
        <is>
          <t>32285001008266</t>
        </is>
      </c>
      <c r="BD763" t="inlineStr">
        <is>
          <t>893785127</t>
        </is>
      </c>
    </row>
    <row r="764">
      <c r="A764" t="inlineStr">
        <is>
          <t>No</t>
        </is>
      </c>
      <c r="B764" t="inlineStr">
        <is>
          <t>RC488.5 .B3798 1990</t>
        </is>
      </c>
      <c r="C764" t="inlineStr">
        <is>
          <t>0                      RC 0488500B  3798        1990</t>
        </is>
      </c>
      <c r="D764" t="inlineStr">
        <is>
          <t>Successful families : assessment and intervention / W. Robert Beavers, Robert B. Hampson.</t>
        </is>
      </c>
      <c r="F764" t="inlineStr">
        <is>
          <t>No</t>
        </is>
      </c>
      <c r="G764" t="inlineStr">
        <is>
          <t>1</t>
        </is>
      </c>
      <c r="H764" t="inlineStr">
        <is>
          <t>No</t>
        </is>
      </c>
      <c r="I764" t="inlineStr">
        <is>
          <t>No</t>
        </is>
      </c>
      <c r="J764" t="inlineStr">
        <is>
          <t>0</t>
        </is>
      </c>
      <c r="K764" t="inlineStr">
        <is>
          <t>Beavers, W. Robert, 1929-</t>
        </is>
      </c>
      <c r="L764" t="inlineStr">
        <is>
          <t>New York : Norton, c1990.</t>
        </is>
      </c>
      <c r="M764" t="inlineStr">
        <is>
          <t>1990</t>
        </is>
      </c>
      <c r="N764" t="inlineStr">
        <is>
          <t>1st ed.</t>
        </is>
      </c>
      <c r="O764" t="inlineStr">
        <is>
          <t>eng</t>
        </is>
      </c>
      <c r="P764" t="inlineStr">
        <is>
          <t>nyu</t>
        </is>
      </c>
      <c r="R764" t="inlineStr">
        <is>
          <t xml:space="preserve">RC </t>
        </is>
      </c>
      <c r="S764" t="n">
        <v>1</v>
      </c>
      <c r="T764" t="n">
        <v>1</v>
      </c>
      <c r="U764" t="inlineStr">
        <is>
          <t>1998-10-10</t>
        </is>
      </c>
      <c r="V764" t="inlineStr">
        <is>
          <t>1998-10-10</t>
        </is>
      </c>
      <c r="W764" t="inlineStr">
        <is>
          <t>1995-07-05</t>
        </is>
      </c>
      <c r="X764" t="inlineStr">
        <is>
          <t>1995-07-05</t>
        </is>
      </c>
      <c r="Y764" t="n">
        <v>554</v>
      </c>
      <c r="Z764" t="n">
        <v>474</v>
      </c>
      <c r="AA764" t="n">
        <v>477</v>
      </c>
      <c r="AB764" t="n">
        <v>3</v>
      </c>
      <c r="AC764" t="n">
        <v>3</v>
      </c>
      <c r="AD764" t="n">
        <v>20</v>
      </c>
      <c r="AE764" t="n">
        <v>20</v>
      </c>
      <c r="AF764" t="n">
        <v>8</v>
      </c>
      <c r="AG764" t="n">
        <v>8</v>
      </c>
      <c r="AH764" t="n">
        <v>4</v>
      </c>
      <c r="AI764" t="n">
        <v>4</v>
      </c>
      <c r="AJ764" t="n">
        <v>12</v>
      </c>
      <c r="AK764" t="n">
        <v>12</v>
      </c>
      <c r="AL764" t="n">
        <v>2</v>
      </c>
      <c r="AM764" t="n">
        <v>2</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HYPERLINK("https://creighton-primo.hosted.exlibrisgroup.com/primo-explore/search?tab=default_tab&amp;search_scope=EVERYTHING&amp;vid=01CRU&amp;lang=en_US&amp;offset=0&amp;query=any,contains,991001660969702656","Catalog Record")</f>
        <v/>
      </c>
      <c r="AT764">
        <f>HYPERLINK("http://www.worldcat.org/oclc/21164033","WorldCat Record")</f>
        <v/>
      </c>
      <c r="AU764" t="inlineStr">
        <is>
          <t>42625111:eng</t>
        </is>
      </c>
      <c r="AV764" t="inlineStr">
        <is>
          <t>21164033</t>
        </is>
      </c>
      <c r="AW764" t="inlineStr">
        <is>
          <t>991001660969702656</t>
        </is>
      </c>
      <c r="AX764" t="inlineStr">
        <is>
          <t>991001660969702656</t>
        </is>
      </c>
      <c r="AY764" t="inlineStr">
        <is>
          <t>2259750500002656</t>
        </is>
      </c>
      <c r="AZ764" t="inlineStr">
        <is>
          <t>BOOK</t>
        </is>
      </c>
      <c r="BB764" t="inlineStr">
        <is>
          <t>9780393700916</t>
        </is>
      </c>
      <c r="BC764" t="inlineStr">
        <is>
          <t>32285002053881</t>
        </is>
      </c>
      <c r="BD764" t="inlineStr">
        <is>
          <t>893772772</t>
        </is>
      </c>
    </row>
    <row r="765">
      <c r="A765" t="inlineStr">
        <is>
          <t>No</t>
        </is>
      </c>
      <c r="B765" t="inlineStr">
        <is>
          <t>RC488.5 .B38 1985</t>
        </is>
      </c>
      <c r="C765" t="inlineStr">
        <is>
          <t>0                      RC 0488500B  38          1985</t>
        </is>
      </c>
      <c r="D765" t="inlineStr">
        <is>
          <t>Successful marriage : a family systems approach to couples therapy / W. Robert Beavers.</t>
        </is>
      </c>
      <c r="F765" t="inlineStr">
        <is>
          <t>No</t>
        </is>
      </c>
      <c r="G765" t="inlineStr">
        <is>
          <t>1</t>
        </is>
      </c>
      <c r="H765" t="inlineStr">
        <is>
          <t>No</t>
        </is>
      </c>
      <c r="I765" t="inlineStr">
        <is>
          <t>No</t>
        </is>
      </c>
      <c r="J765" t="inlineStr">
        <is>
          <t>0</t>
        </is>
      </c>
      <c r="K765" t="inlineStr">
        <is>
          <t>Beavers, W. Robert, 1929-</t>
        </is>
      </c>
      <c r="L765" t="inlineStr">
        <is>
          <t>New York : W.W. Norton, c1985.</t>
        </is>
      </c>
      <c r="M765" t="inlineStr">
        <is>
          <t>1985</t>
        </is>
      </c>
      <c r="N765" t="inlineStr">
        <is>
          <t>1st ed.</t>
        </is>
      </c>
      <c r="O765" t="inlineStr">
        <is>
          <t>eng</t>
        </is>
      </c>
      <c r="P765" t="inlineStr">
        <is>
          <t>nyu</t>
        </is>
      </c>
      <c r="R765" t="inlineStr">
        <is>
          <t xml:space="preserve">RC </t>
        </is>
      </c>
      <c r="S765" t="n">
        <v>12</v>
      </c>
      <c r="T765" t="n">
        <v>12</v>
      </c>
      <c r="U765" t="inlineStr">
        <is>
          <t>2010-08-31</t>
        </is>
      </c>
      <c r="V765" t="inlineStr">
        <is>
          <t>2010-08-31</t>
        </is>
      </c>
      <c r="W765" t="inlineStr">
        <is>
          <t>1993-03-23</t>
        </is>
      </c>
      <c r="X765" t="inlineStr">
        <is>
          <t>1993-03-23</t>
        </is>
      </c>
      <c r="Y765" t="n">
        <v>489</v>
      </c>
      <c r="Z765" t="n">
        <v>411</v>
      </c>
      <c r="AA765" t="n">
        <v>412</v>
      </c>
      <c r="AB765" t="n">
        <v>2</v>
      </c>
      <c r="AC765" t="n">
        <v>2</v>
      </c>
      <c r="AD765" t="n">
        <v>15</v>
      </c>
      <c r="AE765" t="n">
        <v>15</v>
      </c>
      <c r="AF765" t="n">
        <v>7</v>
      </c>
      <c r="AG765" t="n">
        <v>7</v>
      </c>
      <c r="AH765" t="n">
        <v>4</v>
      </c>
      <c r="AI765" t="n">
        <v>4</v>
      </c>
      <c r="AJ765" t="n">
        <v>7</v>
      </c>
      <c r="AK765" t="n">
        <v>7</v>
      </c>
      <c r="AL765" t="n">
        <v>1</v>
      </c>
      <c r="AM765" t="n">
        <v>1</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HYPERLINK("https://creighton-primo.hosted.exlibrisgroup.com/primo-explore/search?tab=default_tab&amp;search_scope=EVERYTHING&amp;vid=01CRU&amp;lang=en_US&amp;offset=0&amp;query=any,contains,991000550629702656","Catalog Record")</f>
        <v/>
      </c>
      <c r="AT765">
        <f>HYPERLINK("http://www.worldcat.org/oclc/11533066","WorldCat Record")</f>
        <v/>
      </c>
      <c r="AU765" t="inlineStr">
        <is>
          <t>9381411212:eng</t>
        </is>
      </c>
      <c r="AV765" t="inlineStr">
        <is>
          <t>11533066</t>
        </is>
      </c>
      <c r="AW765" t="inlineStr">
        <is>
          <t>991000550629702656</t>
        </is>
      </c>
      <c r="AX765" t="inlineStr">
        <is>
          <t>991000550629702656</t>
        </is>
      </c>
      <c r="AY765" t="inlineStr">
        <is>
          <t>2258250380002656</t>
        </is>
      </c>
      <c r="AZ765" t="inlineStr">
        <is>
          <t>BOOK</t>
        </is>
      </c>
      <c r="BB765" t="inlineStr">
        <is>
          <t>9780393700060</t>
        </is>
      </c>
      <c r="BC765" t="inlineStr">
        <is>
          <t>32285001606747</t>
        </is>
      </c>
      <c r="BD765" t="inlineStr">
        <is>
          <t>893802878</t>
        </is>
      </c>
    </row>
    <row r="766">
      <c r="A766" t="inlineStr">
        <is>
          <t>No</t>
        </is>
      </c>
      <c r="B766" t="inlineStr">
        <is>
          <t>RC488.5 .B39 1982</t>
        </is>
      </c>
      <c r="C766" t="inlineStr">
        <is>
          <t>0                      RC 0488500B  39          1982</t>
        </is>
      </c>
      <c r="D766" t="inlineStr">
        <is>
          <t>Systems theory and family therapy : a primer / Raphael J. Becvar, Dorothy Stroh Becvar.</t>
        </is>
      </c>
      <c r="F766" t="inlineStr">
        <is>
          <t>No</t>
        </is>
      </c>
      <c r="G766" t="inlineStr">
        <is>
          <t>1</t>
        </is>
      </c>
      <c r="H766" t="inlineStr">
        <is>
          <t>No</t>
        </is>
      </c>
      <c r="I766" t="inlineStr">
        <is>
          <t>No</t>
        </is>
      </c>
      <c r="J766" t="inlineStr">
        <is>
          <t>0</t>
        </is>
      </c>
      <c r="K766" t="inlineStr">
        <is>
          <t>Becvar, Raphael J., 1931-</t>
        </is>
      </c>
      <c r="L766" t="inlineStr">
        <is>
          <t>Washington, D.C. : University Press of America, c1982.</t>
        </is>
      </c>
      <c r="M766" t="inlineStr">
        <is>
          <t>1982</t>
        </is>
      </c>
      <c r="O766" t="inlineStr">
        <is>
          <t>eng</t>
        </is>
      </c>
      <c r="P766" t="inlineStr">
        <is>
          <t>dcu</t>
        </is>
      </c>
      <c r="R766" t="inlineStr">
        <is>
          <t xml:space="preserve">RC </t>
        </is>
      </c>
      <c r="S766" t="n">
        <v>8</v>
      </c>
      <c r="T766" t="n">
        <v>8</v>
      </c>
      <c r="U766" t="inlineStr">
        <is>
          <t>2003-07-21</t>
        </is>
      </c>
      <c r="V766" t="inlineStr">
        <is>
          <t>2003-07-21</t>
        </is>
      </c>
      <c r="W766" t="inlineStr">
        <is>
          <t>1990-07-20</t>
        </is>
      </c>
      <c r="X766" t="inlineStr">
        <is>
          <t>1990-07-20</t>
        </is>
      </c>
      <c r="Y766" t="n">
        <v>392</v>
      </c>
      <c r="Z766" t="n">
        <v>355</v>
      </c>
      <c r="AA766" t="n">
        <v>459</v>
      </c>
      <c r="AB766" t="n">
        <v>3</v>
      </c>
      <c r="AC766" t="n">
        <v>3</v>
      </c>
      <c r="AD766" t="n">
        <v>18</v>
      </c>
      <c r="AE766" t="n">
        <v>23</v>
      </c>
      <c r="AF766" t="n">
        <v>7</v>
      </c>
      <c r="AG766" t="n">
        <v>10</v>
      </c>
      <c r="AH766" t="n">
        <v>3</v>
      </c>
      <c r="AI766" t="n">
        <v>4</v>
      </c>
      <c r="AJ766" t="n">
        <v>10</v>
      </c>
      <c r="AK766" t="n">
        <v>13</v>
      </c>
      <c r="AL766" t="n">
        <v>2</v>
      </c>
      <c r="AM766" t="n">
        <v>2</v>
      </c>
      <c r="AN766" t="n">
        <v>0</v>
      </c>
      <c r="AO766" t="n">
        <v>0</v>
      </c>
      <c r="AP766" t="inlineStr">
        <is>
          <t>No</t>
        </is>
      </c>
      <c r="AQ766" t="inlineStr">
        <is>
          <t>Yes</t>
        </is>
      </c>
      <c r="AR766">
        <f>HYPERLINK("http://catalog.hathitrust.org/Record/000201539","HathiTrust Record")</f>
        <v/>
      </c>
      <c r="AS766">
        <f>HYPERLINK("https://creighton-primo.hosted.exlibrisgroup.com/primo-explore/search?tab=default_tab&amp;search_scope=EVERYTHING&amp;vid=01CRU&amp;lang=en_US&amp;offset=0&amp;query=any,contains,991005265589702656","Catalog Record")</f>
        <v/>
      </c>
      <c r="AT766">
        <f>HYPERLINK("http://www.worldcat.org/oclc/8386660","WorldCat Record")</f>
        <v/>
      </c>
      <c r="AU766" t="inlineStr">
        <is>
          <t>483588:eng</t>
        </is>
      </c>
      <c r="AV766" t="inlineStr">
        <is>
          <t>8386660</t>
        </is>
      </c>
      <c r="AW766" t="inlineStr">
        <is>
          <t>991005265589702656</t>
        </is>
      </c>
      <c r="AX766" t="inlineStr">
        <is>
          <t>991005265589702656</t>
        </is>
      </c>
      <c r="AY766" t="inlineStr">
        <is>
          <t>2268412410002656</t>
        </is>
      </c>
      <c r="AZ766" t="inlineStr">
        <is>
          <t>BOOK</t>
        </is>
      </c>
      <c r="BB766" t="inlineStr">
        <is>
          <t>9780819124432</t>
        </is>
      </c>
      <c r="BC766" t="inlineStr">
        <is>
          <t>32285000245943</t>
        </is>
      </c>
      <c r="BD766" t="inlineStr">
        <is>
          <t>893613417</t>
        </is>
      </c>
    </row>
    <row r="767">
      <c r="A767" t="inlineStr">
        <is>
          <t>No</t>
        </is>
      </c>
      <c r="B767" t="inlineStr">
        <is>
          <t>RC488.5 .B47 1984</t>
        </is>
      </c>
      <c r="C767" t="inlineStr">
        <is>
          <t>0                      RC 0488500B  47          1984</t>
        </is>
      </c>
      <c r="D767" t="inlineStr">
        <is>
          <t>Practicing family therapy in diverse settings / Michael Berger, Gregory J. Jurkovic and associates ; foreword by Jay Haley.</t>
        </is>
      </c>
      <c r="F767" t="inlineStr">
        <is>
          <t>No</t>
        </is>
      </c>
      <c r="G767" t="inlineStr">
        <is>
          <t>1</t>
        </is>
      </c>
      <c r="H767" t="inlineStr">
        <is>
          <t>No</t>
        </is>
      </c>
      <c r="I767" t="inlineStr">
        <is>
          <t>No</t>
        </is>
      </c>
      <c r="J767" t="inlineStr">
        <is>
          <t>0</t>
        </is>
      </c>
      <c r="K767" t="inlineStr">
        <is>
          <t>Berger, Michael, 1946-</t>
        </is>
      </c>
      <c r="L767" t="inlineStr">
        <is>
          <t>San Francisco : Jossey-Bass, 1984.</t>
        </is>
      </c>
      <c r="M767" t="inlineStr">
        <is>
          <t>1984</t>
        </is>
      </c>
      <c r="N767" t="inlineStr">
        <is>
          <t>1st ed.</t>
        </is>
      </c>
      <c r="O767" t="inlineStr">
        <is>
          <t>eng</t>
        </is>
      </c>
      <c r="P767" t="inlineStr">
        <is>
          <t>cau</t>
        </is>
      </c>
      <c r="Q767" t="inlineStr">
        <is>
          <t>The Jossey-Bass social and behavioral science series</t>
        </is>
      </c>
      <c r="R767" t="inlineStr">
        <is>
          <t xml:space="preserve">RC </t>
        </is>
      </c>
      <c r="S767" t="n">
        <v>1</v>
      </c>
      <c r="T767" t="n">
        <v>1</v>
      </c>
      <c r="U767" t="inlineStr">
        <is>
          <t>1993-07-09</t>
        </is>
      </c>
      <c r="V767" t="inlineStr">
        <is>
          <t>1993-07-09</t>
        </is>
      </c>
      <c r="W767" t="inlineStr">
        <is>
          <t>1993-03-23</t>
        </is>
      </c>
      <c r="X767" t="inlineStr">
        <is>
          <t>1993-03-23</t>
        </is>
      </c>
      <c r="Y767" t="n">
        <v>265</v>
      </c>
      <c r="Z767" t="n">
        <v>204</v>
      </c>
      <c r="AA767" t="n">
        <v>220</v>
      </c>
      <c r="AB767" t="n">
        <v>3</v>
      </c>
      <c r="AC767" t="n">
        <v>3</v>
      </c>
      <c r="AD767" t="n">
        <v>8</v>
      </c>
      <c r="AE767" t="n">
        <v>9</v>
      </c>
      <c r="AF767" t="n">
        <v>2</v>
      </c>
      <c r="AG767" t="n">
        <v>2</v>
      </c>
      <c r="AH767" t="n">
        <v>1</v>
      </c>
      <c r="AI767" t="n">
        <v>1</v>
      </c>
      <c r="AJ767" t="n">
        <v>5</v>
      </c>
      <c r="AK767" t="n">
        <v>6</v>
      </c>
      <c r="AL767" t="n">
        <v>2</v>
      </c>
      <c r="AM767" t="n">
        <v>2</v>
      </c>
      <c r="AN767" t="n">
        <v>0</v>
      </c>
      <c r="AO767" t="n">
        <v>0</v>
      </c>
      <c r="AP767" t="inlineStr">
        <is>
          <t>No</t>
        </is>
      </c>
      <c r="AQ767" t="inlineStr">
        <is>
          <t>Yes</t>
        </is>
      </c>
      <c r="AR767">
        <f>HYPERLINK("http://catalog.hathitrust.org/Record/000782983","HathiTrust Record")</f>
        <v/>
      </c>
      <c r="AS767">
        <f>HYPERLINK("https://creighton-primo.hosted.exlibrisgroup.com/primo-explore/search?tab=default_tab&amp;search_scope=EVERYTHING&amp;vid=01CRU&amp;lang=en_US&amp;offset=0&amp;query=any,contains,991000362439702656","Catalog Record")</f>
        <v/>
      </c>
      <c r="AT767">
        <f>HYPERLINK("http://www.worldcat.org/oclc/10375096","WorldCat Record")</f>
        <v/>
      </c>
      <c r="AU767" t="inlineStr">
        <is>
          <t>3215077:eng</t>
        </is>
      </c>
      <c r="AV767" t="inlineStr">
        <is>
          <t>10375096</t>
        </is>
      </c>
      <c r="AW767" t="inlineStr">
        <is>
          <t>991000362439702656</t>
        </is>
      </c>
      <c r="AX767" t="inlineStr">
        <is>
          <t>991000362439702656</t>
        </is>
      </c>
      <c r="AY767" t="inlineStr">
        <is>
          <t>2258080040002656</t>
        </is>
      </c>
      <c r="AZ767" t="inlineStr">
        <is>
          <t>BOOK</t>
        </is>
      </c>
      <c r="BB767" t="inlineStr">
        <is>
          <t>9780875895918</t>
        </is>
      </c>
      <c r="BC767" t="inlineStr">
        <is>
          <t>32285001606754</t>
        </is>
      </c>
      <c r="BD767" t="inlineStr">
        <is>
          <t>893231058</t>
        </is>
      </c>
    </row>
    <row r="768">
      <c r="A768" t="inlineStr">
        <is>
          <t>No</t>
        </is>
      </c>
      <c r="B768" t="inlineStr">
        <is>
          <t>RC488.5 .B648 1986</t>
        </is>
      </c>
      <c r="C768" t="inlineStr">
        <is>
          <t>0                      RC 0488500B  648         1986</t>
        </is>
      </c>
      <c r="D768" t="inlineStr">
        <is>
          <t>Marital therapy : a behavioral-communications approach / Philip H. Bornstein and Marcy T. Bornstein.</t>
        </is>
      </c>
      <c r="F768" t="inlineStr">
        <is>
          <t>No</t>
        </is>
      </c>
      <c r="G768" t="inlineStr">
        <is>
          <t>1</t>
        </is>
      </c>
      <c r="H768" t="inlineStr">
        <is>
          <t>No</t>
        </is>
      </c>
      <c r="I768" t="inlineStr">
        <is>
          <t>No</t>
        </is>
      </c>
      <c r="J768" t="inlineStr">
        <is>
          <t>0</t>
        </is>
      </c>
      <c r="K768" t="inlineStr">
        <is>
          <t>Bornstein, Philip H.</t>
        </is>
      </c>
      <c r="L768" t="inlineStr">
        <is>
          <t>New York : Pergamon Press, c1986.</t>
        </is>
      </c>
      <c r="M768" t="inlineStr">
        <is>
          <t>1986</t>
        </is>
      </c>
      <c r="O768" t="inlineStr">
        <is>
          <t>eng</t>
        </is>
      </c>
      <c r="P768" t="inlineStr">
        <is>
          <t>nyu</t>
        </is>
      </c>
      <c r="Q768" t="inlineStr">
        <is>
          <t>Psychology practitioner guidebooks</t>
        </is>
      </c>
      <c r="R768" t="inlineStr">
        <is>
          <t xml:space="preserve">RC </t>
        </is>
      </c>
      <c r="S768" t="n">
        <v>3</v>
      </c>
      <c r="T768" t="n">
        <v>3</v>
      </c>
      <c r="U768" t="inlineStr">
        <is>
          <t>2005-03-21</t>
        </is>
      </c>
      <c r="V768" t="inlineStr">
        <is>
          <t>2005-03-21</t>
        </is>
      </c>
      <c r="W768" t="inlineStr">
        <is>
          <t>1993-03-23</t>
        </is>
      </c>
      <c r="X768" t="inlineStr">
        <is>
          <t>1993-03-23</t>
        </is>
      </c>
      <c r="Y768" t="n">
        <v>392</v>
      </c>
      <c r="Z768" t="n">
        <v>317</v>
      </c>
      <c r="AA768" t="n">
        <v>329</v>
      </c>
      <c r="AB768" t="n">
        <v>4</v>
      </c>
      <c r="AC768" t="n">
        <v>4</v>
      </c>
      <c r="AD768" t="n">
        <v>16</v>
      </c>
      <c r="AE768" t="n">
        <v>16</v>
      </c>
      <c r="AF768" t="n">
        <v>7</v>
      </c>
      <c r="AG768" t="n">
        <v>7</v>
      </c>
      <c r="AH768" t="n">
        <v>2</v>
      </c>
      <c r="AI768" t="n">
        <v>2</v>
      </c>
      <c r="AJ768" t="n">
        <v>8</v>
      </c>
      <c r="AK768" t="n">
        <v>8</v>
      </c>
      <c r="AL768" t="n">
        <v>3</v>
      </c>
      <c r="AM768" t="n">
        <v>3</v>
      </c>
      <c r="AN768" t="n">
        <v>0</v>
      </c>
      <c r="AO768" t="n">
        <v>0</v>
      </c>
      <c r="AP768" t="inlineStr">
        <is>
          <t>No</t>
        </is>
      </c>
      <c r="AQ768" t="inlineStr">
        <is>
          <t>Yes</t>
        </is>
      </c>
      <c r="AR768">
        <f>HYPERLINK("http://catalog.hathitrust.org/Record/000592121","HathiTrust Record")</f>
        <v/>
      </c>
      <c r="AS768">
        <f>HYPERLINK("https://creighton-primo.hosted.exlibrisgroup.com/primo-explore/search?tab=default_tab&amp;search_scope=EVERYTHING&amp;vid=01CRU&amp;lang=en_US&amp;offset=0&amp;query=any,contains,991000653759702656","Catalog Record")</f>
        <v/>
      </c>
      <c r="AT768">
        <f>HYPERLINK("http://www.worldcat.org/oclc/12189615","WorldCat Record")</f>
        <v/>
      </c>
      <c r="AU768" t="inlineStr">
        <is>
          <t>170726121:eng</t>
        </is>
      </c>
      <c r="AV768" t="inlineStr">
        <is>
          <t>12189615</t>
        </is>
      </c>
      <c r="AW768" t="inlineStr">
        <is>
          <t>991000653759702656</t>
        </is>
      </c>
      <c r="AX768" t="inlineStr">
        <is>
          <t>991000653759702656</t>
        </is>
      </c>
      <c r="AY768" t="inlineStr">
        <is>
          <t>2255391820002656</t>
        </is>
      </c>
      <c r="AZ768" t="inlineStr">
        <is>
          <t>BOOK</t>
        </is>
      </c>
      <c r="BB768" t="inlineStr">
        <is>
          <t>9780080316147</t>
        </is>
      </c>
      <c r="BC768" t="inlineStr">
        <is>
          <t>32285001606762</t>
        </is>
      </c>
      <c r="BD768" t="inlineStr">
        <is>
          <t>893515474</t>
        </is>
      </c>
    </row>
    <row r="769">
      <c r="A769" t="inlineStr">
        <is>
          <t>No</t>
        </is>
      </c>
      <c r="B769" t="inlineStr">
        <is>
          <t>RC488.5 .B683 1992</t>
        </is>
      </c>
      <c r="C769" t="inlineStr">
        <is>
          <t>0                      RC 0488500B  683         1992</t>
        </is>
      </c>
      <c r="D769" t="inlineStr">
        <is>
          <t>Metaframeworks : transcending the models of family therapy / [Douglas C. Breunlin, Richard C. Schwartz, Betty Mac Kune-Karrer].</t>
        </is>
      </c>
      <c r="F769" t="inlineStr">
        <is>
          <t>No</t>
        </is>
      </c>
      <c r="G769" t="inlineStr">
        <is>
          <t>1</t>
        </is>
      </c>
      <c r="H769" t="inlineStr">
        <is>
          <t>No</t>
        </is>
      </c>
      <c r="I769" t="inlineStr">
        <is>
          <t>No</t>
        </is>
      </c>
      <c r="J769" t="inlineStr">
        <is>
          <t>0</t>
        </is>
      </c>
      <c r="K769" t="inlineStr">
        <is>
          <t>Breunlin, Douglas C.</t>
        </is>
      </c>
      <c r="L769" t="inlineStr">
        <is>
          <t>San Francisco : Jossey-Bass, c1992.</t>
        </is>
      </c>
      <c r="M769" t="inlineStr">
        <is>
          <t>1992</t>
        </is>
      </c>
      <c r="N769" t="inlineStr">
        <is>
          <t>1st ed.</t>
        </is>
      </c>
      <c r="O769" t="inlineStr">
        <is>
          <t>eng</t>
        </is>
      </c>
      <c r="P769" t="inlineStr">
        <is>
          <t>cau</t>
        </is>
      </c>
      <c r="Q769" t="inlineStr">
        <is>
          <t>The Jossey-Bass social and behavioral science series</t>
        </is>
      </c>
      <c r="R769" t="inlineStr">
        <is>
          <t xml:space="preserve">RC </t>
        </is>
      </c>
      <c r="S769" t="n">
        <v>4</v>
      </c>
      <c r="T769" t="n">
        <v>4</v>
      </c>
      <c r="U769" t="inlineStr">
        <is>
          <t>2008-05-21</t>
        </is>
      </c>
      <c r="V769" t="inlineStr">
        <is>
          <t>2008-05-21</t>
        </is>
      </c>
      <c r="W769" t="inlineStr">
        <is>
          <t>1992-12-08</t>
        </is>
      </c>
      <c r="X769" t="inlineStr">
        <is>
          <t>1992-12-08</t>
        </is>
      </c>
      <c r="Y769" t="n">
        <v>284</v>
      </c>
      <c r="Z769" t="n">
        <v>228</v>
      </c>
      <c r="AA769" t="n">
        <v>291</v>
      </c>
      <c r="AB769" t="n">
        <v>1</v>
      </c>
      <c r="AC769" t="n">
        <v>1</v>
      </c>
      <c r="AD769" t="n">
        <v>11</v>
      </c>
      <c r="AE769" t="n">
        <v>14</v>
      </c>
      <c r="AF769" t="n">
        <v>5</v>
      </c>
      <c r="AG769" t="n">
        <v>8</v>
      </c>
      <c r="AH769" t="n">
        <v>2</v>
      </c>
      <c r="AI769" t="n">
        <v>2</v>
      </c>
      <c r="AJ769" t="n">
        <v>7</v>
      </c>
      <c r="AK769" t="n">
        <v>7</v>
      </c>
      <c r="AL769" t="n">
        <v>0</v>
      </c>
      <c r="AM769" t="n">
        <v>0</v>
      </c>
      <c r="AN769" t="n">
        <v>0</v>
      </c>
      <c r="AO769" t="n">
        <v>0</v>
      </c>
      <c r="AP769" t="inlineStr">
        <is>
          <t>No</t>
        </is>
      </c>
      <c r="AQ769" t="inlineStr">
        <is>
          <t>Yes</t>
        </is>
      </c>
      <c r="AR769">
        <f>HYPERLINK("http://catalog.hathitrust.org/Record/002530536","HathiTrust Record")</f>
        <v/>
      </c>
      <c r="AS769">
        <f>HYPERLINK("https://creighton-primo.hosted.exlibrisgroup.com/primo-explore/search?tab=default_tab&amp;search_scope=EVERYTHING&amp;vid=01CRU&amp;lang=en_US&amp;offset=0&amp;query=any,contains,991001945849702656","Catalog Record")</f>
        <v/>
      </c>
      <c r="AT769">
        <f>HYPERLINK("http://www.worldcat.org/oclc/24590165","WorldCat Record")</f>
        <v/>
      </c>
      <c r="AU769" t="inlineStr">
        <is>
          <t>891001106:eng</t>
        </is>
      </c>
      <c r="AV769" t="inlineStr">
        <is>
          <t>24590165</t>
        </is>
      </c>
      <c r="AW769" t="inlineStr">
        <is>
          <t>991001945849702656</t>
        </is>
      </c>
      <c r="AX769" t="inlineStr">
        <is>
          <t>991001945849702656</t>
        </is>
      </c>
      <c r="AY769" t="inlineStr">
        <is>
          <t>2272768290002656</t>
        </is>
      </c>
      <c r="AZ769" t="inlineStr">
        <is>
          <t>BOOK</t>
        </is>
      </c>
      <c r="BB769" t="inlineStr">
        <is>
          <t>9781555424268</t>
        </is>
      </c>
      <c r="BC769" t="inlineStr">
        <is>
          <t>32285001402220</t>
        </is>
      </c>
      <c r="BD769" t="inlineStr">
        <is>
          <t>893791867</t>
        </is>
      </c>
    </row>
    <row r="770">
      <c r="A770" t="inlineStr">
        <is>
          <t>No</t>
        </is>
      </c>
      <c r="B770" t="inlineStr">
        <is>
          <t>RC488.5 .D59 1998</t>
        </is>
      </c>
      <c r="C770" t="inlineStr">
        <is>
          <t>0                      RC 0488500D  59          1998</t>
        </is>
      </c>
      <c r="D770" t="inlineStr">
        <is>
          <t>The disordered couple / edited by Jon Carlson and Len Sperry.</t>
        </is>
      </c>
      <c r="F770" t="inlineStr">
        <is>
          <t>No</t>
        </is>
      </c>
      <c r="G770" t="inlineStr">
        <is>
          <t>1</t>
        </is>
      </c>
      <c r="H770" t="inlineStr">
        <is>
          <t>No</t>
        </is>
      </c>
      <c r="I770" t="inlineStr">
        <is>
          <t>No</t>
        </is>
      </c>
      <c r="J770" t="inlineStr">
        <is>
          <t>0</t>
        </is>
      </c>
      <c r="L770" t="inlineStr">
        <is>
          <t>Bristol, Pa. : Brunner/Mazel, c1998.</t>
        </is>
      </c>
      <c r="M770" t="inlineStr">
        <is>
          <t>1998</t>
        </is>
      </c>
      <c r="O770" t="inlineStr">
        <is>
          <t>eng</t>
        </is>
      </c>
      <c r="P770" t="inlineStr">
        <is>
          <t>pau</t>
        </is>
      </c>
      <c r="R770" t="inlineStr">
        <is>
          <t xml:space="preserve">RC </t>
        </is>
      </c>
      <c r="S770" t="n">
        <v>14</v>
      </c>
      <c r="T770" t="n">
        <v>14</v>
      </c>
      <c r="U770" t="inlineStr">
        <is>
          <t>2002-04-24</t>
        </is>
      </c>
      <c r="V770" t="inlineStr">
        <is>
          <t>2002-04-24</t>
        </is>
      </c>
      <c r="W770" t="inlineStr">
        <is>
          <t>1999-01-18</t>
        </is>
      </c>
      <c r="X770" t="inlineStr">
        <is>
          <t>1999-01-18</t>
        </is>
      </c>
      <c r="Y770" t="n">
        <v>380</v>
      </c>
      <c r="Z770" t="n">
        <v>343</v>
      </c>
      <c r="AA770" t="n">
        <v>410</v>
      </c>
      <c r="AB770" t="n">
        <v>3</v>
      </c>
      <c r="AC770" t="n">
        <v>3</v>
      </c>
      <c r="AD770" t="n">
        <v>18</v>
      </c>
      <c r="AE770" t="n">
        <v>20</v>
      </c>
      <c r="AF770" t="n">
        <v>5</v>
      </c>
      <c r="AG770" t="n">
        <v>6</v>
      </c>
      <c r="AH770" t="n">
        <v>4</v>
      </c>
      <c r="AI770" t="n">
        <v>4</v>
      </c>
      <c r="AJ770" t="n">
        <v>11</v>
      </c>
      <c r="AK770" t="n">
        <v>12</v>
      </c>
      <c r="AL770" t="n">
        <v>2</v>
      </c>
      <c r="AM770" t="n">
        <v>2</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HYPERLINK("https://creighton-primo.hosted.exlibrisgroup.com/primo-explore/search?tab=default_tab&amp;search_scope=EVERYTHING&amp;vid=01CRU&amp;lang=en_US&amp;offset=0&amp;query=any,contains,991002830849702656","Catalog Record")</f>
        <v/>
      </c>
      <c r="AT770">
        <f>HYPERLINK("http://www.worldcat.org/oclc/37277505","WorldCat Record")</f>
        <v/>
      </c>
      <c r="AU770" t="inlineStr">
        <is>
          <t>355828390:eng</t>
        </is>
      </c>
      <c r="AV770" t="inlineStr">
        <is>
          <t>37277505</t>
        </is>
      </c>
      <c r="AW770" t="inlineStr">
        <is>
          <t>991002830849702656</t>
        </is>
      </c>
      <c r="AX770" t="inlineStr">
        <is>
          <t>991002830849702656</t>
        </is>
      </c>
      <c r="AY770" t="inlineStr">
        <is>
          <t>2271345200002656</t>
        </is>
      </c>
      <c r="AZ770" t="inlineStr">
        <is>
          <t>BOOK</t>
        </is>
      </c>
      <c r="BB770" t="inlineStr">
        <is>
          <t>9780876308158</t>
        </is>
      </c>
      <c r="BC770" t="inlineStr">
        <is>
          <t>32285003512729</t>
        </is>
      </c>
      <c r="BD770" t="inlineStr">
        <is>
          <t>893692050</t>
        </is>
      </c>
    </row>
    <row r="771">
      <c r="A771" t="inlineStr">
        <is>
          <t>No</t>
        </is>
      </c>
      <c r="B771" t="inlineStr">
        <is>
          <t>RC488.5 .D6</t>
        </is>
      </c>
      <c r="C771" t="inlineStr">
        <is>
          <t>0                      RC 0488500D  6</t>
        </is>
      </c>
      <c r="D771" t="inlineStr">
        <is>
          <t>Family counseling : a systems approach / Laura Sue Dodson, in collaboration with DeWayne J. Kurpius ; foreword by Virginia Satir.</t>
        </is>
      </c>
      <c r="F771" t="inlineStr">
        <is>
          <t>No</t>
        </is>
      </c>
      <c r="G771" t="inlineStr">
        <is>
          <t>1</t>
        </is>
      </c>
      <c r="H771" t="inlineStr">
        <is>
          <t>No</t>
        </is>
      </c>
      <c r="I771" t="inlineStr">
        <is>
          <t>No</t>
        </is>
      </c>
      <c r="J771" t="inlineStr">
        <is>
          <t>0</t>
        </is>
      </c>
      <c r="K771" t="inlineStr">
        <is>
          <t>Dodson, Laura Sue.</t>
        </is>
      </c>
      <c r="L771" t="inlineStr">
        <is>
          <t>Muncie, IN : Accelerated Development, c1977, 1979 printing.</t>
        </is>
      </c>
      <c r="M771" t="inlineStr">
        <is>
          <t>1977</t>
        </is>
      </c>
      <c r="O771" t="inlineStr">
        <is>
          <t>eng</t>
        </is>
      </c>
      <c r="P771" t="inlineStr">
        <is>
          <t>inu</t>
        </is>
      </c>
      <c r="R771" t="inlineStr">
        <is>
          <t xml:space="preserve">RC </t>
        </is>
      </c>
      <c r="S771" t="n">
        <v>11</v>
      </c>
      <c r="T771" t="n">
        <v>11</v>
      </c>
      <c r="U771" t="inlineStr">
        <is>
          <t>2006-03-03</t>
        </is>
      </c>
      <c r="V771" t="inlineStr">
        <is>
          <t>2006-03-03</t>
        </is>
      </c>
      <c r="W771" t="inlineStr">
        <is>
          <t>1990-02-06</t>
        </is>
      </c>
      <c r="X771" t="inlineStr">
        <is>
          <t>1990-02-06</t>
        </is>
      </c>
      <c r="Y771" t="n">
        <v>309</v>
      </c>
      <c r="Z771" t="n">
        <v>279</v>
      </c>
      <c r="AA771" t="n">
        <v>305</v>
      </c>
      <c r="AB771" t="n">
        <v>3</v>
      </c>
      <c r="AC771" t="n">
        <v>3</v>
      </c>
      <c r="AD771" t="n">
        <v>12</v>
      </c>
      <c r="AE771" t="n">
        <v>12</v>
      </c>
      <c r="AF771" t="n">
        <v>8</v>
      </c>
      <c r="AG771" t="n">
        <v>8</v>
      </c>
      <c r="AH771" t="n">
        <v>1</v>
      </c>
      <c r="AI771" t="n">
        <v>1</v>
      </c>
      <c r="AJ771" t="n">
        <v>6</v>
      </c>
      <c r="AK771" t="n">
        <v>6</v>
      </c>
      <c r="AL771" t="n">
        <v>2</v>
      </c>
      <c r="AM771" t="n">
        <v>2</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HYPERLINK("https://creighton-primo.hosted.exlibrisgroup.com/primo-explore/search?tab=default_tab&amp;search_scope=EVERYTHING&amp;vid=01CRU&amp;lang=en_US&amp;offset=0&amp;query=any,contains,991004354219702656","Catalog Record")</f>
        <v/>
      </c>
      <c r="AT771">
        <f>HYPERLINK("http://www.worldcat.org/oclc/3129301","WorldCat Record")</f>
        <v/>
      </c>
      <c r="AU771" t="inlineStr">
        <is>
          <t>889710912:eng</t>
        </is>
      </c>
      <c r="AV771" t="inlineStr">
        <is>
          <t>3129301</t>
        </is>
      </c>
      <c r="AW771" t="inlineStr">
        <is>
          <t>991004354219702656</t>
        </is>
      </c>
      <c r="AX771" t="inlineStr">
        <is>
          <t>991004354219702656</t>
        </is>
      </c>
      <c r="AY771" t="inlineStr">
        <is>
          <t>2265328190002656</t>
        </is>
      </c>
      <c r="AZ771" t="inlineStr">
        <is>
          <t>BOOK</t>
        </is>
      </c>
      <c r="BB771" t="inlineStr">
        <is>
          <t>9780915202089</t>
        </is>
      </c>
      <c r="BC771" t="inlineStr">
        <is>
          <t>32285000039635</t>
        </is>
      </c>
      <c r="BD771" t="inlineStr">
        <is>
          <t>893700123</t>
        </is>
      </c>
    </row>
    <row r="772">
      <c r="A772" t="inlineStr">
        <is>
          <t>No</t>
        </is>
      </c>
      <c r="B772" t="inlineStr">
        <is>
          <t>RC488.5 .E75 1996</t>
        </is>
      </c>
      <c r="C772" t="inlineStr">
        <is>
          <t>0                      RC 0488500E  75          1996</t>
        </is>
      </c>
      <c r="D772" t="inlineStr">
        <is>
          <t>Narrative solutions in brief therapy / Joseph B. Eron, Thomas W. Lund.</t>
        </is>
      </c>
      <c r="F772" t="inlineStr">
        <is>
          <t>No</t>
        </is>
      </c>
      <c r="G772" t="inlineStr">
        <is>
          <t>1</t>
        </is>
      </c>
      <c r="H772" t="inlineStr">
        <is>
          <t>No</t>
        </is>
      </c>
      <c r="I772" t="inlineStr">
        <is>
          <t>No</t>
        </is>
      </c>
      <c r="J772" t="inlineStr">
        <is>
          <t>0</t>
        </is>
      </c>
      <c r="K772" t="inlineStr">
        <is>
          <t>Eron, Joseph B.</t>
        </is>
      </c>
      <c r="L772" t="inlineStr">
        <is>
          <t>New York : Guilford Press, c1996.</t>
        </is>
      </c>
      <c r="M772" t="inlineStr">
        <is>
          <t>1996</t>
        </is>
      </c>
      <c r="O772" t="inlineStr">
        <is>
          <t>eng</t>
        </is>
      </c>
      <c r="P772" t="inlineStr">
        <is>
          <t>nyu</t>
        </is>
      </c>
      <c r="Q772" t="inlineStr">
        <is>
          <t>The Guilford family therapy series</t>
        </is>
      </c>
      <c r="R772" t="inlineStr">
        <is>
          <t xml:space="preserve">RC </t>
        </is>
      </c>
      <c r="S772" t="n">
        <v>3</v>
      </c>
      <c r="T772" t="n">
        <v>3</v>
      </c>
      <c r="U772" t="inlineStr">
        <is>
          <t>2004-08-20</t>
        </is>
      </c>
      <c r="V772" t="inlineStr">
        <is>
          <t>2004-08-20</t>
        </is>
      </c>
      <c r="W772" t="inlineStr">
        <is>
          <t>1996-10-23</t>
        </is>
      </c>
      <c r="X772" t="inlineStr">
        <is>
          <t>1996-10-23</t>
        </is>
      </c>
      <c r="Y772" t="n">
        <v>336</v>
      </c>
      <c r="Z772" t="n">
        <v>265</v>
      </c>
      <c r="AA772" t="n">
        <v>265</v>
      </c>
      <c r="AB772" t="n">
        <v>2</v>
      </c>
      <c r="AC772" t="n">
        <v>2</v>
      </c>
      <c r="AD772" t="n">
        <v>12</v>
      </c>
      <c r="AE772" t="n">
        <v>12</v>
      </c>
      <c r="AF772" t="n">
        <v>5</v>
      </c>
      <c r="AG772" t="n">
        <v>5</v>
      </c>
      <c r="AH772" t="n">
        <v>1</v>
      </c>
      <c r="AI772" t="n">
        <v>1</v>
      </c>
      <c r="AJ772" t="n">
        <v>10</v>
      </c>
      <c r="AK772" t="n">
        <v>10</v>
      </c>
      <c r="AL772" t="n">
        <v>1</v>
      </c>
      <c r="AM772" t="n">
        <v>1</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HYPERLINK("https://creighton-primo.hosted.exlibrisgroup.com/primo-explore/search?tab=default_tab&amp;search_scope=EVERYTHING&amp;vid=01CRU&amp;lang=en_US&amp;offset=0&amp;query=any,contains,991002624649702656","Catalog Record")</f>
        <v/>
      </c>
      <c r="AT772">
        <f>HYPERLINK("http://www.worldcat.org/oclc/34410504","WorldCat Record")</f>
        <v/>
      </c>
      <c r="AU772" t="inlineStr">
        <is>
          <t>937505:eng</t>
        </is>
      </c>
      <c r="AV772" t="inlineStr">
        <is>
          <t>34410504</t>
        </is>
      </c>
      <c r="AW772" t="inlineStr">
        <is>
          <t>991002624649702656</t>
        </is>
      </c>
      <c r="AX772" t="inlineStr">
        <is>
          <t>991002624649702656</t>
        </is>
      </c>
      <c r="AY772" t="inlineStr">
        <is>
          <t>2263659250002656</t>
        </is>
      </c>
      <c r="AZ772" t="inlineStr">
        <is>
          <t>BOOK</t>
        </is>
      </c>
      <c r="BB772" t="inlineStr">
        <is>
          <t>9781572301269</t>
        </is>
      </c>
      <c r="BC772" t="inlineStr">
        <is>
          <t>32285002367869</t>
        </is>
      </c>
      <c r="BD772" t="inlineStr">
        <is>
          <t>893591570</t>
        </is>
      </c>
    </row>
    <row r="773">
      <c r="A773" t="inlineStr">
        <is>
          <t>No</t>
        </is>
      </c>
      <c r="B773" t="inlineStr">
        <is>
          <t>RC488.5 .F356 1988</t>
        </is>
      </c>
      <c r="C773" t="inlineStr">
        <is>
          <t>0                      RC 0488500F  356         1988</t>
        </is>
      </c>
      <c r="D773" t="inlineStr">
        <is>
          <t>Family transitions : continuity and change over the life cycle / edited by Celia Jaes Falicov.</t>
        </is>
      </c>
      <c r="F773" t="inlineStr">
        <is>
          <t>No</t>
        </is>
      </c>
      <c r="G773" t="inlineStr">
        <is>
          <t>1</t>
        </is>
      </c>
      <c r="H773" t="inlineStr">
        <is>
          <t>No</t>
        </is>
      </c>
      <c r="I773" t="inlineStr">
        <is>
          <t>No</t>
        </is>
      </c>
      <c r="J773" t="inlineStr">
        <is>
          <t>0</t>
        </is>
      </c>
      <c r="L773" t="inlineStr">
        <is>
          <t>New York : Guilford Press, c1988.</t>
        </is>
      </c>
      <c r="M773" t="inlineStr">
        <is>
          <t>1988</t>
        </is>
      </c>
      <c r="O773" t="inlineStr">
        <is>
          <t>eng</t>
        </is>
      </c>
      <c r="P773" t="inlineStr">
        <is>
          <t>nyu</t>
        </is>
      </c>
      <c r="Q773" t="inlineStr">
        <is>
          <t>The Guilford family therapy series</t>
        </is>
      </c>
      <c r="R773" t="inlineStr">
        <is>
          <t xml:space="preserve">RC </t>
        </is>
      </c>
      <c r="S773" t="n">
        <v>4</v>
      </c>
      <c r="T773" t="n">
        <v>4</v>
      </c>
      <c r="U773" t="inlineStr">
        <is>
          <t>2007-02-06</t>
        </is>
      </c>
      <c r="V773" t="inlineStr">
        <is>
          <t>2007-02-06</t>
        </is>
      </c>
      <c r="W773" t="inlineStr">
        <is>
          <t>1990-11-13</t>
        </is>
      </c>
      <c r="X773" t="inlineStr">
        <is>
          <t>1990-11-13</t>
        </is>
      </c>
      <c r="Y773" t="n">
        <v>434</v>
      </c>
      <c r="Z773" t="n">
        <v>335</v>
      </c>
      <c r="AA773" t="n">
        <v>344</v>
      </c>
      <c r="AB773" t="n">
        <v>2</v>
      </c>
      <c r="AC773" t="n">
        <v>2</v>
      </c>
      <c r="AD773" t="n">
        <v>20</v>
      </c>
      <c r="AE773" t="n">
        <v>20</v>
      </c>
      <c r="AF773" t="n">
        <v>10</v>
      </c>
      <c r="AG773" t="n">
        <v>10</v>
      </c>
      <c r="AH773" t="n">
        <v>3</v>
      </c>
      <c r="AI773" t="n">
        <v>3</v>
      </c>
      <c r="AJ773" t="n">
        <v>12</v>
      </c>
      <c r="AK773" t="n">
        <v>12</v>
      </c>
      <c r="AL773" t="n">
        <v>1</v>
      </c>
      <c r="AM773" t="n">
        <v>1</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HYPERLINK("https://creighton-primo.hosted.exlibrisgroup.com/primo-explore/search?tab=default_tab&amp;search_scope=EVERYTHING&amp;vid=01CRU&amp;lang=en_US&amp;offset=0&amp;query=any,contains,991001148019702656","Catalog Record")</f>
        <v/>
      </c>
      <c r="AT773">
        <f>HYPERLINK("http://www.worldcat.org/oclc/16801425","WorldCat Record")</f>
        <v/>
      </c>
      <c r="AU773" t="inlineStr">
        <is>
          <t>865299777:eng</t>
        </is>
      </c>
      <c r="AV773" t="inlineStr">
        <is>
          <t>16801425</t>
        </is>
      </c>
      <c r="AW773" t="inlineStr">
        <is>
          <t>991001148019702656</t>
        </is>
      </c>
      <c r="AX773" t="inlineStr">
        <is>
          <t>991001148019702656</t>
        </is>
      </c>
      <c r="AY773" t="inlineStr">
        <is>
          <t>2269004240002656</t>
        </is>
      </c>
      <c r="AZ773" t="inlineStr">
        <is>
          <t>BOOK</t>
        </is>
      </c>
      <c r="BB773" t="inlineStr">
        <is>
          <t>9780898620740</t>
        </is>
      </c>
      <c r="BC773" t="inlineStr">
        <is>
          <t>32285000355080</t>
        </is>
      </c>
      <c r="BD773" t="inlineStr">
        <is>
          <t>893407890</t>
        </is>
      </c>
    </row>
    <row r="774">
      <c r="A774" t="inlineStr">
        <is>
          <t>No</t>
        </is>
      </c>
      <c r="B774" t="inlineStr">
        <is>
          <t>RC488.5 .F45 1988</t>
        </is>
      </c>
      <c r="C774" t="inlineStr">
        <is>
          <t>0                      RC 0488500F  45          1988</t>
        </is>
      </c>
      <c r="D774" t="inlineStr">
        <is>
          <t>Feminist family therapy : a casebook / Thelma Jean Goodrich ... [et al.].</t>
        </is>
      </c>
      <c r="F774" t="inlineStr">
        <is>
          <t>No</t>
        </is>
      </c>
      <c r="G774" t="inlineStr">
        <is>
          <t>1</t>
        </is>
      </c>
      <c r="H774" t="inlineStr">
        <is>
          <t>No</t>
        </is>
      </c>
      <c r="I774" t="inlineStr">
        <is>
          <t>No</t>
        </is>
      </c>
      <c r="J774" t="inlineStr">
        <is>
          <t>0</t>
        </is>
      </c>
      <c r="L774" t="inlineStr">
        <is>
          <t>New York : Norton, c1988.</t>
        </is>
      </c>
      <c r="M774" t="inlineStr">
        <is>
          <t>1988</t>
        </is>
      </c>
      <c r="N774" t="inlineStr">
        <is>
          <t>1st ed.</t>
        </is>
      </c>
      <c r="O774" t="inlineStr">
        <is>
          <t>eng</t>
        </is>
      </c>
      <c r="P774" t="inlineStr">
        <is>
          <t>nyu</t>
        </is>
      </c>
      <c r="R774" t="inlineStr">
        <is>
          <t xml:space="preserve">RC </t>
        </is>
      </c>
      <c r="S774" t="n">
        <v>4</v>
      </c>
      <c r="T774" t="n">
        <v>4</v>
      </c>
      <c r="U774" t="inlineStr">
        <is>
          <t>1995-02-15</t>
        </is>
      </c>
      <c r="V774" t="inlineStr">
        <is>
          <t>1995-02-15</t>
        </is>
      </c>
      <c r="W774" t="inlineStr">
        <is>
          <t>1992-07-14</t>
        </is>
      </c>
      <c r="X774" t="inlineStr">
        <is>
          <t>1992-07-14</t>
        </is>
      </c>
      <c r="Y774" t="n">
        <v>417</v>
      </c>
      <c r="Z774" t="n">
        <v>338</v>
      </c>
      <c r="AA774" t="n">
        <v>342</v>
      </c>
      <c r="AB774" t="n">
        <v>4</v>
      </c>
      <c r="AC774" t="n">
        <v>4</v>
      </c>
      <c r="AD774" t="n">
        <v>18</v>
      </c>
      <c r="AE774" t="n">
        <v>18</v>
      </c>
      <c r="AF774" t="n">
        <v>5</v>
      </c>
      <c r="AG774" t="n">
        <v>5</v>
      </c>
      <c r="AH774" t="n">
        <v>5</v>
      </c>
      <c r="AI774" t="n">
        <v>5</v>
      </c>
      <c r="AJ774" t="n">
        <v>9</v>
      </c>
      <c r="AK774" t="n">
        <v>9</v>
      </c>
      <c r="AL774" t="n">
        <v>3</v>
      </c>
      <c r="AM774" t="n">
        <v>3</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HYPERLINK("https://creighton-primo.hosted.exlibrisgroup.com/primo-explore/search?tab=default_tab&amp;search_scope=EVERYTHING&amp;vid=01CRU&amp;lang=en_US&amp;offset=0&amp;query=any,contains,991001173779702656","Catalog Record")</f>
        <v/>
      </c>
      <c r="AT774">
        <f>HYPERLINK("http://www.worldcat.org/oclc/16984367","WorldCat Record")</f>
        <v/>
      </c>
      <c r="AU774" t="inlineStr">
        <is>
          <t>55530748:eng</t>
        </is>
      </c>
      <c r="AV774" t="inlineStr">
        <is>
          <t>16984367</t>
        </is>
      </c>
      <c r="AW774" t="inlineStr">
        <is>
          <t>991001173779702656</t>
        </is>
      </c>
      <c r="AX774" t="inlineStr">
        <is>
          <t>991001173779702656</t>
        </is>
      </c>
      <c r="AY774" t="inlineStr">
        <is>
          <t>2269783680002656</t>
        </is>
      </c>
      <c r="AZ774" t="inlineStr">
        <is>
          <t>BOOK</t>
        </is>
      </c>
      <c r="BB774" t="inlineStr">
        <is>
          <t>9780393700503</t>
        </is>
      </c>
      <c r="BC774" t="inlineStr">
        <is>
          <t>32285001151876</t>
        </is>
      </c>
      <c r="BD774" t="inlineStr">
        <is>
          <t>893596259</t>
        </is>
      </c>
    </row>
    <row r="775">
      <c r="A775" t="inlineStr">
        <is>
          <t>No</t>
        </is>
      </c>
      <c r="B775" t="inlineStr">
        <is>
          <t>RC488.5 .F7 1982</t>
        </is>
      </c>
      <c r="C775" t="inlineStr">
        <is>
          <t>0                      RC 0488500F  7           1982</t>
        </is>
      </c>
      <c r="D775" t="inlineStr">
        <is>
          <t>Explorations in marital and family therapy : selected papers of James L. Framo / James L. Framo ; foreword by Murray Bowen.</t>
        </is>
      </c>
      <c r="F775" t="inlineStr">
        <is>
          <t>No</t>
        </is>
      </c>
      <c r="G775" t="inlineStr">
        <is>
          <t>1</t>
        </is>
      </c>
      <c r="H775" t="inlineStr">
        <is>
          <t>No</t>
        </is>
      </c>
      <c r="I775" t="inlineStr">
        <is>
          <t>No</t>
        </is>
      </c>
      <c r="J775" t="inlineStr">
        <is>
          <t>0</t>
        </is>
      </c>
      <c r="K775" t="inlineStr">
        <is>
          <t>Framo, James L.</t>
        </is>
      </c>
      <c r="L775" t="inlineStr">
        <is>
          <t>New York : Springer Pub. Co., c1982.</t>
        </is>
      </c>
      <c r="M775" t="inlineStr">
        <is>
          <t>1982</t>
        </is>
      </c>
      <c r="O775" t="inlineStr">
        <is>
          <t>eng</t>
        </is>
      </c>
      <c r="P775" t="inlineStr">
        <is>
          <t>nyu</t>
        </is>
      </c>
      <c r="R775" t="inlineStr">
        <is>
          <t xml:space="preserve">RC </t>
        </is>
      </c>
      <c r="S775" t="n">
        <v>15</v>
      </c>
      <c r="T775" t="n">
        <v>15</v>
      </c>
      <c r="U775" t="inlineStr">
        <is>
          <t>1997-06-26</t>
        </is>
      </c>
      <c r="V775" t="inlineStr">
        <is>
          <t>1997-06-26</t>
        </is>
      </c>
      <c r="W775" t="inlineStr">
        <is>
          <t>1990-03-29</t>
        </is>
      </c>
      <c r="X775" t="inlineStr">
        <is>
          <t>1990-03-29</t>
        </is>
      </c>
      <c r="Y775" t="n">
        <v>405</v>
      </c>
      <c r="Z775" t="n">
        <v>351</v>
      </c>
      <c r="AA775" t="n">
        <v>356</v>
      </c>
      <c r="AB775" t="n">
        <v>3</v>
      </c>
      <c r="AC775" t="n">
        <v>3</v>
      </c>
      <c r="AD775" t="n">
        <v>13</v>
      </c>
      <c r="AE775" t="n">
        <v>13</v>
      </c>
      <c r="AF775" t="n">
        <v>3</v>
      </c>
      <c r="AG775" t="n">
        <v>3</v>
      </c>
      <c r="AH775" t="n">
        <v>4</v>
      </c>
      <c r="AI775" t="n">
        <v>4</v>
      </c>
      <c r="AJ775" t="n">
        <v>9</v>
      </c>
      <c r="AK775" t="n">
        <v>9</v>
      </c>
      <c r="AL775" t="n">
        <v>2</v>
      </c>
      <c r="AM775" t="n">
        <v>2</v>
      </c>
      <c r="AN775" t="n">
        <v>0</v>
      </c>
      <c r="AO775" t="n">
        <v>0</v>
      </c>
      <c r="AP775" t="inlineStr">
        <is>
          <t>No</t>
        </is>
      </c>
      <c r="AQ775" t="inlineStr">
        <is>
          <t>No</t>
        </is>
      </c>
      <c r="AS775">
        <f>HYPERLINK("https://creighton-primo.hosted.exlibrisgroup.com/primo-explore/search?tab=default_tab&amp;search_scope=EVERYTHING&amp;vid=01CRU&amp;lang=en_US&amp;offset=0&amp;query=any,contains,991005265599702656","Catalog Record")</f>
        <v/>
      </c>
      <c r="AT775">
        <f>HYPERLINK("http://www.worldcat.org/oclc/7975504","WorldCat Record")</f>
        <v/>
      </c>
      <c r="AU775" t="inlineStr">
        <is>
          <t>493147:eng</t>
        </is>
      </c>
      <c r="AV775" t="inlineStr">
        <is>
          <t>7975504</t>
        </is>
      </c>
      <c r="AW775" t="inlineStr">
        <is>
          <t>991005265599702656</t>
        </is>
      </c>
      <c r="AX775" t="inlineStr">
        <is>
          <t>991005265599702656</t>
        </is>
      </c>
      <c r="AY775" t="inlineStr">
        <is>
          <t>2264198220002656</t>
        </is>
      </c>
      <c r="AZ775" t="inlineStr">
        <is>
          <t>BOOK</t>
        </is>
      </c>
      <c r="BB775" t="inlineStr">
        <is>
          <t>9780826134004</t>
        </is>
      </c>
      <c r="BC775" t="inlineStr">
        <is>
          <t>32285000106525</t>
        </is>
      </c>
      <c r="BD775" t="inlineStr">
        <is>
          <t>893701292</t>
        </is>
      </c>
    </row>
    <row r="776">
      <c r="A776" t="inlineStr">
        <is>
          <t>No</t>
        </is>
      </c>
      <c r="B776" t="inlineStr">
        <is>
          <t>RC488.5 .F73 1987</t>
        </is>
      </c>
      <c r="C776" t="inlineStr">
        <is>
          <t>0                      RC 0488500F  73          1987</t>
        </is>
      </c>
      <c r="D776" t="inlineStr">
        <is>
          <t>Handbook of measurements for marriage and family therapy / by Norman Fredman &amp; Robert Sherman.</t>
        </is>
      </c>
      <c r="F776" t="inlineStr">
        <is>
          <t>No</t>
        </is>
      </c>
      <c r="G776" t="inlineStr">
        <is>
          <t>1</t>
        </is>
      </c>
      <c r="H776" t="inlineStr">
        <is>
          <t>No</t>
        </is>
      </c>
      <c r="I776" t="inlineStr">
        <is>
          <t>No</t>
        </is>
      </c>
      <c r="J776" t="inlineStr">
        <is>
          <t>0</t>
        </is>
      </c>
      <c r="K776" t="inlineStr">
        <is>
          <t>Fredman, Norman, 1932-</t>
        </is>
      </c>
      <c r="L776" t="inlineStr">
        <is>
          <t>New York : Brunner/Mazel, c1987.</t>
        </is>
      </c>
      <c r="M776" t="inlineStr">
        <is>
          <t>1987</t>
        </is>
      </c>
      <c r="O776" t="inlineStr">
        <is>
          <t>eng</t>
        </is>
      </c>
      <c r="P776" t="inlineStr">
        <is>
          <t>nyu</t>
        </is>
      </c>
      <c r="R776" t="inlineStr">
        <is>
          <t xml:space="preserve">RC </t>
        </is>
      </c>
      <c r="S776" t="n">
        <v>3</v>
      </c>
      <c r="T776" t="n">
        <v>3</v>
      </c>
      <c r="U776" t="inlineStr">
        <is>
          <t>2008-12-16</t>
        </is>
      </c>
      <c r="V776" t="inlineStr">
        <is>
          <t>2008-12-16</t>
        </is>
      </c>
      <c r="W776" t="inlineStr">
        <is>
          <t>1990-05-03</t>
        </is>
      </c>
      <c r="X776" t="inlineStr">
        <is>
          <t>1990-05-03</t>
        </is>
      </c>
      <c r="Y776" t="n">
        <v>557</v>
      </c>
      <c r="Z776" t="n">
        <v>476</v>
      </c>
      <c r="AA776" t="n">
        <v>561</v>
      </c>
      <c r="AB776" t="n">
        <v>4</v>
      </c>
      <c r="AC776" t="n">
        <v>5</v>
      </c>
      <c r="AD776" t="n">
        <v>24</v>
      </c>
      <c r="AE776" t="n">
        <v>28</v>
      </c>
      <c r="AF776" t="n">
        <v>8</v>
      </c>
      <c r="AG776" t="n">
        <v>9</v>
      </c>
      <c r="AH776" t="n">
        <v>4</v>
      </c>
      <c r="AI776" t="n">
        <v>6</v>
      </c>
      <c r="AJ776" t="n">
        <v>13</v>
      </c>
      <c r="AK776" t="n">
        <v>13</v>
      </c>
      <c r="AL776" t="n">
        <v>3</v>
      </c>
      <c r="AM776" t="n">
        <v>4</v>
      </c>
      <c r="AN776" t="n">
        <v>0</v>
      </c>
      <c r="AO776" t="n">
        <v>0</v>
      </c>
      <c r="AP776" t="inlineStr">
        <is>
          <t>No</t>
        </is>
      </c>
      <c r="AQ776" t="inlineStr">
        <is>
          <t>No</t>
        </is>
      </c>
      <c r="AS776">
        <f>HYPERLINK("https://creighton-primo.hosted.exlibrisgroup.com/primo-explore/search?tab=default_tab&amp;search_scope=EVERYTHING&amp;vid=01CRU&amp;lang=en_US&amp;offset=0&amp;query=any,contains,991001038129702656","Catalog Record")</f>
        <v/>
      </c>
      <c r="AT776">
        <f>HYPERLINK("http://www.worldcat.org/oclc/15550627","WorldCat Record")</f>
        <v/>
      </c>
      <c r="AU776" t="inlineStr">
        <is>
          <t>2853756:eng</t>
        </is>
      </c>
      <c r="AV776" t="inlineStr">
        <is>
          <t>15550627</t>
        </is>
      </c>
      <c r="AW776" t="inlineStr">
        <is>
          <t>991001038129702656</t>
        </is>
      </c>
      <c r="AX776" t="inlineStr">
        <is>
          <t>991001038129702656</t>
        </is>
      </c>
      <c r="AY776" t="inlineStr">
        <is>
          <t>2256339050002656</t>
        </is>
      </c>
      <c r="AZ776" t="inlineStr">
        <is>
          <t>BOOK</t>
        </is>
      </c>
      <c r="BB776" t="inlineStr">
        <is>
          <t>9780876304662</t>
        </is>
      </c>
      <c r="BC776" t="inlineStr">
        <is>
          <t>32285000117647</t>
        </is>
      </c>
      <c r="BD776" t="inlineStr">
        <is>
          <t>893315457</t>
        </is>
      </c>
    </row>
    <row r="777">
      <c r="A777" t="inlineStr">
        <is>
          <t>No</t>
        </is>
      </c>
      <c r="B777" t="inlineStr">
        <is>
          <t>RC488.5 .G525 1994</t>
        </is>
      </c>
      <c r="C777" t="inlineStr">
        <is>
          <t>0                      RC 0488500G  525         1994</t>
        </is>
      </c>
      <c r="D777" t="inlineStr">
        <is>
          <t>Play in family therapy / Eliana Gil ; foreword by Robert-Jay Green.</t>
        </is>
      </c>
      <c r="F777" t="inlineStr">
        <is>
          <t>No</t>
        </is>
      </c>
      <c r="G777" t="inlineStr">
        <is>
          <t>1</t>
        </is>
      </c>
      <c r="H777" t="inlineStr">
        <is>
          <t>No</t>
        </is>
      </c>
      <c r="I777" t="inlineStr">
        <is>
          <t>No</t>
        </is>
      </c>
      <c r="J777" t="inlineStr">
        <is>
          <t>0</t>
        </is>
      </c>
      <c r="K777" t="inlineStr">
        <is>
          <t>Gil, Eliana.</t>
        </is>
      </c>
      <c r="L777" t="inlineStr">
        <is>
          <t>New York : Guilford Press, c1994.</t>
        </is>
      </c>
      <c r="M777" t="inlineStr">
        <is>
          <t>1994</t>
        </is>
      </c>
      <c r="O777" t="inlineStr">
        <is>
          <t>eng</t>
        </is>
      </c>
      <c r="P777" t="inlineStr">
        <is>
          <t>nyu</t>
        </is>
      </c>
      <c r="R777" t="inlineStr">
        <is>
          <t xml:space="preserve">RC </t>
        </is>
      </c>
      <c r="S777" t="n">
        <v>13</v>
      </c>
      <c r="T777" t="n">
        <v>13</v>
      </c>
      <c r="U777" t="inlineStr">
        <is>
          <t>2001-11-26</t>
        </is>
      </c>
      <c r="V777" t="inlineStr">
        <is>
          <t>2001-11-26</t>
        </is>
      </c>
      <c r="W777" t="inlineStr">
        <is>
          <t>1995-11-15</t>
        </is>
      </c>
      <c r="X777" t="inlineStr">
        <is>
          <t>1995-11-15</t>
        </is>
      </c>
      <c r="Y777" t="n">
        <v>455</v>
      </c>
      <c r="Z777" t="n">
        <v>365</v>
      </c>
      <c r="AA777" t="n">
        <v>469</v>
      </c>
      <c r="AB777" t="n">
        <v>4</v>
      </c>
      <c r="AC777" t="n">
        <v>5</v>
      </c>
      <c r="AD777" t="n">
        <v>23</v>
      </c>
      <c r="AE777" t="n">
        <v>27</v>
      </c>
      <c r="AF777" t="n">
        <v>11</v>
      </c>
      <c r="AG777" t="n">
        <v>12</v>
      </c>
      <c r="AH777" t="n">
        <v>4</v>
      </c>
      <c r="AI777" t="n">
        <v>5</v>
      </c>
      <c r="AJ777" t="n">
        <v>8</v>
      </c>
      <c r="AK777" t="n">
        <v>10</v>
      </c>
      <c r="AL777" t="n">
        <v>3</v>
      </c>
      <c r="AM777" t="n">
        <v>4</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HYPERLINK("https://creighton-primo.hosted.exlibrisgroup.com/primo-explore/search?tab=default_tab&amp;search_scope=EVERYTHING&amp;vid=01CRU&amp;lang=en_US&amp;offset=0&amp;query=any,contains,991002270269702656","Catalog Record")</f>
        <v/>
      </c>
      <c r="AT777">
        <f>HYPERLINK("http://www.worldcat.org/oclc/29467002","WorldCat Record")</f>
        <v/>
      </c>
      <c r="AU777" t="inlineStr">
        <is>
          <t>933121:eng</t>
        </is>
      </c>
      <c r="AV777" t="inlineStr">
        <is>
          <t>29467002</t>
        </is>
      </c>
      <c r="AW777" t="inlineStr">
        <is>
          <t>991002270269702656</t>
        </is>
      </c>
      <c r="AX777" t="inlineStr">
        <is>
          <t>991002270269702656</t>
        </is>
      </c>
      <c r="AY777" t="inlineStr">
        <is>
          <t>2260758260002656</t>
        </is>
      </c>
      <c r="AZ777" t="inlineStr">
        <is>
          <t>BOOK</t>
        </is>
      </c>
      <c r="BB777" t="inlineStr">
        <is>
          <t>9780898627565</t>
        </is>
      </c>
      <c r="BC777" t="inlineStr">
        <is>
          <t>32285002098662</t>
        </is>
      </c>
      <c r="BD777" t="inlineStr">
        <is>
          <t>893497909</t>
        </is>
      </c>
    </row>
    <row r="778">
      <c r="A778" t="inlineStr">
        <is>
          <t>No</t>
        </is>
      </c>
      <c r="B778" t="inlineStr">
        <is>
          <t>RC488.5 .H314 2007</t>
        </is>
      </c>
      <c r="C778" t="inlineStr">
        <is>
          <t>0                      RC 0488500H  314         2007</t>
        </is>
      </c>
      <c r="D778" t="inlineStr">
        <is>
          <t>Directive family therapy / Jay Haley, Madeleine Richeport-Haley.</t>
        </is>
      </c>
      <c r="F778" t="inlineStr">
        <is>
          <t>No</t>
        </is>
      </c>
      <c r="G778" t="inlineStr">
        <is>
          <t>1</t>
        </is>
      </c>
      <c r="H778" t="inlineStr">
        <is>
          <t>No</t>
        </is>
      </c>
      <c r="I778" t="inlineStr">
        <is>
          <t>No</t>
        </is>
      </c>
      <c r="J778" t="inlineStr">
        <is>
          <t>0</t>
        </is>
      </c>
      <c r="K778" t="inlineStr">
        <is>
          <t>Haley, Jay, 1923-2007.</t>
        </is>
      </c>
      <c r="L778" t="inlineStr">
        <is>
          <t>New York : Haworth Press, c2007.</t>
        </is>
      </c>
      <c r="M778" t="inlineStr">
        <is>
          <t>2007</t>
        </is>
      </c>
      <c r="O778" t="inlineStr">
        <is>
          <t>eng</t>
        </is>
      </c>
      <c r="P778" t="inlineStr">
        <is>
          <t>nyu</t>
        </is>
      </c>
      <c r="Q778" t="inlineStr">
        <is>
          <t>Haworth series in brief &amp; solution-focused therapies</t>
        </is>
      </c>
      <c r="R778" t="inlineStr">
        <is>
          <t xml:space="preserve">RC </t>
        </is>
      </c>
      <c r="S778" t="n">
        <v>1</v>
      </c>
      <c r="T778" t="n">
        <v>1</v>
      </c>
      <c r="U778" t="inlineStr">
        <is>
          <t>2008-10-28</t>
        </is>
      </c>
      <c r="V778" t="inlineStr">
        <is>
          <t>2008-10-28</t>
        </is>
      </c>
      <c r="W778" t="inlineStr">
        <is>
          <t>2008-10-28</t>
        </is>
      </c>
      <c r="X778" t="inlineStr">
        <is>
          <t>2008-10-28</t>
        </is>
      </c>
      <c r="Y778" t="n">
        <v>142</v>
      </c>
      <c r="Z778" t="n">
        <v>113</v>
      </c>
      <c r="AA778" t="n">
        <v>138</v>
      </c>
      <c r="AB778" t="n">
        <v>2</v>
      </c>
      <c r="AC778" t="n">
        <v>2</v>
      </c>
      <c r="AD778" t="n">
        <v>8</v>
      </c>
      <c r="AE778" t="n">
        <v>8</v>
      </c>
      <c r="AF778" t="n">
        <v>2</v>
      </c>
      <c r="AG778" t="n">
        <v>2</v>
      </c>
      <c r="AH778" t="n">
        <v>1</v>
      </c>
      <c r="AI778" t="n">
        <v>1</v>
      </c>
      <c r="AJ778" t="n">
        <v>6</v>
      </c>
      <c r="AK778" t="n">
        <v>6</v>
      </c>
      <c r="AL778" t="n">
        <v>0</v>
      </c>
      <c r="AM778" t="n">
        <v>0</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HYPERLINK("https://creighton-primo.hosted.exlibrisgroup.com/primo-explore/search?tab=default_tab&amp;search_scope=EVERYTHING&amp;vid=01CRU&amp;lang=en_US&amp;offset=0&amp;query=any,contains,991005269499702656","Catalog Record")</f>
        <v/>
      </c>
      <c r="AT778">
        <f>HYPERLINK("http://www.worldcat.org/oclc/85885398","WorldCat Record")</f>
        <v/>
      </c>
      <c r="AU778" t="inlineStr">
        <is>
          <t>69767644:eng</t>
        </is>
      </c>
      <c r="AV778" t="inlineStr">
        <is>
          <t>85885398</t>
        </is>
      </c>
      <c r="AW778" t="inlineStr">
        <is>
          <t>991005269499702656</t>
        </is>
      </c>
      <c r="AX778" t="inlineStr">
        <is>
          <t>991005269499702656</t>
        </is>
      </c>
      <c r="AY778" t="inlineStr">
        <is>
          <t>2262143800002656</t>
        </is>
      </c>
      <c r="AZ778" t="inlineStr">
        <is>
          <t>BOOK</t>
        </is>
      </c>
      <c r="BB778" t="inlineStr">
        <is>
          <t>9780789033550</t>
        </is>
      </c>
      <c r="BC778" t="inlineStr">
        <is>
          <t>32285005464689</t>
        </is>
      </c>
      <c r="BD778" t="inlineStr">
        <is>
          <t>893607109</t>
        </is>
      </c>
    </row>
    <row r="779">
      <c r="A779" t="inlineStr">
        <is>
          <t>No</t>
        </is>
      </c>
      <c r="B779" t="inlineStr">
        <is>
          <t>RC488.5 .H33</t>
        </is>
      </c>
      <c r="C779" t="inlineStr">
        <is>
          <t>0                      RC 0488500H  33</t>
        </is>
      </c>
      <c r="D779" t="inlineStr">
        <is>
          <t>Handbook of family therapy / edited by Alan S. Gurman and David P. Kniskern.</t>
        </is>
      </c>
      <c r="F779" t="inlineStr">
        <is>
          <t>No</t>
        </is>
      </c>
      <c r="G779" t="inlineStr">
        <is>
          <t>1</t>
        </is>
      </c>
      <c r="H779" t="inlineStr">
        <is>
          <t>Yes</t>
        </is>
      </c>
      <c r="I779" t="inlineStr">
        <is>
          <t>No</t>
        </is>
      </c>
      <c r="J779" t="inlineStr">
        <is>
          <t>0</t>
        </is>
      </c>
      <c r="L779" t="inlineStr">
        <is>
          <t>New York : Brunner/Mazel, c1981.</t>
        </is>
      </c>
      <c r="M779" t="inlineStr">
        <is>
          <t>1981</t>
        </is>
      </c>
      <c r="O779" t="inlineStr">
        <is>
          <t>eng</t>
        </is>
      </c>
      <c r="P779" t="inlineStr">
        <is>
          <t>nyu</t>
        </is>
      </c>
      <c r="R779" t="inlineStr">
        <is>
          <t xml:space="preserve">RC </t>
        </is>
      </c>
      <c r="S779" t="n">
        <v>12</v>
      </c>
      <c r="T779" t="n">
        <v>17</v>
      </c>
      <c r="U779" t="inlineStr">
        <is>
          <t>1996-02-23</t>
        </is>
      </c>
      <c r="V779" t="inlineStr">
        <is>
          <t>1999-05-05</t>
        </is>
      </c>
      <c r="W779" t="inlineStr">
        <is>
          <t>1990-07-20</t>
        </is>
      </c>
      <c r="X779" t="inlineStr">
        <is>
          <t>1990-07-20</t>
        </is>
      </c>
      <c r="Y779" t="n">
        <v>984</v>
      </c>
      <c r="Z779" t="n">
        <v>849</v>
      </c>
      <c r="AA779" t="n">
        <v>907</v>
      </c>
      <c r="AB779" t="n">
        <v>9</v>
      </c>
      <c r="AC779" t="n">
        <v>9</v>
      </c>
      <c r="AD779" t="n">
        <v>37</v>
      </c>
      <c r="AE779" t="n">
        <v>37</v>
      </c>
      <c r="AF779" t="n">
        <v>15</v>
      </c>
      <c r="AG779" t="n">
        <v>15</v>
      </c>
      <c r="AH779" t="n">
        <v>5</v>
      </c>
      <c r="AI779" t="n">
        <v>5</v>
      </c>
      <c r="AJ779" t="n">
        <v>19</v>
      </c>
      <c r="AK779" t="n">
        <v>19</v>
      </c>
      <c r="AL779" t="n">
        <v>6</v>
      </c>
      <c r="AM779" t="n">
        <v>6</v>
      </c>
      <c r="AN779" t="n">
        <v>0</v>
      </c>
      <c r="AO779" t="n">
        <v>0</v>
      </c>
      <c r="AP779" t="inlineStr">
        <is>
          <t>No</t>
        </is>
      </c>
      <c r="AQ779" t="inlineStr">
        <is>
          <t>No</t>
        </is>
      </c>
      <c r="AS779">
        <f>HYPERLINK("https://creighton-primo.hosted.exlibrisgroup.com/primo-explore/search?tab=default_tab&amp;search_scope=EVERYTHING&amp;vid=01CRU&amp;lang=en_US&amp;offset=0&amp;query=any,contains,991001758869702656","Catalog Record")</f>
        <v/>
      </c>
      <c r="AT779">
        <f>HYPERLINK("http://www.worldcat.org/oclc/6626231","WorldCat Record")</f>
        <v/>
      </c>
      <c r="AU779" t="inlineStr">
        <is>
          <t>353261926:eng</t>
        </is>
      </c>
      <c r="AV779" t="inlineStr">
        <is>
          <t>6626231</t>
        </is>
      </c>
      <c r="AW779" t="inlineStr">
        <is>
          <t>991001758869702656</t>
        </is>
      </c>
      <c r="AX779" t="inlineStr">
        <is>
          <t>991001758869702656</t>
        </is>
      </c>
      <c r="AY779" t="inlineStr">
        <is>
          <t>2256076110002656</t>
        </is>
      </c>
      <c r="AZ779" t="inlineStr">
        <is>
          <t>BOOK</t>
        </is>
      </c>
      <c r="BB779" t="inlineStr">
        <is>
          <t>9780876302422</t>
        </is>
      </c>
      <c r="BC779" t="inlineStr">
        <is>
          <t>32285000245968</t>
        </is>
      </c>
      <c r="BD779" t="inlineStr">
        <is>
          <t>893602864</t>
        </is>
      </c>
    </row>
    <row r="780">
      <c r="A780" t="inlineStr">
        <is>
          <t>No</t>
        </is>
      </c>
      <c r="B780" t="inlineStr">
        <is>
          <t>RC488.5 .H4</t>
        </is>
      </c>
      <c r="C780" t="inlineStr">
        <is>
          <t>0                      RC 0488500H  4</t>
        </is>
      </c>
      <c r="D780" t="inlineStr">
        <is>
          <t>Adults and their parents in family therapy : a new direction in treatment / Lee Headley ; with a foreword by Virginia M. Satir.</t>
        </is>
      </c>
      <c r="F780" t="inlineStr">
        <is>
          <t>No</t>
        </is>
      </c>
      <c r="G780" t="inlineStr">
        <is>
          <t>1</t>
        </is>
      </c>
      <c r="H780" t="inlineStr">
        <is>
          <t>No</t>
        </is>
      </c>
      <c r="I780" t="inlineStr">
        <is>
          <t>No</t>
        </is>
      </c>
      <c r="J780" t="inlineStr">
        <is>
          <t>0</t>
        </is>
      </c>
      <c r="K780" t="inlineStr">
        <is>
          <t>Headley, Lee A.</t>
        </is>
      </c>
      <c r="L780" t="inlineStr">
        <is>
          <t>New York : Plenum Press, c1977.</t>
        </is>
      </c>
      <c r="M780" t="inlineStr">
        <is>
          <t>1977</t>
        </is>
      </c>
      <c r="O780" t="inlineStr">
        <is>
          <t>eng</t>
        </is>
      </c>
      <c r="P780" t="inlineStr">
        <is>
          <t>nyu</t>
        </is>
      </c>
      <c r="R780" t="inlineStr">
        <is>
          <t xml:space="preserve">RC </t>
        </is>
      </c>
      <c r="S780" t="n">
        <v>3</v>
      </c>
      <c r="T780" t="n">
        <v>3</v>
      </c>
      <c r="U780" t="inlineStr">
        <is>
          <t>1995-02-15</t>
        </is>
      </c>
      <c r="V780" t="inlineStr">
        <is>
          <t>1995-02-15</t>
        </is>
      </c>
      <c r="W780" t="inlineStr">
        <is>
          <t>1993-03-23</t>
        </is>
      </c>
      <c r="X780" t="inlineStr">
        <is>
          <t>1993-03-23</t>
        </is>
      </c>
      <c r="Y780" t="n">
        <v>371</v>
      </c>
      <c r="Z780" t="n">
        <v>292</v>
      </c>
      <c r="AA780" t="n">
        <v>297</v>
      </c>
      <c r="AB780" t="n">
        <v>1</v>
      </c>
      <c r="AC780" t="n">
        <v>1</v>
      </c>
      <c r="AD780" t="n">
        <v>12</v>
      </c>
      <c r="AE780" t="n">
        <v>12</v>
      </c>
      <c r="AF780" t="n">
        <v>4</v>
      </c>
      <c r="AG780" t="n">
        <v>4</v>
      </c>
      <c r="AH780" t="n">
        <v>3</v>
      </c>
      <c r="AI780" t="n">
        <v>3</v>
      </c>
      <c r="AJ780" t="n">
        <v>8</v>
      </c>
      <c r="AK780" t="n">
        <v>8</v>
      </c>
      <c r="AL780" t="n">
        <v>0</v>
      </c>
      <c r="AM780" t="n">
        <v>0</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HYPERLINK("https://creighton-primo.hosted.exlibrisgroup.com/primo-explore/search?tab=default_tab&amp;search_scope=EVERYTHING&amp;vid=01CRU&amp;lang=en_US&amp;offset=0&amp;query=any,contains,991004400129702656","Catalog Record")</f>
        <v/>
      </c>
      <c r="AT780">
        <f>HYPERLINK("http://www.worldcat.org/oclc/3294653","WorldCat Record")</f>
        <v/>
      </c>
      <c r="AU780" t="inlineStr">
        <is>
          <t>503627970:eng</t>
        </is>
      </c>
      <c r="AV780" t="inlineStr">
        <is>
          <t>3294653</t>
        </is>
      </c>
      <c r="AW780" t="inlineStr">
        <is>
          <t>991004400129702656</t>
        </is>
      </c>
      <c r="AX780" t="inlineStr">
        <is>
          <t>991004400129702656</t>
        </is>
      </c>
      <c r="AY780" t="inlineStr">
        <is>
          <t>2259543170002656</t>
        </is>
      </c>
      <c r="AZ780" t="inlineStr">
        <is>
          <t>BOOK</t>
        </is>
      </c>
      <c r="BB780" t="inlineStr">
        <is>
          <t>9780306310874</t>
        </is>
      </c>
      <c r="BC780" t="inlineStr">
        <is>
          <t>32285001606796</t>
        </is>
      </c>
      <c r="BD780" t="inlineStr">
        <is>
          <t>893782193</t>
        </is>
      </c>
    </row>
    <row r="781">
      <c r="A781" t="inlineStr">
        <is>
          <t>No</t>
        </is>
      </c>
      <c r="B781" t="inlineStr">
        <is>
          <t>RC488.5 .H59 1990</t>
        </is>
      </c>
      <c r="C781" t="inlineStr">
        <is>
          <t>0                      RC 0488500H  59          1990</t>
        </is>
      </c>
      <c r="D781" t="inlineStr">
        <is>
          <t>Intermarried couples in therapy / by Man Keung Ho.</t>
        </is>
      </c>
      <c r="F781" t="inlineStr">
        <is>
          <t>No</t>
        </is>
      </c>
      <c r="G781" t="inlineStr">
        <is>
          <t>1</t>
        </is>
      </c>
      <c r="H781" t="inlineStr">
        <is>
          <t>No</t>
        </is>
      </c>
      <c r="I781" t="inlineStr">
        <is>
          <t>No</t>
        </is>
      </c>
      <c r="J781" t="inlineStr">
        <is>
          <t>0</t>
        </is>
      </c>
      <c r="K781" t="inlineStr">
        <is>
          <t>Ho, Man Keung.</t>
        </is>
      </c>
      <c r="L781" t="inlineStr">
        <is>
          <t>Springfield, Ill., U.S.A. : C.C. Thomas, c1990.</t>
        </is>
      </c>
      <c r="M781" t="inlineStr">
        <is>
          <t>1990</t>
        </is>
      </c>
      <c r="O781" t="inlineStr">
        <is>
          <t>eng</t>
        </is>
      </c>
      <c r="P781" t="inlineStr">
        <is>
          <t>ilu</t>
        </is>
      </c>
      <c r="R781" t="inlineStr">
        <is>
          <t xml:space="preserve">RC </t>
        </is>
      </c>
      <c r="S781" t="n">
        <v>18</v>
      </c>
      <c r="T781" t="n">
        <v>18</v>
      </c>
      <c r="U781" t="inlineStr">
        <is>
          <t>2002-05-08</t>
        </is>
      </c>
      <c r="V781" t="inlineStr">
        <is>
          <t>2002-05-08</t>
        </is>
      </c>
      <c r="W781" t="inlineStr">
        <is>
          <t>1992-04-20</t>
        </is>
      </c>
      <c r="X781" t="inlineStr">
        <is>
          <t>1992-04-20</t>
        </is>
      </c>
      <c r="Y781" t="n">
        <v>164</v>
      </c>
      <c r="Z781" t="n">
        <v>147</v>
      </c>
      <c r="AA781" t="n">
        <v>149</v>
      </c>
      <c r="AB781" t="n">
        <v>2</v>
      </c>
      <c r="AC781" t="n">
        <v>2</v>
      </c>
      <c r="AD781" t="n">
        <v>7</v>
      </c>
      <c r="AE781" t="n">
        <v>7</v>
      </c>
      <c r="AF781" t="n">
        <v>1</v>
      </c>
      <c r="AG781" t="n">
        <v>1</v>
      </c>
      <c r="AH781" t="n">
        <v>1</v>
      </c>
      <c r="AI781" t="n">
        <v>1</v>
      </c>
      <c r="AJ781" t="n">
        <v>5</v>
      </c>
      <c r="AK781" t="n">
        <v>5</v>
      </c>
      <c r="AL781" t="n">
        <v>1</v>
      </c>
      <c r="AM781" t="n">
        <v>1</v>
      </c>
      <c r="AN781" t="n">
        <v>0</v>
      </c>
      <c r="AO781" t="n">
        <v>0</v>
      </c>
      <c r="AP781" t="inlineStr">
        <is>
          <t>No</t>
        </is>
      </c>
      <c r="AQ781" t="inlineStr">
        <is>
          <t>Yes</t>
        </is>
      </c>
      <c r="AR781">
        <f>HYPERLINK("http://catalog.hathitrust.org/Record/002205017","HathiTrust Record")</f>
        <v/>
      </c>
      <c r="AS781">
        <f>HYPERLINK("https://creighton-primo.hosted.exlibrisgroup.com/primo-explore/search?tab=default_tab&amp;search_scope=EVERYTHING&amp;vid=01CRU&amp;lang=en_US&amp;offset=0&amp;query=any,contains,991001594109702656","Catalog Record")</f>
        <v/>
      </c>
      <c r="AT781">
        <f>HYPERLINK("http://www.worldcat.org/oclc/20595917","WorldCat Record")</f>
        <v/>
      </c>
      <c r="AU781" t="inlineStr">
        <is>
          <t>22751987:eng</t>
        </is>
      </c>
      <c r="AV781" t="inlineStr">
        <is>
          <t>20595917</t>
        </is>
      </c>
      <c r="AW781" t="inlineStr">
        <is>
          <t>991001594109702656</t>
        </is>
      </c>
      <c r="AX781" t="inlineStr">
        <is>
          <t>991001594109702656</t>
        </is>
      </c>
      <c r="AY781" t="inlineStr">
        <is>
          <t>2270573120002656</t>
        </is>
      </c>
      <c r="AZ781" t="inlineStr">
        <is>
          <t>BOOK</t>
        </is>
      </c>
      <c r="BB781" t="inlineStr">
        <is>
          <t>9780398056520</t>
        </is>
      </c>
      <c r="BC781" t="inlineStr">
        <is>
          <t>32285001035814</t>
        </is>
      </c>
      <c r="BD781" t="inlineStr">
        <is>
          <t>893497193</t>
        </is>
      </c>
    </row>
    <row r="782">
      <c r="A782" t="inlineStr">
        <is>
          <t>No</t>
        </is>
      </c>
      <c r="B782" t="inlineStr">
        <is>
          <t>RC488.5 .I45 1998</t>
        </is>
      </c>
      <c r="C782" t="inlineStr">
        <is>
          <t>0                      RC 0488500I  45          1998</t>
        </is>
      </c>
      <c r="D782" t="inlineStr">
        <is>
          <t>The secret life of families : truth-telling, privacy, and reconciliation in a tell-all society / Evan Imber-Black.</t>
        </is>
      </c>
      <c r="F782" t="inlineStr">
        <is>
          <t>No</t>
        </is>
      </c>
      <c r="G782" t="inlineStr">
        <is>
          <t>1</t>
        </is>
      </c>
      <c r="H782" t="inlineStr">
        <is>
          <t>No</t>
        </is>
      </c>
      <c r="I782" t="inlineStr">
        <is>
          <t>No</t>
        </is>
      </c>
      <c r="J782" t="inlineStr">
        <is>
          <t>0</t>
        </is>
      </c>
      <c r="K782" t="inlineStr">
        <is>
          <t>Imber-Black, Evan.</t>
        </is>
      </c>
      <c r="L782" t="inlineStr">
        <is>
          <t>New York : Bantam Books, c1998.</t>
        </is>
      </c>
      <c r="M782" t="inlineStr">
        <is>
          <t>1998</t>
        </is>
      </c>
      <c r="O782" t="inlineStr">
        <is>
          <t>eng</t>
        </is>
      </c>
      <c r="P782" t="inlineStr">
        <is>
          <t>nyu</t>
        </is>
      </c>
      <c r="R782" t="inlineStr">
        <is>
          <t xml:space="preserve">RC </t>
        </is>
      </c>
      <c r="S782" t="n">
        <v>2</v>
      </c>
      <c r="T782" t="n">
        <v>2</v>
      </c>
      <c r="U782" t="inlineStr">
        <is>
          <t>2009-05-28</t>
        </is>
      </c>
      <c r="V782" t="inlineStr">
        <is>
          <t>2009-05-28</t>
        </is>
      </c>
      <c r="W782" t="inlineStr">
        <is>
          <t>2009-05-11</t>
        </is>
      </c>
      <c r="X782" t="inlineStr">
        <is>
          <t>2009-05-11</t>
        </is>
      </c>
      <c r="Y782" t="n">
        <v>348</v>
      </c>
      <c r="Z782" t="n">
        <v>322</v>
      </c>
      <c r="AA782" t="n">
        <v>329</v>
      </c>
      <c r="AB782" t="n">
        <v>3</v>
      </c>
      <c r="AC782" t="n">
        <v>3</v>
      </c>
      <c r="AD782" t="n">
        <v>8</v>
      </c>
      <c r="AE782" t="n">
        <v>8</v>
      </c>
      <c r="AF782" t="n">
        <v>5</v>
      </c>
      <c r="AG782" t="n">
        <v>5</v>
      </c>
      <c r="AH782" t="n">
        <v>0</v>
      </c>
      <c r="AI782" t="n">
        <v>0</v>
      </c>
      <c r="AJ782" t="n">
        <v>5</v>
      </c>
      <c r="AK782" t="n">
        <v>5</v>
      </c>
      <c r="AL782" t="n">
        <v>1</v>
      </c>
      <c r="AM782" t="n">
        <v>1</v>
      </c>
      <c r="AN782" t="n">
        <v>0</v>
      </c>
      <c r="AO782" t="n">
        <v>0</v>
      </c>
      <c r="AP782" t="inlineStr">
        <is>
          <t>No</t>
        </is>
      </c>
      <c r="AQ782" t="inlineStr">
        <is>
          <t>Yes</t>
        </is>
      </c>
      <c r="AR782">
        <f>HYPERLINK("http://catalog.hathitrust.org/Record/003967439","HathiTrust Record")</f>
        <v/>
      </c>
      <c r="AS782">
        <f>HYPERLINK("https://creighton-primo.hosted.exlibrisgroup.com/primo-explore/search?tab=default_tab&amp;search_scope=EVERYTHING&amp;vid=01CRU&amp;lang=en_US&amp;offset=0&amp;query=any,contains,991005315209702656","Catalog Record")</f>
        <v/>
      </c>
      <c r="AT782">
        <f>HYPERLINK("http://www.worldcat.org/oclc/37761831","WorldCat Record")</f>
        <v/>
      </c>
      <c r="AU782" t="inlineStr">
        <is>
          <t>3373231401:eng</t>
        </is>
      </c>
      <c r="AV782" t="inlineStr">
        <is>
          <t>37761831</t>
        </is>
      </c>
      <c r="AW782" t="inlineStr">
        <is>
          <t>991005315209702656</t>
        </is>
      </c>
      <c r="AX782" t="inlineStr">
        <is>
          <t>991005315209702656</t>
        </is>
      </c>
      <c r="AY782" t="inlineStr">
        <is>
          <t>2272380470002656</t>
        </is>
      </c>
      <c r="AZ782" t="inlineStr">
        <is>
          <t>BOOK</t>
        </is>
      </c>
      <c r="BB782" t="inlineStr">
        <is>
          <t>9780553100945</t>
        </is>
      </c>
      <c r="BC782" t="inlineStr">
        <is>
          <t>32285005531719</t>
        </is>
      </c>
      <c r="BD782" t="inlineStr">
        <is>
          <t>893418733</t>
        </is>
      </c>
    </row>
    <row r="783">
      <c r="A783" t="inlineStr">
        <is>
          <t>No</t>
        </is>
      </c>
      <c r="B783" t="inlineStr">
        <is>
          <t>RC488.5 .I585 1989</t>
        </is>
      </c>
      <c r="C783" t="inlineStr">
        <is>
          <t>0                      RC 0488500I  585         1989</t>
        </is>
      </c>
      <c r="D783" t="inlineStr">
        <is>
          <t>Intimate environments : sex, intimacy, and gender in families / edited by David Kantor, Barbara F. Okun.</t>
        </is>
      </c>
      <c r="F783" t="inlineStr">
        <is>
          <t>No</t>
        </is>
      </c>
      <c r="G783" t="inlineStr">
        <is>
          <t>1</t>
        </is>
      </c>
      <c r="H783" t="inlineStr">
        <is>
          <t>No</t>
        </is>
      </c>
      <c r="I783" t="inlineStr">
        <is>
          <t>No</t>
        </is>
      </c>
      <c r="J783" t="inlineStr">
        <is>
          <t>0</t>
        </is>
      </c>
      <c r="L783" t="inlineStr">
        <is>
          <t>New York : Guilford Press, c1989.</t>
        </is>
      </c>
      <c r="M783" t="inlineStr">
        <is>
          <t>1989</t>
        </is>
      </c>
      <c r="O783" t="inlineStr">
        <is>
          <t>eng</t>
        </is>
      </c>
      <c r="P783" t="inlineStr">
        <is>
          <t>nyu</t>
        </is>
      </c>
      <c r="R783" t="inlineStr">
        <is>
          <t xml:space="preserve">RC </t>
        </is>
      </c>
      <c r="S783" t="n">
        <v>7</v>
      </c>
      <c r="T783" t="n">
        <v>7</v>
      </c>
      <c r="U783" t="inlineStr">
        <is>
          <t>2005-02-17</t>
        </is>
      </c>
      <c r="V783" t="inlineStr">
        <is>
          <t>2005-02-17</t>
        </is>
      </c>
      <c r="W783" t="inlineStr">
        <is>
          <t>1992-09-30</t>
        </is>
      </c>
      <c r="X783" t="inlineStr">
        <is>
          <t>1992-09-30</t>
        </is>
      </c>
      <c r="Y783" t="n">
        <v>326</v>
      </c>
      <c r="Z783" t="n">
        <v>268</v>
      </c>
      <c r="AA783" t="n">
        <v>268</v>
      </c>
      <c r="AB783" t="n">
        <v>3</v>
      </c>
      <c r="AC783" t="n">
        <v>3</v>
      </c>
      <c r="AD783" t="n">
        <v>15</v>
      </c>
      <c r="AE783" t="n">
        <v>15</v>
      </c>
      <c r="AF783" t="n">
        <v>4</v>
      </c>
      <c r="AG783" t="n">
        <v>4</v>
      </c>
      <c r="AH783" t="n">
        <v>3</v>
      </c>
      <c r="AI783" t="n">
        <v>3</v>
      </c>
      <c r="AJ783" t="n">
        <v>11</v>
      </c>
      <c r="AK783" t="n">
        <v>11</v>
      </c>
      <c r="AL783" t="n">
        <v>2</v>
      </c>
      <c r="AM783" t="n">
        <v>2</v>
      </c>
      <c r="AN783" t="n">
        <v>0</v>
      </c>
      <c r="AO783" t="n">
        <v>0</v>
      </c>
      <c r="AP783" t="inlineStr">
        <is>
          <t>No</t>
        </is>
      </c>
      <c r="AQ783" t="inlineStr">
        <is>
          <t>No</t>
        </is>
      </c>
      <c r="AS783">
        <f>HYPERLINK("https://creighton-primo.hosted.exlibrisgroup.com/primo-explore/search?tab=default_tab&amp;search_scope=EVERYTHING&amp;vid=01CRU&amp;lang=en_US&amp;offset=0&amp;query=any,contains,991001427619702656","Catalog Record")</f>
        <v/>
      </c>
      <c r="AT783">
        <f>HYPERLINK("http://www.worldcat.org/oclc/19064052","WorldCat Record")</f>
        <v/>
      </c>
      <c r="AU783" t="inlineStr">
        <is>
          <t>432207452:eng</t>
        </is>
      </c>
      <c r="AV783" t="inlineStr">
        <is>
          <t>19064052</t>
        </is>
      </c>
      <c r="AW783" t="inlineStr">
        <is>
          <t>991001427619702656</t>
        </is>
      </c>
      <c r="AX783" t="inlineStr">
        <is>
          <t>991001427619702656</t>
        </is>
      </c>
      <c r="AY783" t="inlineStr">
        <is>
          <t>2260913590002656</t>
        </is>
      </c>
      <c r="AZ783" t="inlineStr">
        <is>
          <t>BOOK</t>
        </is>
      </c>
      <c r="BB783" t="inlineStr">
        <is>
          <t>9780898627480</t>
        </is>
      </c>
      <c r="BC783" t="inlineStr">
        <is>
          <t>32285001315265</t>
        </is>
      </c>
      <c r="BD783" t="inlineStr">
        <is>
          <t>893250244</t>
        </is>
      </c>
    </row>
    <row r="784">
      <c r="A784" t="inlineStr">
        <is>
          <t>No</t>
        </is>
      </c>
      <c r="B784" t="inlineStr">
        <is>
          <t>RC488.5 .I59 1988</t>
        </is>
      </c>
      <c r="C784" t="inlineStr">
        <is>
          <t>0                      RC 0488500I  59          1988</t>
        </is>
      </c>
      <c r="D784" t="inlineStr">
        <is>
          <t>The Invisible web : gender patterns in family relationships / Marianne Walters ... [et al.] ; the Women's Project in Family Therapy.</t>
        </is>
      </c>
      <c r="F784" t="inlineStr">
        <is>
          <t>No</t>
        </is>
      </c>
      <c r="G784" t="inlineStr">
        <is>
          <t>1</t>
        </is>
      </c>
      <c r="H784" t="inlineStr">
        <is>
          <t>No</t>
        </is>
      </c>
      <c r="I784" t="inlineStr">
        <is>
          <t>No</t>
        </is>
      </c>
      <c r="J784" t="inlineStr">
        <is>
          <t>0</t>
        </is>
      </c>
      <c r="L784" t="inlineStr">
        <is>
          <t>New York : Guilford Press, c1988.</t>
        </is>
      </c>
      <c r="M784" t="inlineStr">
        <is>
          <t>1988</t>
        </is>
      </c>
      <c r="O784" t="inlineStr">
        <is>
          <t>eng</t>
        </is>
      </c>
      <c r="P784" t="inlineStr">
        <is>
          <t>nyu</t>
        </is>
      </c>
      <c r="R784" t="inlineStr">
        <is>
          <t xml:space="preserve">RC </t>
        </is>
      </c>
      <c r="S784" t="n">
        <v>12</v>
      </c>
      <c r="T784" t="n">
        <v>12</v>
      </c>
      <c r="U784" t="inlineStr">
        <is>
          <t>1997-06-26</t>
        </is>
      </c>
      <c r="V784" t="inlineStr">
        <is>
          <t>1997-06-26</t>
        </is>
      </c>
      <c r="W784" t="inlineStr">
        <is>
          <t>1991-06-06</t>
        </is>
      </c>
      <c r="X784" t="inlineStr">
        <is>
          <t>1991-06-06</t>
        </is>
      </c>
      <c r="Y784" t="n">
        <v>756</v>
      </c>
      <c r="Z784" t="n">
        <v>612</v>
      </c>
      <c r="AA784" t="n">
        <v>613</v>
      </c>
      <c r="AB784" t="n">
        <v>6</v>
      </c>
      <c r="AC784" t="n">
        <v>6</v>
      </c>
      <c r="AD784" t="n">
        <v>26</v>
      </c>
      <c r="AE784" t="n">
        <v>26</v>
      </c>
      <c r="AF784" t="n">
        <v>7</v>
      </c>
      <c r="AG784" t="n">
        <v>7</v>
      </c>
      <c r="AH784" t="n">
        <v>7</v>
      </c>
      <c r="AI784" t="n">
        <v>7</v>
      </c>
      <c r="AJ784" t="n">
        <v>16</v>
      </c>
      <c r="AK784" t="n">
        <v>16</v>
      </c>
      <c r="AL784" t="n">
        <v>4</v>
      </c>
      <c r="AM784" t="n">
        <v>4</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HYPERLINK("https://creighton-primo.hosted.exlibrisgroup.com/primo-explore/search?tab=default_tab&amp;search_scope=EVERYTHING&amp;vid=01CRU&amp;lang=en_US&amp;offset=0&amp;query=any,contains,991001368289702656","Catalog Record")</f>
        <v/>
      </c>
      <c r="AT784">
        <f>HYPERLINK("http://www.worldcat.org/oclc/18560051","WorldCat Record")</f>
        <v/>
      </c>
      <c r="AU784" t="inlineStr">
        <is>
          <t>889373393:eng</t>
        </is>
      </c>
      <c r="AV784" t="inlineStr">
        <is>
          <t>18560051</t>
        </is>
      </c>
      <c r="AW784" t="inlineStr">
        <is>
          <t>991001368289702656</t>
        </is>
      </c>
      <c r="AX784" t="inlineStr">
        <is>
          <t>991001368289702656</t>
        </is>
      </c>
      <c r="AY784" t="inlineStr">
        <is>
          <t>2271607130002656</t>
        </is>
      </c>
      <c r="AZ784" t="inlineStr">
        <is>
          <t>BOOK</t>
        </is>
      </c>
      <c r="BB784" t="inlineStr">
        <is>
          <t>9780898627343</t>
        </is>
      </c>
      <c r="BC784" t="inlineStr">
        <is>
          <t>32285000593615</t>
        </is>
      </c>
      <c r="BD784" t="inlineStr">
        <is>
          <t>893809045</t>
        </is>
      </c>
    </row>
    <row r="785">
      <c r="A785" t="inlineStr">
        <is>
          <t>No</t>
        </is>
      </c>
      <c r="B785" t="inlineStr">
        <is>
          <t>RC488.5 .J33</t>
        </is>
      </c>
      <c r="C785" t="inlineStr">
        <is>
          <t>0                      RC 0488500J  33</t>
        </is>
      </c>
      <c r="D785" t="inlineStr">
        <is>
          <t>Communication, family, and marriage / edited by Don D. Jackson.</t>
        </is>
      </c>
      <c r="F785" t="inlineStr">
        <is>
          <t>No</t>
        </is>
      </c>
      <c r="G785" t="inlineStr">
        <is>
          <t>1</t>
        </is>
      </c>
      <c r="H785" t="inlineStr">
        <is>
          <t>No</t>
        </is>
      </c>
      <c r="I785" t="inlineStr">
        <is>
          <t>No</t>
        </is>
      </c>
      <c r="J785" t="inlineStr">
        <is>
          <t>0</t>
        </is>
      </c>
      <c r="K785" t="inlineStr">
        <is>
          <t>Jackson, Don D. (Don De Avila), 1920-1968 compiler.</t>
        </is>
      </c>
      <c r="L785" t="inlineStr">
        <is>
          <t>Palo Alto, Calif. : Science and Behavior Books, [1968]</t>
        </is>
      </c>
      <c r="M785" t="inlineStr">
        <is>
          <t>1968</t>
        </is>
      </c>
      <c r="O785" t="inlineStr">
        <is>
          <t>eng</t>
        </is>
      </c>
      <c r="P785" t="inlineStr">
        <is>
          <t>cau</t>
        </is>
      </c>
      <c r="Q785" t="inlineStr">
        <is>
          <t>Human communication, v. 1</t>
        </is>
      </c>
      <c r="R785" t="inlineStr">
        <is>
          <t xml:space="preserve">RC </t>
        </is>
      </c>
      <c r="S785" t="n">
        <v>3</v>
      </c>
      <c r="T785" t="n">
        <v>3</v>
      </c>
      <c r="U785" t="inlineStr">
        <is>
          <t>2007-03-21</t>
        </is>
      </c>
      <c r="V785" t="inlineStr">
        <is>
          <t>2007-03-21</t>
        </is>
      </c>
      <c r="W785" t="inlineStr">
        <is>
          <t>1992-02-27</t>
        </is>
      </c>
      <c r="X785" t="inlineStr">
        <is>
          <t>1992-02-27</t>
        </is>
      </c>
      <c r="Y785" t="n">
        <v>509</v>
      </c>
      <c r="Z785" t="n">
        <v>433</v>
      </c>
      <c r="AA785" t="n">
        <v>441</v>
      </c>
      <c r="AB785" t="n">
        <v>2</v>
      </c>
      <c r="AC785" t="n">
        <v>2</v>
      </c>
      <c r="AD785" t="n">
        <v>11</v>
      </c>
      <c r="AE785" t="n">
        <v>11</v>
      </c>
      <c r="AF785" t="n">
        <v>2</v>
      </c>
      <c r="AG785" t="n">
        <v>2</v>
      </c>
      <c r="AH785" t="n">
        <v>3</v>
      </c>
      <c r="AI785" t="n">
        <v>3</v>
      </c>
      <c r="AJ785" t="n">
        <v>6</v>
      </c>
      <c r="AK785" t="n">
        <v>6</v>
      </c>
      <c r="AL785" t="n">
        <v>1</v>
      </c>
      <c r="AM785" t="n">
        <v>1</v>
      </c>
      <c r="AN785" t="n">
        <v>0</v>
      </c>
      <c r="AO785" t="n">
        <v>0</v>
      </c>
      <c r="AP785" t="inlineStr">
        <is>
          <t>No</t>
        </is>
      </c>
      <c r="AQ785" t="inlineStr">
        <is>
          <t>Yes</t>
        </is>
      </c>
      <c r="AR785">
        <f>HYPERLINK("http://catalog.hathitrust.org/Record/001564695","HathiTrust Record")</f>
        <v/>
      </c>
      <c r="AS785">
        <f>HYPERLINK("https://creighton-primo.hosted.exlibrisgroup.com/primo-explore/search?tab=default_tab&amp;search_scope=EVERYTHING&amp;vid=01CRU&amp;lang=en_US&amp;offset=0&amp;query=any,contains,991002787099702656","Catalog Record")</f>
        <v/>
      </c>
      <c r="AT785">
        <f>HYPERLINK("http://www.worldcat.org/oclc/442048","WorldCat Record")</f>
        <v/>
      </c>
      <c r="AU785" t="inlineStr">
        <is>
          <t>1570585:eng</t>
        </is>
      </c>
      <c r="AV785" t="inlineStr">
        <is>
          <t>442048</t>
        </is>
      </c>
      <c r="AW785" t="inlineStr">
        <is>
          <t>991002787099702656</t>
        </is>
      </c>
      <c r="AX785" t="inlineStr">
        <is>
          <t>991002787099702656</t>
        </is>
      </c>
      <c r="AY785" t="inlineStr">
        <is>
          <t>2255704080002656</t>
        </is>
      </c>
      <c r="AZ785" t="inlineStr">
        <is>
          <t>BOOK</t>
        </is>
      </c>
      <c r="BC785" t="inlineStr">
        <is>
          <t>32285000978212</t>
        </is>
      </c>
      <c r="BD785" t="inlineStr">
        <is>
          <t>893251611</t>
        </is>
      </c>
    </row>
    <row r="786">
      <c r="A786" t="inlineStr">
        <is>
          <t>No</t>
        </is>
      </c>
      <c r="B786" t="inlineStr">
        <is>
          <t>RC488.5 .K65 1985</t>
        </is>
      </c>
      <c r="C786" t="inlineStr">
        <is>
          <t>0                      RC 0488500K  65          1985</t>
        </is>
      </c>
      <c r="D786" t="inlineStr">
        <is>
          <t>Family therapy models : convergence and divergence / Michael S. Kolevzon, Robert G. Green.</t>
        </is>
      </c>
      <c r="F786" t="inlineStr">
        <is>
          <t>No</t>
        </is>
      </c>
      <c r="G786" t="inlineStr">
        <is>
          <t>1</t>
        </is>
      </c>
      <c r="H786" t="inlineStr">
        <is>
          <t>No</t>
        </is>
      </c>
      <c r="I786" t="inlineStr">
        <is>
          <t>No</t>
        </is>
      </c>
      <c r="J786" t="inlineStr">
        <is>
          <t>0</t>
        </is>
      </c>
      <c r="K786" t="inlineStr">
        <is>
          <t>Kolevzon, Michael S.</t>
        </is>
      </c>
      <c r="L786" t="inlineStr">
        <is>
          <t>New York : Springer Pub. Co., c1985.</t>
        </is>
      </c>
      <c r="M786" t="inlineStr">
        <is>
          <t>1985</t>
        </is>
      </c>
      <c r="O786" t="inlineStr">
        <is>
          <t>eng</t>
        </is>
      </c>
      <c r="P786" t="inlineStr">
        <is>
          <t>nyu</t>
        </is>
      </c>
      <c r="R786" t="inlineStr">
        <is>
          <t xml:space="preserve">RC </t>
        </is>
      </c>
      <c r="S786" t="n">
        <v>3</v>
      </c>
      <c r="T786" t="n">
        <v>3</v>
      </c>
      <c r="U786" t="inlineStr">
        <is>
          <t>1999-04-20</t>
        </is>
      </c>
      <c r="V786" t="inlineStr">
        <is>
          <t>1999-04-20</t>
        </is>
      </c>
      <c r="W786" t="inlineStr">
        <is>
          <t>1993-03-23</t>
        </is>
      </c>
      <c r="X786" t="inlineStr">
        <is>
          <t>1993-03-23</t>
        </is>
      </c>
      <c r="Y786" t="n">
        <v>355</v>
      </c>
      <c r="Z786" t="n">
        <v>313</v>
      </c>
      <c r="AA786" t="n">
        <v>320</v>
      </c>
      <c r="AB786" t="n">
        <v>4</v>
      </c>
      <c r="AC786" t="n">
        <v>4</v>
      </c>
      <c r="AD786" t="n">
        <v>17</v>
      </c>
      <c r="AE786" t="n">
        <v>17</v>
      </c>
      <c r="AF786" t="n">
        <v>3</v>
      </c>
      <c r="AG786" t="n">
        <v>3</v>
      </c>
      <c r="AH786" t="n">
        <v>4</v>
      </c>
      <c r="AI786" t="n">
        <v>4</v>
      </c>
      <c r="AJ786" t="n">
        <v>10</v>
      </c>
      <c r="AK786" t="n">
        <v>10</v>
      </c>
      <c r="AL786" t="n">
        <v>3</v>
      </c>
      <c r="AM786" t="n">
        <v>3</v>
      </c>
      <c r="AN786" t="n">
        <v>0</v>
      </c>
      <c r="AO786" t="n">
        <v>0</v>
      </c>
      <c r="AP786" t="inlineStr">
        <is>
          <t>No</t>
        </is>
      </c>
      <c r="AQ786" t="inlineStr">
        <is>
          <t>Yes</t>
        </is>
      </c>
      <c r="AR786">
        <f>HYPERLINK("http://catalog.hathitrust.org/Record/000348431","HathiTrust Record")</f>
        <v/>
      </c>
      <c r="AS786">
        <f>HYPERLINK("https://creighton-primo.hosted.exlibrisgroup.com/primo-explore/search?tab=default_tab&amp;search_scope=EVERYTHING&amp;vid=01CRU&amp;lang=en_US&amp;offset=0&amp;query=any,contains,991000618729702656","Catalog Record")</f>
        <v/>
      </c>
      <c r="AT786">
        <f>HYPERLINK("http://www.worldcat.org/oclc/11970248","WorldCat Record")</f>
        <v/>
      </c>
      <c r="AU786" t="inlineStr">
        <is>
          <t>254665149:eng</t>
        </is>
      </c>
      <c r="AV786" t="inlineStr">
        <is>
          <t>11970248</t>
        </is>
      </c>
      <c r="AW786" t="inlineStr">
        <is>
          <t>991000618729702656</t>
        </is>
      </c>
      <c r="AX786" t="inlineStr">
        <is>
          <t>991000618729702656</t>
        </is>
      </c>
      <c r="AY786" t="inlineStr">
        <is>
          <t>2256464590002656</t>
        </is>
      </c>
      <c r="AZ786" t="inlineStr">
        <is>
          <t>BOOK</t>
        </is>
      </c>
      <c r="BB786" t="inlineStr">
        <is>
          <t>9780826144508</t>
        </is>
      </c>
      <c r="BC786" t="inlineStr">
        <is>
          <t>32285001606804</t>
        </is>
      </c>
      <c r="BD786" t="inlineStr">
        <is>
          <t>893321192</t>
        </is>
      </c>
    </row>
    <row r="787">
      <c r="A787" t="inlineStr">
        <is>
          <t>No</t>
        </is>
      </c>
      <c r="B787" t="inlineStr">
        <is>
          <t>RC488.5 .L82 1988</t>
        </is>
      </c>
      <c r="C787" t="inlineStr">
        <is>
          <t>0                      RC 0488500L  82          1988</t>
        </is>
      </c>
      <c r="D787" t="inlineStr">
        <is>
          <t>The family interpreted : feminist theory in clinical practice / Deborah Anna Luepnitz.</t>
        </is>
      </c>
      <c r="F787" t="inlineStr">
        <is>
          <t>No</t>
        </is>
      </c>
      <c r="G787" t="inlineStr">
        <is>
          <t>1</t>
        </is>
      </c>
      <c r="H787" t="inlineStr">
        <is>
          <t>No</t>
        </is>
      </c>
      <c r="I787" t="inlineStr">
        <is>
          <t>No</t>
        </is>
      </c>
      <c r="J787" t="inlineStr">
        <is>
          <t>0</t>
        </is>
      </c>
      <c r="K787" t="inlineStr">
        <is>
          <t>Luepnitz, Deborah Anna.</t>
        </is>
      </c>
      <c r="L787" t="inlineStr">
        <is>
          <t>New York : Basic Books, c1988.</t>
        </is>
      </c>
      <c r="M787" t="inlineStr">
        <is>
          <t>1988</t>
        </is>
      </c>
      <c r="O787" t="inlineStr">
        <is>
          <t>eng</t>
        </is>
      </c>
      <c r="P787" t="inlineStr">
        <is>
          <t>nyu</t>
        </is>
      </c>
      <c r="R787" t="inlineStr">
        <is>
          <t xml:space="preserve">RC </t>
        </is>
      </c>
      <c r="S787" t="n">
        <v>6</v>
      </c>
      <c r="T787" t="n">
        <v>6</v>
      </c>
      <c r="U787" t="inlineStr">
        <is>
          <t>1999-06-09</t>
        </is>
      </c>
      <c r="V787" t="inlineStr">
        <is>
          <t>1999-06-09</t>
        </is>
      </c>
      <c r="W787" t="inlineStr">
        <is>
          <t>1992-05-07</t>
        </is>
      </c>
      <c r="X787" t="inlineStr">
        <is>
          <t>1992-05-07</t>
        </is>
      </c>
      <c r="Y787" t="n">
        <v>483</v>
      </c>
      <c r="Z787" t="n">
        <v>379</v>
      </c>
      <c r="AA787" t="n">
        <v>487</v>
      </c>
      <c r="AB787" t="n">
        <v>3</v>
      </c>
      <c r="AC787" t="n">
        <v>3</v>
      </c>
      <c r="AD787" t="n">
        <v>19</v>
      </c>
      <c r="AE787" t="n">
        <v>23</v>
      </c>
      <c r="AF787" t="n">
        <v>6</v>
      </c>
      <c r="AG787" t="n">
        <v>9</v>
      </c>
      <c r="AH787" t="n">
        <v>4</v>
      </c>
      <c r="AI787" t="n">
        <v>5</v>
      </c>
      <c r="AJ787" t="n">
        <v>10</v>
      </c>
      <c r="AK787" t="n">
        <v>11</v>
      </c>
      <c r="AL787" t="n">
        <v>2</v>
      </c>
      <c r="AM787" t="n">
        <v>2</v>
      </c>
      <c r="AN787" t="n">
        <v>0</v>
      </c>
      <c r="AO787" t="n">
        <v>0</v>
      </c>
      <c r="AP787" t="inlineStr">
        <is>
          <t>No</t>
        </is>
      </c>
      <c r="AQ787" t="inlineStr">
        <is>
          <t>Yes</t>
        </is>
      </c>
      <c r="AR787">
        <f>HYPERLINK("http://catalog.hathitrust.org/Record/001072585","HathiTrust Record")</f>
        <v/>
      </c>
      <c r="AS787">
        <f>HYPERLINK("https://creighton-primo.hosted.exlibrisgroup.com/primo-explore/search?tab=default_tab&amp;search_scope=EVERYTHING&amp;vid=01CRU&amp;lang=en_US&amp;offset=0&amp;query=any,contains,991001297359702656","Catalog Record")</f>
        <v/>
      </c>
      <c r="AT787">
        <f>HYPERLINK("http://www.worldcat.org/oclc/18049962","WorldCat Record")</f>
        <v/>
      </c>
      <c r="AU787" t="inlineStr">
        <is>
          <t>17218061:eng</t>
        </is>
      </c>
      <c r="AV787" t="inlineStr">
        <is>
          <t>18049962</t>
        </is>
      </c>
      <c r="AW787" t="inlineStr">
        <is>
          <t>991001297359702656</t>
        </is>
      </c>
      <c r="AX787" t="inlineStr">
        <is>
          <t>991001297359702656</t>
        </is>
      </c>
      <c r="AY787" t="inlineStr">
        <is>
          <t>2260542670002656</t>
        </is>
      </c>
      <c r="AZ787" t="inlineStr">
        <is>
          <t>BOOK</t>
        </is>
      </c>
      <c r="BB787" t="inlineStr">
        <is>
          <t>9780465023509</t>
        </is>
      </c>
      <c r="BC787" t="inlineStr">
        <is>
          <t>32285001105500</t>
        </is>
      </c>
      <c r="BD787" t="inlineStr">
        <is>
          <t>893608755</t>
        </is>
      </c>
    </row>
    <row r="788">
      <c r="A788" t="inlineStr">
        <is>
          <t>No</t>
        </is>
      </c>
      <c r="B788" t="inlineStr">
        <is>
          <t>RC488.5 .M32 1981</t>
        </is>
      </c>
      <c r="C788" t="inlineStr">
        <is>
          <t>0                      RC 0488500M  32          1981</t>
        </is>
      </c>
      <c r="D788" t="inlineStr">
        <is>
          <t>Strategic family therapy / Cloé Madanes.</t>
        </is>
      </c>
      <c r="F788" t="inlineStr">
        <is>
          <t>No</t>
        </is>
      </c>
      <c r="G788" t="inlineStr">
        <is>
          <t>1</t>
        </is>
      </c>
      <c r="H788" t="inlineStr">
        <is>
          <t>No</t>
        </is>
      </c>
      <c r="I788" t="inlineStr">
        <is>
          <t>No</t>
        </is>
      </c>
      <c r="J788" t="inlineStr">
        <is>
          <t>0</t>
        </is>
      </c>
      <c r="K788" t="inlineStr">
        <is>
          <t>Madanes, Cloé.</t>
        </is>
      </c>
      <c r="L788" t="inlineStr">
        <is>
          <t>San Francisco : Jossey-Bass, 1981.</t>
        </is>
      </c>
      <c r="M788" t="inlineStr">
        <is>
          <t>1981</t>
        </is>
      </c>
      <c r="N788" t="inlineStr">
        <is>
          <t>1st ed.</t>
        </is>
      </c>
      <c r="O788" t="inlineStr">
        <is>
          <t>eng</t>
        </is>
      </c>
      <c r="P788" t="inlineStr">
        <is>
          <t>cau</t>
        </is>
      </c>
      <c r="R788" t="inlineStr">
        <is>
          <t xml:space="preserve">RC </t>
        </is>
      </c>
      <c r="S788" t="n">
        <v>4</v>
      </c>
      <c r="T788" t="n">
        <v>4</v>
      </c>
      <c r="U788" t="inlineStr">
        <is>
          <t>1995-07-18</t>
        </is>
      </c>
      <c r="V788" t="inlineStr">
        <is>
          <t>1995-07-18</t>
        </is>
      </c>
      <c r="W788" t="inlineStr">
        <is>
          <t>1993-03-23</t>
        </is>
      </c>
      <c r="X788" t="inlineStr">
        <is>
          <t>1993-03-23</t>
        </is>
      </c>
      <c r="Y788" t="n">
        <v>866</v>
      </c>
      <c r="Z788" t="n">
        <v>711</v>
      </c>
      <c r="AA788" t="n">
        <v>777</v>
      </c>
      <c r="AB788" t="n">
        <v>6</v>
      </c>
      <c r="AC788" t="n">
        <v>6</v>
      </c>
      <c r="AD788" t="n">
        <v>33</v>
      </c>
      <c r="AE788" t="n">
        <v>37</v>
      </c>
      <c r="AF788" t="n">
        <v>11</v>
      </c>
      <c r="AG788" t="n">
        <v>14</v>
      </c>
      <c r="AH788" t="n">
        <v>8</v>
      </c>
      <c r="AI788" t="n">
        <v>8</v>
      </c>
      <c r="AJ788" t="n">
        <v>16</v>
      </c>
      <c r="AK788" t="n">
        <v>18</v>
      </c>
      <c r="AL788" t="n">
        <v>4</v>
      </c>
      <c r="AM788" t="n">
        <v>4</v>
      </c>
      <c r="AN788" t="n">
        <v>1</v>
      </c>
      <c r="AO788" t="n">
        <v>1</v>
      </c>
      <c r="AP788" t="inlineStr">
        <is>
          <t>No</t>
        </is>
      </c>
      <c r="AQ788" t="inlineStr">
        <is>
          <t>Yes</t>
        </is>
      </c>
      <c r="AR788">
        <f>HYPERLINK("http://catalog.hathitrust.org/Record/005242983","HathiTrust Record")</f>
        <v/>
      </c>
      <c r="AS788">
        <f>HYPERLINK("https://creighton-primo.hosted.exlibrisgroup.com/primo-explore/search?tab=default_tab&amp;search_scope=EVERYTHING&amp;vid=01CRU&amp;lang=en_US&amp;offset=0&amp;query=any,contains,991005060469702656","Catalog Record")</f>
        <v/>
      </c>
      <c r="AT788">
        <f>HYPERLINK("http://www.worldcat.org/oclc/6917416","WorldCat Record")</f>
        <v/>
      </c>
      <c r="AU788" t="inlineStr">
        <is>
          <t>532863:eng</t>
        </is>
      </c>
      <c r="AV788" t="inlineStr">
        <is>
          <t>6917416</t>
        </is>
      </c>
      <c r="AW788" t="inlineStr">
        <is>
          <t>991005060469702656</t>
        </is>
      </c>
      <c r="AX788" t="inlineStr">
        <is>
          <t>991005060469702656</t>
        </is>
      </c>
      <c r="AY788" t="inlineStr">
        <is>
          <t>2264610870002656</t>
        </is>
      </c>
      <c r="AZ788" t="inlineStr">
        <is>
          <t>BOOK</t>
        </is>
      </c>
      <c r="BB788" t="inlineStr">
        <is>
          <t>9780875894874</t>
        </is>
      </c>
      <c r="BC788" t="inlineStr">
        <is>
          <t>32285001606812</t>
        </is>
      </c>
      <c r="BD788" t="inlineStr">
        <is>
          <t>893424481</t>
        </is>
      </c>
    </row>
    <row r="789">
      <c r="A789" t="inlineStr">
        <is>
          <t>No</t>
        </is>
      </c>
      <c r="B789" t="inlineStr">
        <is>
          <t>RC488.5 .M54 2007</t>
        </is>
      </c>
      <c r="C789" t="inlineStr">
        <is>
          <t>0                      RC 0488500M  54          2007</t>
        </is>
      </c>
      <c r="D789" t="inlineStr">
        <is>
          <t>Assessing families and couples : from symptom to system / Salvador Minuchin, Michael P. Nichols, Wai-Yung Lee.</t>
        </is>
      </c>
      <c r="F789" t="inlineStr">
        <is>
          <t>No</t>
        </is>
      </c>
      <c r="G789" t="inlineStr">
        <is>
          <t>1</t>
        </is>
      </c>
      <c r="H789" t="inlineStr">
        <is>
          <t>No</t>
        </is>
      </c>
      <c r="I789" t="inlineStr">
        <is>
          <t>No</t>
        </is>
      </c>
      <c r="J789" t="inlineStr">
        <is>
          <t>0</t>
        </is>
      </c>
      <c r="K789" t="inlineStr">
        <is>
          <t>Minuchin, Salvador.</t>
        </is>
      </c>
      <c r="L789" t="inlineStr">
        <is>
          <t>Boston : Pearson/Allyn and Bacon, c2007.</t>
        </is>
      </c>
      <c r="M789" t="inlineStr">
        <is>
          <t>2007</t>
        </is>
      </c>
      <c r="O789" t="inlineStr">
        <is>
          <t>eng</t>
        </is>
      </c>
      <c r="P789" t="inlineStr">
        <is>
          <t>mau</t>
        </is>
      </c>
      <c r="R789" t="inlineStr">
        <is>
          <t xml:space="preserve">RC </t>
        </is>
      </c>
      <c r="S789" t="n">
        <v>3</v>
      </c>
      <c r="T789" t="n">
        <v>3</v>
      </c>
      <c r="U789" t="inlineStr">
        <is>
          <t>2008-03-05</t>
        </is>
      </c>
      <c r="V789" t="inlineStr">
        <is>
          <t>2008-03-05</t>
        </is>
      </c>
      <c r="W789" t="inlineStr">
        <is>
          <t>2007-12-17</t>
        </is>
      </c>
      <c r="X789" t="inlineStr">
        <is>
          <t>2007-12-17</t>
        </is>
      </c>
      <c r="Y789" t="n">
        <v>188</v>
      </c>
      <c r="Z789" t="n">
        <v>121</v>
      </c>
      <c r="AA789" t="n">
        <v>122</v>
      </c>
      <c r="AB789" t="n">
        <v>2</v>
      </c>
      <c r="AC789" t="n">
        <v>2</v>
      </c>
      <c r="AD789" t="n">
        <v>9</v>
      </c>
      <c r="AE789" t="n">
        <v>9</v>
      </c>
      <c r="AF789" t="n">
        <v>3</v>
      </c>
      <c r="AG789" t="n">
        <v>3</v>
      </c>
      <c r="AH789" t="n">
        <v>1</v>
      </c>
      <c r="AI789" t="n">
        <v>1</v>
      </c>
      <c r="AJ789" t="n">
        <v>6</v>
      </c>
      <c r="AK789" t="n">
        <v>6</v>
      </c>
      <c r="AL789" t="n">
        <v>1</v>
      </c>
      <c r="AM789" t="n">
        <v>1</v>
      </c>
      <c r="AN789" t="n">
        <v>0</v>
      </c>
      <c r="AO789" t="n">
        <v>0</v>
      </c>
      <c r="AP789" t="inlineStr">
        <is>
          <t>No</t>
        </is>
      </c>
      <c r="AQ789" t="inlineStr">
        <is>
          <t>No</t>
        </is>
      </c>
      <c r="AS789">
        <f>HYPERLINK("https://creighton-primo.hosted.exlibrisgroup.com/primo-explore/search?tab=default_tab&amp;search_scope=EVERYTHING&amp;vid=01CRU&amp;lang=en_US&amp;offset=0&amp;query=any,contains,991005150559702656","Catalog Record")</f>
        <v/>
      </c>
      <c r="AT789">
        <f>HYPERLINK("http://www.worldcat.org/oclc/62741576","WorldCat Record")</f>
        <v/>
      </c>
      <c r="AU789" t="inlineStr">
        <is>
          <t>892783304:eng</t>
        </is>
      </c>
      <c r="AV789" t="inlineStr">
        <is>
          <t>62741576</t>
        </is>
      </c>
      <c r="AW789" t="inlineStr">
        <is>
          <t>991005150559702656</t>
        </is>
      </c>
      <c r="AX789" t="inlineStr">
        <is>
          <t>991005150559702656</t>
        </is>
      </c>
      <c r="AY789" t="inlineStr">
        <is>
          <t>2256713350002656</t>
        </is>
      </c>
      <c r="AZ789" t="inlineStr">
        <is>
          <t>BOOK</t>
        </is>
      </c>
      <c r="BB789" t="inlineStr">
        <is>
          <t>9780205470129</t>
        </is>
      </c>
      <c r="BC789" t="inlineStr">
        <is>
          <t>32285005373377</t>
        </is>
      </c>
      <c r="BD789" t="inlineStr">
        <is>
          <t>893536416</t>
        </is>
      </c>
    </row>
    <row r="790">
      <c r="A790" t="inlineStr">
        <is>
          <t>No</t>
        </is>
      </c>
      <c r="B790" t="inlineStr">
        <is>
          <t>RC488.5 .N47 1986</t>
        </is>
      </c>
      <c r="C790" t="inlineStr">
        <is>
          <t>0                      RC 0488500N  47          1986</t>
        </is>
      </c>
      <c r="D790" t="inlineStr">
        <is>
          <t>Family reconstruction : long day's journey into light / William F. Nerin ; foreword by Virginia Satir.</t>
        </is>
      </c>
      <c r="F790" t="inlineStr">
        <is>
          <t>No</t>
        </is>
      </c>
      <c r="G790" t="inlineStr">
        <is>
          <t>1</t>
        </is>
      </c>
      <c r="H790" t="inlineStr">
        <is>
          <t>No</t>
        </is>
      </c>
      <c r="I790" t="inlineStr">
        <is>
          <t>No</t>
        </is>
      </c>
      <c r="J790" t="inlineStr">
        <is>
          <t>0</t>
        </is>
      </c>
      <c r="K790" t="inlineStr">
        <is>
          <t>Nerin, William F.</t>
        </is>
      </c>
      <c r="L790" t="inlineStr">
        <is>
          <t>New York : Norton, c1986.</t>
        </is>
      </c>
      <c r="M790" t="inlineStr">
        <is>
          <t>1986</t>
        </is>
      </c>
      <c r="N790" t="inlineStr">
        <is>
          <t>1st ed.</t>
        </is>
      </c>
      <c r="O790" t="inlineStr">
        <is>
          <t>eng</t>
        </is>
      </c>
      <c r="P790" t="inlineStr">
        <is>
          <t>nyu</t>
        </is>
      </c>
      <c r="R790" t="inlineStr">
        <is>
          <t xml:space="preserve">RC </t>
        </is>
      </c>
      <c r="S790" t="n">
        <v>3</v>
      </c>
      <c r="T790" t="n">
        <v>3</v>
      </c>
      <c r="U790" t="inlineStr">
        <is>
          <t>1994-10-24</t>
        </is>
      </c>
      <c r="V790" t="inlineStr">
        <is>
          <t>1994-10-24</t>
        </is>
      </c>
      <c r="W790" t="inlineStr">
        <is>
          <t>1992-02-25</t>
        </is>
      </c>
      <c r="X790" t="inlineStr">
        <is>
          <t>1992-02-25</t>
        </is>
      </c>
      <c r="Y790" t="n">
        <v>276</v>
      </c>
      <c r="Z790" t="n">
        <v>234</v>
      </c>
      <c r="AA790" t="n">
        <v>239</v>
      </c>
      <c r="AB790" t="n">
        <v>2</v>
      </c>
      <c r="AC790" t="n">
        <v>2</v>
      </c>
      <c r="AD790" t="n">
        <v>13</v>
      </c>
      <c r="AE790" t="n">
        <v>13</v>
      </c>
      <c r="AF790" t="n">
        <v>3</v>
      </c>
      <c r="AG790" t="n">
        <v>3</v>
      </c>
      <c r="AH790" t="n">
        <v>3</v>
      </c>
      <c r="AI790" t="n">
        <v>3</v>
      </c>
      <c r="AJ790" t="n">
        <v>10</v>
      </c>
      <c r="AK790" t="n">
        <v>10</v>
      </c>
      <c r="AL790" t="n">
        <v>1</v>
      </c>
      <c r="AM790" t="n">
        <v>1</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HYPERLINK("https://creighton-primo.hosted.exlibrisgroup.com/primo-explore/search?tab=default_tab&amp;search_scope=EVERYTHING&amp;vid=01CRU&amp;lang=en_US&amp;offset=0&amp;query=any,contains,991000674119702656","Catalog Record")</f>
        <v/>
      </c>
      <c r="AT790">
        <f>HYPERLINK("http://www.worldcat.org/oclc/12342820","WorldCat Record")</f>
        <v/>
      </c>
      <c r="AU790" t="inlineStr">
        <is>
          <t>351431490:eng</t>
        </is>
      </c>
      <c r="AV790" t="inlineStr">
        <is>
          <t>12342820</t>
        </is>
      </c>
      <c r="AW790" t="inlineStr">
        <is>
          <t>991000674119702656</t>
        </is>
      </c>
      <c r="AX790" t="inlineStr">
        <is>
          <t>991000674119702656</t>
        </is>
      </c>
      <c r="AY790" t="inlineStr">
        <is>
          <t>2268548740002656</t>
        </is>
      </c>
      <c r="AZ790" t="inlineStr">
        <is>
          <t>BOOK</t>
        </is>
      </c>
      <c r="BB790" t="inlineStr">
        <is>
          <t>9780393700176</t>
        </is>
      </c>
      <c r="BC790" t="inlineStr">
        <is>
          <t>32285000975903</t>
        </is>
      </c>
      <c r="BD790" t="inlineStr">
        <is>
          <t>893871890</t>
        </is>
      </c>
    </row>
    <row r="791">
      <c r="A791" t="inlineStr">
        <is>
          <t>No</t>
        </is>
      </c>
      <c r="B791" t="inlineStr">
        <is>
          <t>RC488.5 .N535 1986</t>
        </is>
      </c>
      <c r="C791" t="inlineStr">
        <is>
          <t>0                      RC 0488500N  535         1986</t>
        </is>
      </c>
      <c r="D791" t="inlineStr">
        <is>
          <t>Systemic family therapy : an integrative approach / William C. Nichols and Craig A. Everett.</t>
        </is>
      </c>
      <c r="F791" t="inlineStr">
        <is>
          <t>No</t>
        </is>
      </c>
      <c r="G791" t="inlineStr">
        <is>
          <t>1</t>
        </is>
      </c>
      <c r="H791" t="inlineStr">
        <is>
          <t>No</t>
        </is>
      </c>
      <c r="I791" t="inlineStr">
        <is>
          <t>No</t>
        </is>
      </c>
      <c r="J791" t="inlineStr">
        <is>
          <t>0</t>
        </is>
      </c>
      <c r="K791" t="inlineStr">
        <is>
          <t>Nichols, William C., 1929-</t>
        </is>
      </c>
      <c r="L791" t="inlineStr">
        <is>
          <t>New York : Guilford Press, c1986.</t>
        </is>
      </c>
      <c r="M791" t="inlineStr">
        <is>
          <t>1986</t>
        </is>
      </c>
      <c r="O791" t="inlineStr">
        <is>
          <t>eng</t>
        </is>
      </c>
      <c r="P791" t="inlineStr">
        <is>
          <t>nyu</t>
        </is>
      </c>
      <c r="Q791" t="inlineStr">
        <is>
          <t>The Guilford family therapy series</t>
        </is>
      </c>
      <c r="R791" t="inlineStr">
        <is>
          <t xml:space="preserve">RC </t>
        </is>
      </c>
      <c r="S791" t="n">
        <v>7</v>
      </c>
      <c r="T791" t="n">
        <v>7</v>
      </c>
      <c r="U791" t="inlineStr">
        <is>
          <t>2006-04-20</t>
        </is>
      </c>
      <c r="V791" t="inlineStr">
        <is>
          <t>2006-04-20</t>
        </is>
      </c>
      <c r="W791" t="inlineStr">
        <is>
          <t>1993-03-23</t>
        </is>
      </c>
      <c r="X791" t="inlineStr">
        <is>
          <t>1993-03-23</t>
        </is>
      </c>
      <c r="Y791" t="n">
        <v>481</v>
      </c>
      <c r="Z791" t="n">
        <v>410</v>
      </c>
      <c r="AA791" t="n">
        <v>411</v>
      </c>
      <c r="AB791" t="n">
        <v>4</v>
      </c>
      <c r="AC791" t="n">
        <v>4</v>
      </c>
      <c r="AD791" t="n">
        <v>17</v>
      </c>
      <c r="AE791" t="n">
        <v>17</v>
      </c>
      <c r="AF791" t="n">
        <v>5</v>
      </c>
      <c r="AG791" t="n">
        <v>5</v>
      </c>
      <c r="AH791" t="n">
        <v>4</v>
      </c>
      <c r="AI791" t="n">
        <v>4</v>
      </c>
      <c r="AJ791" t="n">
        <v>9</v>
      </c>
      <c r="AK791" t="n">
        <v>9</v>
      </c>
      <c r="AL791" t="n">
        <v>3</v>
      </c>
      <c r="AM791" t="n">
        <v>3</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HYPERLINK("https://creighton-primo.hosted.exlibrisgroup.com/primo-explore/search?tab=default_tab&amp;search_scope=EVERYTHING&amp;vid=01CRU&amp;lang=en_US&amp;offset=0&amp;query=any,contains,991000673129702656","Catalog Record")</f>
        <v/>
      </c>
      <c r="AT791">
        <f>HYPERLINK("http://www.worldcat.org/oclc/12341551","WorldCat Record")</f>
        <v/>
      </c>
      <c r="AU791" t="inlineStr">
        <is>
          <t>906227562:eng</t>
        </is>
      </c>
      <c r="AV791" t="inlineStr">
        <is>
          <t>12341551</t>
        </is>
      </c>
      <c r="AW791" t="inlineStr">
        <is>
          <t>991000673129702656</t>
        </is>
      </c>
      <c r="AX791" t="inlineStr">
        <is>
          <t>991000673129702656</t>
        </is>
      </c>
      <c r="AY791" t="inlineStr">
        <is>
          <t>2266900130002656</t>
        </is>
      </c>
      <c r="AZ791" t="inlineStr">
        <is>
          <t>BOOK</t>
        </is>
      </c>
      <c r="BB791" t="inlineStr">
        <is>
          <t>9780898620665</t>
        </is>
      </c>
      <c r="BC791" t="inlineStr">
        <is>
          <t>32285001606820</t>
        </is>
      </c>
      <c r="BD791" t="inlineStr">
        <is>
          <t>893714800</t>
        </is>
      </c>
    </row>
    <row r="792">
      <c r="A792" t="inlineStr">
        <is>
          <t>No</t>
        </is>
      </c>
      <c r="B792" t="inlineStr">
        <is>
          <t>RC488.5 .O35</t>
        </is>
      </c>
      <c r="C792" t="inlineStr">
        <is>
          <t>0                      RC 0488500O  35</t>
        </is>
      </c>
      <c r="D792" t="inlineStr">
        <is>
          <t>When a family needs therapy : a practical assessment guide for parents, lay therapists, and professionals / Gina Ogden and Anne Zevin.</t>
        </is>
      </c>
      <c r="F792" t="inlineStr">
        <is>
          <t>No</t>
        </is>
      </c>
      <c r="G792" t="inlineStr">
        <is>
          <t>1</t>
        </is>
      </c>
      <c r="H792" t="inlineStr">
        <is>
          <t>No</t>
        </is>
      </c>
      <c r="I792" t="inlineStr">
        <is>
          <t>No</t>
        </is>
      </c>
      <c r="J792" t="inlineStr">
        <is>
          <t>0</t>
        </is>
      </c>
      <c r="K792" t="inlineStr">
        <is>
          <t>Ogden, Gina.</t>
        </is>
      </c>
      <c r="L792" t="inlineStr">
        <is>
          <t>Boston : Beacon Press, c1976.</t>
        </is>
      </c>
      <c r="M792" t="inlineStr">
        <is>
          <t>1976</t>
        </is>
      </c>
      <c r="O792" t="inlineStr">
        <is>
          <t>eng</t>
        </is>
      </c>
      <c r="P792" t="inlineStr">
        <is>
          <t>mau</t>
        </is>
      </c>
      <c r="R792" t="inlineStr">
        <is>
          <t xml:space="preserve">RC </t>
        </is>
      </c>
      <c r="S792" t="n">
        <v>3</v>
      </c>
      <c r="T792" t="n">
        <v>3</v>
      </c>
      <c r="U792" t="inlineStr">
        <is>
          <t>1995-04-29</t>
        </is>
      </c>
      <c r="V792" t="inlineStr">
        <is>
          <t>1995-04-29</t>
        </is>
      </c>
      <c r="W792" t="inlineStr">
        <is>
          <t>1992-05-12</t>
        </is>
      </c>
      <c r="X792" t="inlineStr">
        <is>
          <t>1992-05-12</t>
        </is>
      </c>
      <c r="Y792" t="n">
        <v>265</v>
      </c>
      <c r="Z792" t="n">
        <v>215</v>
      </c>
      <c r="AA792" t="n">
        <v>217</v>
      </c>
      <c r="AB792" t="n">
        <v>4</v>
      </c>
      <c r="AC792" t="n">
        <v>4</v>
      </c>
      <c r="AD792" t="n">
        <v>7</v>
      </c>
      <c r="AE792" t="n">
        <v>7</v>
      </c>
      <c r="AF792" t="n">
        <v>1</v>
      </c>
      <c r="AG792" t="n">
        <v>1</v>
      </c>
      <c r="AH792" t="n">
        <v>2</v>
      </c>
      <c r="AI792" t="n">
        <v>2</v>
      </c>
      <c r="AJ792" t="n">
        <v>3</v>
      </c>
      <c r="AK792" t="n">
        <v>3</v>
      </c>
      <c r="AL792" t="n">
        <v>3</v>
      </c>
      <c r="AM792" t="n">
        <v>3</v>
      </c>
      <c r="AN792" t="n">
        <v>0</v>
      </c>
      <c r="AO792" t="n">
        <v>0</v>
      </c>
      <c r="AP792" t="inlineStr">
        <is>
          <t>No</t>
        </is>
      </c>
      <c r="AQ792" t="inlineStr">
        <is>
          <t>Yes</t>
        </is>
      </c>
      <c r="AR792">
        <f>HYPERLINK("http://catalog.hathitrust.org/Record/000724268","HathiTrust Record")</f>
        <v/>
      </c>
      <c r="AS792">
        <f>HYPERLINK("https://creighton-primo.hosted.exlibrisgroup.com/primo-explore/search?tab=default_tab&amp;search_scope=EVERYTHING&amp;vid=01CRU&amp;lang=en_US&amp;offset=0&amp;query=any,contains,991004090699702656","Catalog Record")</f>
        <v/>
      </c>
      <c r="AT792">
        <f>HYPERLINK("http://www.worldcat.org/oclc/2345593","WorldCat Record")</f>
        <v/>
      </c>
      <c r="AU792" t="inlineStr">
        <is>
          <t>375741667:eng</t>
        </is>
      </c>
      <c r="AV792" t="inlineStr">
        <is>
          <t>2345593</t>
        </is>
      </c>
      <c r="AW792" t="inlineStr">
        <is>
          <t>991004090699702656</t>
        </is>
      </c>
      <c r="AX792" t="inlineStr">
        <is>
          <t>991004090699702656</t>
        </is>
      </c>
      <c r="AY792" t="inlineStr">
        <is>
          <t>2261928700002656</t>
        </is>
      </c>
      <c r="AZ792" t="inlineStr">
        <is>
          <t>BOOK</t>
        </is>
      </c>
      <c r="BB792" t="inlineStr">
        <is>
          <t>9780807027523</t>
        </is>
      </c>
      <c r="BC792" t="inlineStr">
        <is>
          <t>32285001107233</t>
        </is>
      </c>
      <c r="BD792" t="inlineStr">
        <is>
          <t>893775607</t>
        </is>
      </c>
    </row>
    <row r="793">
      <c r="A793" t="inlineStr">
        <is>
          <t>No</t>
        </is>
      </c>
      <c r="B793" t="inlineStr">
        <is>
          <t>RC488.5 .O39 1980</t>
        </is>
      </c>
      <c r="C793" t="inlineStr">
        <is>
          <t>0                      RC 0488500O  39          1980</t>
        </is>
      </c>
      <c r="D793" t="inlineStr">
        <is>
          <t>Working with families : an introduction to family therapy / Barbara F. Okun, Louis J. Rappaport.</t>
        </is>
      </c>
      <c r="F793" t="inlineStr">
        <is>
          <t>No</t>
        </is>
      </c>
      <c r="G793" t="inlineStr">
        <is>
          <t>1</t>
        </is>
      </c>
      <c r="H793" t="inlineStr">
        <is>
          <t>No</t>
        </is>
      </c>
      <c r="I793" t="inlineStr">
        <is>
          <t>No</t>
        </is>
      </c>
      <c r="J793" t="inlineStr">
        <is>
          <t>0</t>
        </is>
      </c>
      <c r="K793" t="inlineStr">
        <is>
          <t>Okun, Barbara F.</t>
        </is>
      </c>
      <c r="L793" t="inlineStr">
        <is>
          <t>Monterey, Calif. : Brooks/Cole, c1980.</t>
        </is>
      </c>
      <c r="M793" t="inlineStr">
        <is>
          <t>1980</t>
        </is>
      </c>
      <c r="O793" t="inlineStr">
        <is>
          <t>eng</t>
        </is>
      </c>
      <c r="P793" t="inlineStr">
        <is>
          <t>cau</t>
        </is>
      </c>
      <c r="R793" t="inlineStr">
        <is>
          <t xml:space="preserve">RC </t>
        </is>
      </c>
      <c r="S793" t="n">
        <v>10</v>
      </c>
      <c r="T793" t="n">
        <v>10</v>
      </c>
      <c r="U793" t="inlineStr">
        <is>
          <t>1997-06-13</t>
        </is>
      </c>
      <c r="V793" t="inlineStr">
        <is>
          <t>1997-06-13</t>
        </is>
      </c>
      <c r="W793" t="inlineStr">
        <is>
          <t>1992-07-07</t>
        </is>
      </c>
      <c r="X793" t="inlineStr">
        <is>
          <t>1992-07-07</t>
        </is>
      </c>
      <c r="Y793" t="n">
        <v>48</v>
      </c>
      <c r="Z793" t="n">
        <v>39</v>
      </c>
      <c r="AA793" t="n">
        <v>259</v>
      </c>
      <c r="AB793" t="n">
        <v>1</v>
      </c>
      <c r="AC793" t="n">
        <v>2</v>
      </c>
      <c r="AD793" t="n">
        <v>0</v>
      </c>
      <c r="AE793" t="n">
        <v>13</v>
      </c>
      <c r="AF793" t="n">
        <v>0</v>
      </c>
      <c r="AG793" t="n">
        <v>7</v>
      </c>
      <c r="AH793" t="n">
        <v>0</v>
      </c>
      <c r="AI793" t="n">
        <v>2</v>
      </c>
      <c r="AJ793" t="n">
        <v>0</v>
      </c>
      <c r="AK793" t="n">
        <v>8</v>
      </c>
      <c r="AL793" t="n">
        <v>0</v>
      </c>
      <c r="AM793" t="n">
        <v>1</v>
      </c>
      <c r="AN793" t="n">
        <v>0</v>
      </c>
      <c r="AO793" t="n">
        <v>0</v>
      </c>
      <c r="AP793" t="inlineStr">
        <is>
          <t>No</t>
        </is>
      </c>
      <c r="AQ793" t="inlineStr">
        <is>
          <t>No</t>
        </is>
      </c>
      <c r="AS793">
        <f>HYPERLINK("https://creighton-primo.hosted.exlibrisgroup.com/primo-explore/search?tab=default_tab&amp;search_scope=EVERYTHING&amp;vid=01CRU&amp;lang=en_US&amp;offset=0&amp;query=any,contains,991000334069702656","Catalog Record")</f>
        <v/>
      </c>
      <c r="AT793">
        <f>HYPERLINK("http://www.worldcat.org/oclc/10218249","WorldCat Record")</f>
        <v/>
      </c>
      <c r="AU793" t="inlineStr">
        <is>
          <t>3055756:eng</t>
        </is>
      </c>
      <c r="AV793" t="inlineStr">
        <is>
          <t>10218249</t>
        </is>
      </c>
      <c r="AW793" t="inlineStr">
        <is>
          <t>991000334069702656</t>
        </is>
      </c>
      <c r="AX793" t="inlineStr">
        <is>
          <t>991000334069702656</t>
        </is>
      </c>
      <c r="AY793" t="inlineStr">
        <is>
          <t>2262167760002656</t>
        </is>
      </c>
      <c r="AZ793" t="inlineStr">
        <is>
          <t>BOOK</t>
        </is>
      </c>
      <c r="BC793" t="inlineStr">
        <is>
          <t>32285001150100</t>
        </is>
      </c>
      <c r="BD793" t="inlineStr">
        <is>
          <t>893802686</t>
        </is>
      </c>
    </row>
    <row r="794">
      <c r="A794" t="inlineStr">
        <is>
          <t>No</t>
        </is>
      </c>
      <c r="B794" t="inlineStr">
        <is>
          <t>RC488.5 .P47</t>
        </is>
      </c>
      <c r="C794" t="inlineStr">
        <is>
          <t>0                      RC 0488500P  47</t>
        </is>
      </c>
      <c r="D794" t="inlineStr">
        <is>
          <t>Perspectives on family therapy / editor: David S. Freeman, asst. editor: Alix Hirabayashi.</t>
        </is>
      </c>
      <c r="F794" t="inlineStr">
        <is>
          <t>No</t>
        </is>
      </c>
      <c r="G794" t="inlineStr">
        <is>
          <t>1</t>
        </is>
      </c>
      <c r="H794" t="inlineStr">
        <is>
          <t>No</t>
        </is>
      </c>
      <c r="I794" t="inlineStr">
        <is>
          <t>No</t>
        </is>
      </c>
      <c r="J794" t="inlineStr">
        <is>
          <t>0</t>
        </is>
      </c>
      <c r="L794" t="inlineStr">
        <is>
          <t>Vancouver, B.C. : Butterworth, 1980.</t>
        </is>
      </c>
      <c r="M794" t="inlineStr">
        <is>
          <t>1980</t>
        </is>
      </c>
      <c r="O794" t="inlineStr">
        <is>
          <t>eng</t>
        </is>
      </c>
      <c r="P794" t="inlineStr">
        <is>
          <t>bcc</t>
        </is>
      </c>
      <c r="R794" t="inlineStr">
        <is>
          <t xml:space="preserve">RC </t>
        </is>
      </c>
      <c r="S794" t="n">
        <v>3</v>
      </c>
      <c r="T794" t="n">
        <v>3</v>
      </c>
      <c r="U794" t="inlineStr">
        <is>
          <t>1995-07-18</t>
        </is>
      </c>
      <c r="V794" t="inlineStr">
        <is>
          <t>1995-07-18</t>
        </is>
      </c>
      <c r="W794" t="inlineStr">
        <is>
          <t>1993-03-23</t>
        </is>
      </c>
      <c r="X794" t="inlineStr">
        <is>
          <t>1993-03-23</t>
        </is>
      </c>
      <c r="Y794" t="n">
        <v>123</v>
      </c>
      <c r="Z794" t="n">
        <v>89</v>
      </c>
      <c r="AA794" t="n">
        <v>89</v>
      </c>
      <c r="AB794" t="n">
        <v>2</v>
      </c>
      <c r="AC794" t="n">
        <v>2</v>
      </c>
      <c r="AD794" t="n">
        <v>5</v>
      </c>
      <c r="AE794" t="n">
        <v>5</v>
      </c>
      <c r="AF794" t="n">
        <v>1</v>
      </c>
      <c r="AG794" t="n">
        <v>1</v>
      </c>
      <c r="AH794" t="n">
        <v>1</v>
      </c>
      <c r="AI794" t="n">
        <v>1</v>
      </c>
      <c r="AJ794" t="n">
        <v>3</v>
      </c>
      <c r="AK794" t="n">
        <v>3</v>
      </c>
      <c r="AL794" t="n">
        <v>1</v>
      </c>
      <c r="AM794" t="n">
        <v>1</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HYPERLINK("https://creighton-primo.hosted.exlibrisgroup.com/primo-explore/search?tab=default_tab&amp;search_scope=EVERYTHING&amp;vid=01CRU&amp;lang=en_US&amp;offset=0&amp;query=any,contains,991005093529702656","Catalog Record")</f>
        <v/>
      </c>
      <c r="AT794">
        <f>HYPERLINK("http://www.worldcat.org/oclc/7252188","WorldCat Record")</f>
        <v/>
      </c>
      <c r="AU794" t="inlineStr">
        <is>
          <t>54426584:eng</t>
        </is>
      </c>
      <c r="AV794" t="inlineStr">
        <is>
          <t>7252188</t>
        </is>
      </c>
      <c r="AW794" t="inlineStr">
        <is>
          <t>991005093529702656</t>
        </is>
      </c>
      <c r="AX794" t="inlineStr">
        <is>
          <t>991005093529702656</t>
        </is>
      </c>
      <c r="AY794" t="inlineStr">
        <is>
          <t>2255794580002656</t>
        </is>
      </c>
      <c r="AZ794" t="inlineStr">
        <is>
          <t>BOOK</t>
        </is>
      </c>
      <c r="BB794" t="inlineStr">
        <is>
          <t>9780409988246</t>
        </is>
      </c>
      <c r="BC794" t="inlineStr">
        <is>
          <t>32285001606846</t>
        </is>
      </c>
      <c r="BD794" t="inlineStr">
        <is>
          <t>893688584</t>
        </is>
      </c>
    </row>
    <row r="795">
      <c r="A795" t="inlineStr">
        <is>
          <t>No</t>
        </is>
      </c>
      <c r="B795" t="inlineStr">
        <is>
          <t>RC488.5 .P55 1994</t>
        </is>
      </c>
      <c r="C795" t="inlineStr">
        <is>
          <t>0                      RC 0488500P  55          1994</t>
        </is>
      </c>
      <c r="D795" t="inlineStr">
        <is>
          <t>Stop marital fights before they start / Fred P. Piercy and Norman M. Lobsenz.</t>
        </is>
      </c>
      <c r="F795" t="inlineStr">
        <is>
          <t>No</t>
        </is>
      </c>
      <c r="G795" t="inlineStr">
        <is>
          <t>1</t>
        </is>
      </c>
      <c r="H795" t="inlineStr">
        <is>
          <t>No</t>
        </is>
      </c>
      <c r="I795" t="inlineStr">
        <is>
          <t>No</t>
        </is>
      </c>
      <c r="J795" t="inlineStr">
        <is>
          <t>0</t>
        </is>
      </c>
      <c r="K795" t="inlineStr">
        <is>
          <t>Piercy, Fred P.</t>
        </is>
      </c>
      <c r="L795" t="inlineStr">
        <is>
          <t>New York : Berkley Books, c1994.</t>
        </is>
      </c>
      <c r="M795" t="inlineStr">
        <is>
          <t>1994</t>
        </is>
      </c>
      <c r="O795" t="inlineStr">
        <is>
          <t>eng</t>
        </is>
      </c>
      <c r="P795" t="inlineStr">
        <is>
          <t>nyu</t>
        </is>
      </c>
      <c r="R795" t="inlineStr">
        <is>
          <t xml:space="preserve">RC </t>
        </is>
      </c>
      <c r="S795" t="n">
        <v>7</v>
      </c>
      <c r="T795" t="n">
        <v>7</v>
      </c>
      <c r="U795" t="inlineStr">
        <is>
          <t>2005-03-21</t>
        </is>
      </c>
      <c r="V795" t="inlineStr">
        <is>
          <t>2005-03-21</t>
        </is>
      </c>
      <c r="W795" t="inlineStr">
        <is>
          <t>1996-12-20</t>
        </is>
      </c>
      <c r="X795" t="inlineStr">
        <is>
          <t>1996-12-20</t>
        </is>
      </c>
      <c r="Y795" t="n">
        <v>27</v>
      </c>
      <c r="Z795" t="n">
        <v>21</v>
      </c>
      <c r="AA795" t="n">
        <v>21</v>
      </c>
      <c r="AB795" t="n">
        <v>1</v>
      </c>
      <c r="AC795" t="n">
        <v>1</v>
      </c>
      <c r="AD795" t="n">
        <v>0</v>
      </c>
      <c r="AE795" t="n">
        <v>0</v>
      </c>
      <c r="AF795" t="n">
        <v>0</v>
      </c>
      <c r="AG795" t="n">
        <v>0</v>
      </c>
      <c r="AH795" t="n">
        <v>0</v>
      </c>
      <c r="AI795" t="n">
        <v>0</v>
      </c>
      <c r="AJ795" t="n">
        <v>0</v>
      </c>
      <c r="AK795" t="n">
        <v>0</v>
      </c>
      <c r="AL795" t="n">
        <v>0</v>
      </c>
      <c r="AM795" t="n">
        <v>0</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HYPERLINK("https://creighton-primo.hosted.exlibrisgroup.com/primo-explore/search?tab=default_tab&amp;search_scope=EVERYTHING&amp;vid=01CRU&amp;lang=en_US&amp;offset=0&amp;query=any,contains,991002399709702656","Catalog Record")</f>
        <v/>
      </c>
      <c r="AT795">
        <f>HYPERLINK("http://www.worldcat.org/oclc/31183905","WorldCat Record")</f>
        <v/>
      </c>
      <c r="AU795" t="inlineStr">
        <is>
          <t>33257529:eng</t>
        </is>
      </c>
      <c r="AV795" t="inlineStr">
        <is>
          <t>31183905</t>
        </is>
      </c>
      <c r="AW795" t="inlineStr">
        <is>
          <t>991002399709702656</t>
        </is>
      </c>
      <c r="AX795" t="inlineStr">
        <is>
          <t>991002399709702656</t>
        </is>
      </c>
      <c r="AY795" t="inlineStr">
        <is>
          <t>2256140050002656</t>
        </is>
      </c>
      <c r="AZ795" t="inlineStr">
        <is>
          <t>BOOK</t>
        </is>
      </c>
      <c r="BB795" t="inlineStr">
        <is>
          <t>9780425144022</t>
        </is>
      </c>
      <c r="BC795" t="inlineStr">
        <is>
          <t>32285002400678</t>
        </is>
      </c>
      <c r="BD795" t="inlineStr">
        <is>
          <t>893232907</t>
        </is>
      </c>
    </row>
    <row r="796">
      <c r="A796" t="inlineStr">
        <is>
          <t>No</t>
        </is>
      </c>
      <c r="B796" t="inlineStr">
        <is>
          <t>RC488.5 .P58 1987</t>
        </is>
      </c>
      <c r="C796" t="inlineStr">
        <is>
          <t>0                      RC 0488500P  58          1987</t>
        </is>
      </c>
      <c r="D796" t="inlineStr">
        <is>
          <t>Turning points : treating families in transition and crisis / Frank S. Pittman III.</t>
        </is>
      </c>
      <c r="F796" t="inlineStr">
        <is>
          <t>No</t>
        </is>
      </c>
      <c r="G796" t="inlineStr">
        <is>
          <t>1</t>
        </is>
      </c>
      <c r="H796" t="inlineStr">
        <is>
          <t>No</t>
        </is>
      </c>
      <c r="I796" t="inlineStr">
        <is>
          <t>No</t>
        </is>
      </c>
      <c r="J796" t="inlineStr">
        <is>
          <t>0</t>
        </is>
      </c>
      <c r="K796" t="inlineStr">
        <is>
          <t>Pittman, Frank S., 1935-</t>
        </is>
      </c>
      <c r="L796" t="inlineStr">
        <is>
          <t>New York : Norton, c1987.</t>
        </is>
      </c>
      <c r="M796" t="inlineStr">
        <is>
          <t>1987</t>
        </is>
      </c>
      <c r="N796" t="inlineStr">
        <is>
          <t>1st ed.</t>
        </is>
      </c>
      <c r="O796" t="inlineStr">
        <is>
          <t>eng</t>
        </is>
      </c>
      <c r="P796" t="inlineStr">
        <is>
          <t>nyu</t>
        </is>
      </c>
      <c r="R796" t="inlineStr">
        <is>
          <t xml:space="preserve">RC </t>
        </is>
      </c>
      <c r="S796" t="n">
        <v>5</v>
      </c>
      <c r="T796" t="n">
        <v>5</v>
      </c>
      <c r="U796" t="inlineStr">
        <is>
          <t>1999-11-18</t>
        </is>
      </c>
      <c r="V796" t="inlineStr">
        <is>
          <t>1999-11-18</t>
        </is>
      </c>
      <c r="W796" t="inlineStr">
        <is>
          <t>1992-02-25</t>
        </is>
      </c>
      <c r="X796" t="inlineStr">
        <is>
          <t>1992-02-25</t>
        </is>
      </c>
      <c r="Y796" t="n">
        <v>508</v>
      </c>
      <c r="Z796" t="n">
        <v>435</v>
      </c>
      <c r="AA796" t="n">
        <v>440</v>
      </c>
      <c r="AB796" t="n">
        <v>4</v>
      </c>
      <c r="AC796" t="n">
        <v>4</v>
      </c>
      <c r="AD796" t="n">
        <v>21</v>
      </c>
      <c r="AE796" t="n">
        <v>21</v>
      </c>
      <c r="AF796" t="n">
        <v>10</v>
      </c>
      <c r="AG796" t="n">
        <v>10</v>
      </c>
      <c r="AH796" t="n">
        <v>2</v>
      </c>
      <c r="AI796" t="n">
        <v>2</v>
      </c>
      <c r="AJ796" t="n">
        <v>11</v>
      </c>
      <c r="AK796" t="n">
        <v>11</v>
      </c>
      <c r="AL796" t="n">
        <v>3</v>
      </c>
      <c r="AM796" t="n">
        <v>3</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HYPERLINK("https://creighton-primo.hosted.exlibrisgroup.com/primo-explore/search?tab=default_tab&amp;search_scope=EVERYTHING&amp;vid=01CRU&amp;lang=en_US&amp;offset=0&amp;query=any,contains,991000977459702656","Catalog Record")</f>
        <v/>
      </c>
      <c r="AT796">
        <f>HYPERLINK("http://www.worldcat.org/oclc/15016850","WorldCat Record")</f>
        <v/>
      </c>
      <c r="AU796" t="inlineStr">
        <is>
          <t>796281705:eng</t>
        </is>
      </c>
      <c r="AV796" t="inlineStr">
        <is>
          <t>15016850</t>
        </is>
      </c>
      <c r="AW796" t="inlineStr">
        <is>
          <t>991000977459702656</t>
        </is>
      </c>
      <c r="AX796" t="inlineStr">
        <is>
          <t>991000977459702656</t>
        </is>
      </c>
      <c r="AY796" t="inlineStr">
        <is>
          <t>2264378180002656</t>
        </is>
      </c>
      <c r="AZ796" t="inlineStr">
        <is>
          <t>BOOK</t>
        </is>
      </c>
      <c r="BB796" t="inlineStr">
        <is>
          <t>9780393700404</t>
        </is>
      </c>
      <c r="BC796" t="inlineStr">
        <is>
          <t>32285000975895</t>
        </is>
      </c>
      <c r="BD796" t="inlineStr">
        <is>
          <t>893608435</t>
        </is>
      </c>
    </row>
    <row r="797">
      <c r="A797" t="inlineStr">
        <is>
          <t>No</t>
        </is>
      </c>
      <c r="B797" t="inlineStr">
        <is>
          <t>RC488.5 .R58 1988</t>
        </is>
      </c>
      <c r="C797" t="inlineStr">
        <is>
          <t>0                      RC 0488500R  58          1988</t>
        </is>
      </c>
      <c r="D797" t="inlineStr">
        <is>
          <t>Rituals in families and family therapy / [edited by] Evan Imber-Black, Janine Roberts, Richard A. Whiting.</t>
        </is>
      </c>
      <c r="F797" t="inlineStr">
        <is>
          <t>No</t>
        </is>
      </c>
      <c r="G797" t="inlineStr">
        <is>
          <t>1</t>
        </is>
      </c>
      <c r="H797" t="inlineStr">
        <is>
          <t>No</t>
        </is>
      </c>
      <c r="I797" t="inlineStr">
        <is>
          <t>No</t>
        </is>
      </c>
      <c r="J797" t="inlineStr">
        <is>
          <t>0</t>
        </is>
      </c>
      <c r="L797" t="inlineStr">
        <is>
          <t>New York : Norton, c1988.</t>
        </is>
      </c>
      <c r="M797" t="inlineStr">
        <is>
          <t>1988</t>
        </is>
      </c>
      <c r="N797" t="inlineStr">
        <is>
          <t>1st ed.</t>
        </is>
      </c>
      <c r="O797" t="inlineStr">
        <is>
          <t>eng</t>
        </is>
      </c>
      <c r="P797" t="inlineStr">
        <is>
          <t>nyu</t>
        </is>
      </c>
      <c r="R797" t="inlineStr">
        <is>
          <t xml:space="preserve">RC </t>
        </is>
      </c>
      <c r="S797" t="n">
        <v>4</v>
      </c>
      <c r="T797" t="n">
        <v>4</v>
      </c>
      <c r="U797" t="inlineStr">
        <is>
          <t>2000-10-16</t>
        </is>
      </c>
      <c r="V797" t="inlineStr">
        <is>
          <t>2000-10-16</t>
        </is>
      </c>
      <c r="W797" t="inlineStr">
        <is>
          <t>1991-06-11</t>
        </is>
      </c>
      <c r="X797" t="inlineStr">
        <is>
          <t>1991-06-11</t>
        </is>
      </c>
      <c r="Y797" t="n">
        <v>415</v>
      </c>
      <c r="Z797" t="n">
        <v>337</v>
      </c>
      <c r="AA797" t="n">
        <v>402</v>
      </c>
      <c r="AB797" t="n">
        <v>2</v>
      </c>
      <c r="AC797" t="n">
        <v>3</v>
      </c>
      <c r="AD797" t="n">
        <v>15</v>
      </c>
      <c r="AE797" t="n">
        <v>20</v>
      </c>
      <c r="AF797" t="n">
        <v>6</v>
      </c>
      <c r="AG797" t="n">
        <v>9</v>
      </c>
      <c r="AH797" t="n">
        <v>2</v>
      </c>
      <c r="AI797" t="n">
        <v>2</v>
      </c>
      <c r="AJ797" t="n">
        <v>9</v>
      </c>
      <c r="AK797" t="n">
        <v>12</v>
      </c>
      <c r="AL797" t="n">
        <v>1</v>
      </c>
      <c r="AM797" t="n">
        <v>2</v>
      </c>
      <c r="AN797" t="n">
        <v>0</v>
      </c>
      <c r="AO797" t="n">
        <v>0</v>
      </c>
      <c r="AP797" t="inlineStr">
        <is>
          <t>No</t>
        </is>
      </c>
      <c r="AQ797" t="inlineStr">
        <is>
          <t>No</t>
        </is>
      </c>
      <c r="AS797">
        <f>HYPERLINK("https://creighton-primo.hosted.exlibrisgroup.com/primo-explore/search?tab=default_tab&amp;search_scope=EVERYTHING&amp;vid=01CRU&amp;lang=en_US&amp;offset=0&amp;query=any,contains,991001303169702656","Catalog Record")</f>
        <v/>
      </c>
      <c r="AT797">
        <f>HYPERLINK("http://www.worldcat.org/oclc/18072241","WorldCat Record")</f>
        <v/>
      </c>
      <c r="AU797" t="inlineStr">
        <is>
          <t>351750704:eng</t>
        </is>
      </c>
      <c r="AV797" t="inlineStr">
        <is>
          <t>18072241</t>
        </is>
      </c>
      <c r="AW797" t="inlineStr">
        <is>
          <t>991001303169702656</t>
        </is>
      </c>
      <c r="AX797" t="inlineStr">
        <is>
          <t>991001303169702656</t>
        </is>
      </c>
      <c r="AY797" t="inlineStr">
        <is>
          <t>2267224040002656</t>
        </is>
      </c>
      <c r="AZ797" t="inlineStr">
        <is>
          <t>BOOK</t>
        </is>
      </c>
      <c r="BB797" t="inlineStr">
        <is>
          <t>9780393700640</t>
        </is>
      </c>
      <c r="BC797" t="inlineStr">
        <is>
          <t>32285000655331</t>
        </is>
      </c>
      <c r="BD797" t="inlineStr">
        <is>
          <t>893785019</t>
        </is>
      </c>
    </row>
    <row r="798">
      <c r="A798" t="inlineStr">
        <is>
          <t>No</t>
        </is>
      </c>
      <c r="B798" t="inlineStr">
        <is>
          <t>RC488.5 .S17 1976</t>
        </is>
      </c>
      <c r="C798" t="inlineStr">
        <is>
          <t>0                      RC 0488500S  17          1976</t>
        </is>
      </c>
      <c r="D798" t="inlineStr">
        <is>
          <t>Marriage contracts and couple therapy : hidden forces in intimate relationships / by Clifford J. Sager.</t>
        </is>
      </c>
      <c r="F798" t="inlineStr">
        <is>
          <t>No</t>
        </is>
      </c>
      <c r="G798" t="inlineStr">
        <is>
          <t>1</t>
        </is>
      </c>
      <c r="H798" t="inlineStr">
        <is>
          <t>No</t>
        </is>
      </c>
      <c r="I798" t="inlineStr">
        <is>
          <t>No</t>
        </is>
      </c>
      <c r="J798" t="inlineStr">
        <is>
          <t>0</t>
        </is>
      </c>
      <c r="K798" t="inlineStr">
        <is>
          <t>Sager, Clifford J., 1916-2005.</t>
        </is>
      </c>
      <c r="L798" t="inlineStr">
        <is>
          <t>New York : Brunner/Mazel, c1976.</t>
        </is>
      </c>
      <c r="M798" t="inlineStr">
        <is>
          <t>1976</t>
        </is>
      </c>
      <c r="O798" t="inlineStr">
        <is>
          <t>eng</t>
        </is>
      </c>
      <c r="P798" t="inlineStr">
        <is>
          <t>nyu</t>
        </is>
      </c>
      <c r="R798" t="inlineStr">
        <is>
          <t xml:space="preserve">RC </t>
        </is>
      </c>
      <c r="S798" t="n">
        <v>8</v>
      </c>
      <c r="T798" t="n">
        <v>8</v>
      </c>
      <c r="U798" t="inlineStr">
        <is>
          <t>1997-05-27</t>
        </is>
      </c>
      <c r="V798" t="inlineStr">
        <is>
          <t>1997-05-27</t>
        </is>
      </c>
      <c r="W798" t="inlineStr">
        <is>
          <t>1993-03-23</t>
        </is>
      </c>
      <c r="X798" t="inlineStr">
        <is>
          <t>1993-03-23</t>
        </is>
      </c>
      <c r="Y798" t="n">
        <v>617</v>
      </c>
      <c r="Z798" t="n">
        <v>529</v>
      </c>
      <c r="AA798" t="n">
        <v>560</v>
      </c>
      <c r="AB798" t="n">
        <v>3</v>
      </c>
      <c r="AC798" t="n">
        <v>3</v>
      </c>
      <c r="AD798" t="n">
        <v>18</v>
      </c>
      <c r="AE798" t="n">
        <v>20</v>
      </c>
      <c r="AF798" t="n">
        <v>6</v>
      </c>
      <c r="AG798" t="n">
        <v>8</v>
      </c>
      <c r="AH798" t="n">
        <v>5</v>
      </c>
      <c r="AI798" t="n">
        <v>5</v>
      </c>
      <c r="AJ798" t="n">
        <v>11</v>
      </c>
      <c r="AK798" t="n">
        <v>12</v>
      </c>
      <c r="AL798" t="n">
        <v>2</v>
      </c>
      <c r="AM798" t="n">
        <v>2</v>
      </c>
      <c r="AN798" t="n">
        <v>0</v>
      </c>
      <c r="AO798" t="n">
        <v>0</v>
      </c>
      <c r="AP798" t="inlineStr">
        <is>
          <t>No</t>
        </is>
      </c>
      <c r="AQ798" t="inlineStr">
        <is>
          <t>Yes</t>
        </is>
      </c>
      <c r="AR798">
        <f>HYPERLINK("http://catalog.hathitrust.org/Record/000741632","HathiTrust Record")</f>
        <v/>
      </c>
      <c r="AS798">
        <f>HYPERLINK("https://creighton-primo.hosted.exlibrisgroup.com/primo-explore/search?tab=default_tab&amp;search_scope=EVERYTHING&amp;vid=01CRU&amp;lang=en_US&amp;offset=0&amp;query=any,contains,991004086559702656","Catalog Record")</f>
        <v/>
      </c>
      <c r="AT798">
        <f>HYPERLINK("http://www.worldcat.org/oclc/2332218","WorldCat Record")</f>
        <v/>
      </c>
      <c r="AU798" t="inlineStr">
        <is>
          <t>836883791:eng</t>
        </is>
      </c>
      <c r="AV798" t="inlineStr">
        <is>
          <t>2332218</t>
        </is>
      </c>
      <c r="AW798" t="inlineStr">
        <is>
          <t>991004086559702656</t>
        </is>
      </c>
      <c r="AX798" t="inlineStr">
        <is>
          <t>991004086559702656</t>
        </is>
      </c>
      <c r="AY798" t="inlineStr">
        <is>
          <t>2264000480002656</t>
        </is>
      </c>
      <c r="AZ798" t="inlineStr">
        <is>
          <t>BOOK</t>
        </is>
      </c>
      <c r="BB798" t="inlineStr">
        <is>
          <t>9780876301302</t>
        </is>
      </c>
      <c r="BC798" t="inlineStr">
        <is>
          <t>32285001606853</t>
        </is>
      </c>
      <c r="BD798" t="inlineStr">
        <is>
          <t>893253226</t>
        </is>
      </c>
    </row>
    <row r="799">
      <c r="A799" t="inlineStr">
        <is>
          <t>No</t>
        </is>
      </c>
      <c r="B799" t="inlineStr">
        <is>
          <t>RC488.5 .S23</t>
        </is>
      </c>
      <c r="C799" t="inlineStr">
        <is>
          <t>0                      RC 0488500S  23</t>
        </is>
      </c>
      <c r="D799" t="inlineStr">
        <is>
          <t>Helping families to change / by Virginia Satir, James Stachowiak, Harvey A. Taschman ; prepared and edited by Donald W. Tiffany ... [et al.] ; ill. by Marilyn Ybarra.</t>
        </is>
      </c>
      <c r="F799" t="inlineStr">
        <is>
          <t>No</t>
        </is>
      </c>
      <c r="G799" t="inlineStr">
        <is>
          <t>1</t>
        </is>
      </c>
      <c r="H799" t="inlineStr">
        <is>
          <t>No</t>
        </is>
      </c>
      <c r="I799" t="inlineStr">
        <is>
          <t>No</t>
        </is>
      </c>
      <c r="J799" t="inlineStr">
        <is>
          <t>0</t>
        </is>
      </c>
      <c r="K799" t="inlineStr">
        <is>
          <t>Satir, Virginia.</t>
        </is>
      </c>
      <c r="L799" t="inlineStr">
        <is>
          <t>New York : J. Aronson, c1975.</t>
        </is>
      </c>
      <c r="M799" t="inlineStr">
        <is>
          <t>1975</t>
        </is>
      </c>
      <c r="O799" t="inlineStr">
        <is>
          <t>eng</t>
        </is>
      </c>
      <c r="P799" t="inlineStr">
        <is>
          <t>nyu</t>
        </is>
      </c>
      <c r="R799" t="inlineStr">
        <is>
          <t xml:space="preserve">RC </t>
        </is>
      </c>
      <c r="S799" t="n">
        <v>5</v>
      </c>
      <c r="T799" t="n">
        <v>5</v>
      </c>
      <c r="U799" t="inlineStr">
        <is>
          <t>2005-02-07</t>
        </is>
      </c>
      <c r="V799" t="inlineStr">
        <is>
          <t>2005-02-07</t>
        </is>
      </c>
      <c r="W799" t="inlineStr">
        <is>
          <t>1993-08-03</t>
        </is>
      </c>
      <c r="X799" t="inlineStr">
        <is>
          <t>1993-08-03</t>
        </is>
      </c>
      <c r="Y799" t="n">
        <v>698</v>
      </c>
      <c r="Z799" t="n">
        <v>615</v>
      </c>
      <c r="AA799" t="n">
        <v>768</v>
      </c>
      <c r="AB799" t="n">
        <v>6</v>
      </c>
      <c r="AC799" t="n">
        <v>6</v>
      </c>
      <c r="AD799" t="n">
        <v>21</v>
      </c>
      <c r="AE799" t="n">
        <v>28</v>
      </c>
      <c r="AF799" t="n">
        <v>8</v>
      </c>
      <c r="AG799" t="n">
        <v>13</v>
      </c>
      <c r="AH799" t="n">
        <v>4</v>
      </c>
      <c r="AI799" t="n">
        <v>6</v>
      </c>
      <c r="AJ799" t="n">
        <v>11</v>
      </c>
      <c r="AK799" t="n">
        <v>15</v>
      </c>
      <c r="AL799" t="n">
        <v>3</v>
      </c>
      <c r="AM799" t="n">
        <v>3</v>
      </c>
      <c r="AN799" t="n">
        <v>0</v>
      </c>
      <c r="AO799" t="n">
        <v>0</v>
      </c>
      <c r="AP799" t="inlineStr">
        <is>
          <t>No</t>
        </is>
      </c>
      <c r="AQ799" t="inlineStr">
        <is>
          <t>Yes</t>
        </is>
      </c>
      <c r="AR799">
        <f>HYPERLINK("http://catalog.hathitrust.org/Record/000716794","HathiTrust Record")</f>
        <v/>
      </c>
      <c r="AS799">
        <f>HYPERLINK("https://creighton-primo.hosted.exlibrisgroup.com/primo-explore/search?tab=default_tab&amp;search_scope=EVERYTHING&amp;vid=01CRU&amp;lang=en_US&amp;offset=0&amp;query=any,contains,991003960729702656","Catalog Record")</f>
        <v/>
      </c>
      <c r="AT799">
        <f>HYPERLINK("http://www.worldcat.org/oclc/1975051","WorldCat Record")</f>
        <v/>
      </c>
      <c r="AU799" t="inlineStr">
        <is>
          <t>583042:eng</t>
        </is>
      </c>
      <c r="AV799" t="inlineStr">
        <is>
          <t>1975051</t>
        </is>
      </c>
      <c r="AW799" t="inlineStr">
        <is>
          <t>991003960729702656</t>
        </is>
      </c>
      <c r="AX799" t="inlineStr">
        <is>
          <t>991003960729702656</t>
        </is>
      </c>
      <c r="AY799" t="inlineStr">
        <is>
          <t>2262531060002656</t>
        </is>
      </c>
      <c r="AZ799" t="inlineStr">
        <is>
          <t>BOOK</t>
        </is>
      </c>
      <c r="BB799" t="inlineStr">
        <is>
          <t>9780876682388</t>
        </is>
      </c>
      <c r="BC799" t="inlineStr">
        <is>
          <t>32285001748390</t>
        </is>
      </c>
      <c r="BD799" t="inlineStr">
        <is>
          <t>893324764</t>
        </is>
      </c>
    </row>
    <row r="800">
      <c r="A800" t="inlineStr">
        <is>
          <t>No</t>
        </is>
      </c>
      <c r="B800" t="inlineStr">
        <is>
          <t>RC488.5 .S38 1984</t>
        </is>
      </c>
      <c r="C800" t="inlineStr">
        <is>
          <t>0                      RC 0488500S  38          1984</t>
        </is>
      </c>
      <c r="D800" t="inlineStr">
        <is>
          <t>Family systems therapy : an integration / Stephen J. Schultz.</t>
        </is>
      </c>
      <c r="F800" t="inlineStr">
        <is>
          <t>No</t>
        </is>
      </c>
      <c r="G800" t="inlineStr">
        <is>
          <t>1</t>
        </is>
      </c>
      <c r="H800" t="inlineStr">
        <is>
          <t>No</t>
        </is>
      </c>
      <c r="I800" t="inlineStr">
        <is>
          <t>No</t>
        </is>
      </c>
      <c r="J800" t="inlineStr">
        <is>
          <t>0</t>
        </is>
      </c>
      <c r="K800" t="inlineStr">
        <is>
          <t>Schultz, Stephen J.</t>
        </is>
      </c>
      <c r="L800" t="inlineStr">
        <is>
          <t>New York : J. Aronson : Distributed by the Scribner Bk. Companies, c1984.</t>
        </is>
      </c>
      <c r="M800" t="inlineStr">
        <is>
          <t>1984</t>
        </is>
      </c>
      <c r="O800" t="inlineStr">
        <is>
          <t>eng</t>
        </is>
      </c>
      <c r="P800" t="inlineStr">
        <is>
          <t>nyu</t>
        </is>
      </c>
      <c r="R800" t="inlineStr">
        <is>
          <t xml:space="preserve">RC </t>
        </is>
      </c>
      <c r="S800" t="n">
        <v>7</v>
      </c>
      <c r="T800" t="n">
        <v>7</v>
      </c>
      <c r="U800" t="inlineStr">
        <is>
          <t>1995-12-04</t>
        </is>
      </c>
      <c r="V800" t="inlineStr">
        <is>
          <t>1995-12-04</t>
        </is>
      </c>
      <c r="W800" t="inlineStr">
        <is>
          <t>1991-12-23</t>
        </is>
      </c>
      <c r="X800" t="inlineStr">
        <is>
          <t>1991-12-23</t>
        </is>
      </c>
      <c r="Y800" t="n">
        <v>228</v>
      </c>
      <c r="Z800" t="n">
        <v>184</v>
      </c>
      <c r="AA800" t="n">
        <v>189</v>
      </c>
      <c r="AB800" t="n">
        <v>1</v>
      </c>
      <c r="AC800" t="n">
        <v>1</v>
      </c>
      <c r="AD800" t="n">
        <v>6</v>
      </c>
      <c r="AE800" t="n">
        <v>6</v>
      </c>
      <c r="AF800" t="n">
        <v>3</v>
      </c>
      <c r="AG800" t="n">
        <v>3</v>
      </c>
      <c r="AH800" t="n">
        <v>1</v>
      </c>
      <c r="AI800" t="n">
        <v>1</v>
      </c>
      <c r="AJ800" t="n">
        <v>5</v>
      </c>
      <c r="AK800" t="n">
        <v>5</v>
      </c>
      <c r="AL800" t="n">
        <v>0</v>
      </c>
      <c r="AM800" t="n">
        <v>0</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HYPERLINK("https://creighton-primo.hosted.exlibrisgroup.com/primo-explore/search?tab=default_tab&amp;search_scope=EVERYTHING&amp;vid=01CRU&amp;lang=en_US&amp;offset=0&amp;query=any,contains,991000264449702656","Catalog Record")</f>
        <v/>
      </c>
      <c r="AT800">
        <f>HYPERLINK("http://www.worldcat.org/oclc/9828347","WorldCat Record")</f>
        <v/>
      </c>
      <c r="AU800" t="inlineStr">
        <is>
          <t>961479933:eng</t>
        </is>
      </c>
      <c r="AV800" t="inlineStr">
        <is>
          <t>9828347</t>
        </is>
      </c>
      <c r="AW800" t="inlineStr">
        <is>
          <t>991000264449702656</t>
        </is>
      </c>
      <c r="AX800" t="inlineStr">
        <is>
          <t>991000264449702656</t>
        </is>
      </c>
      <c r="AY800" t="inlineStr">
        <is>
          <t>2269483220002656</t>
        </is>
      </c>
      <c r="AZ800" t="inlineStr">
        <is>
          <t>BOOK</t>
        </is>
      </c>
      <c r="BB800" t="inlineStr">
        <is>
          <t>9780876686454</t>
        </is>
      </c>
      <c r="BC800" t="inlineStr">
        <is>
          <t>32285000880418</t>
        </is>
      </c>
      <c r="BD800" t="inlineStr">
        <is>
          <t>893419338</t>
        </is>
      </c>
    </row>
    <row r="801">
      <c r="A801" t="inlineStr">
        <is>
          <t>No</t>
        </is>
      </c>
      <c r="B801" t="inlineStr">
        <is>
          <t>RC488.5 .S415 1993</t>
        </is>
      </c>
      <c r="C801" t="inlineStr">
        <is>
          <t>0                      RC 0488500S  415         1993</t>
        </is>
      </c>
      <c r="D801" t="inlineStr">
        <is>
          <t>Secrets in families and family therapy / [edited by] Evan Imber-Black.</t>
        </is>
      </c>
      <c r="F801" t="inlineStr">
        <is>
          <t>No</t>
        </is>
      </c>
      <c r="G801" t="inlineStr">
        <is>
          <t>1</t>
        </is>
      </c>
      <c r="H801" t="inlineStr">
        <is>
          <t>No</t>
        </is>
      </c>
      <c r="I801" t="inlineStr">
        <is>
          <t>No</t>
        </is>
      </c>
      <c r="J801" t="inlineStr">
        <is>
          <t>0</t>
        </is>
      </c>
      <c r="L801" t="inlineStr">
        <is>
          <t>New York : W.W. Norton &amp; Co., c1993.</t>
        </is>
      </c>
      <c r="M801" t="inlineStr">
        <is>
          <t>1993</t>
        </is>
      </c>
      <c r="N801" t="inlineStr">
        <is>
          <t>1st ed.</t>
        </is>
      </c>
      <c r="O801" t="inlineStr">
        <is>
          <t>eng</t>
        </is>
      </c>
      <c r="P801" t="inlineStr">
        <is>
          <t>nyu</t>
        </is>
      </c>
      <c r="R801" t="inlineStr">
        <is>
          <t xml:space="preserve">RC </t>
        </is>
      </c>
      <c r="S801" t="n">
        <v>4</v>
      </c>
      <c r="T801" t="n">
        <v>4</v>
      </c>
      <c r="U801" t="inlineStr">
        <is>
          <t>1998-07-29</t>
        </is>
      </c>
      <c r="V801" t="inlineStr">
        <is>
          <t>1998-07-29</t>
        </is>
      </c>
      <c r="W801" t="inlineStr">
        <is>
          <t>1996-05-15</t>
        </is>
      </c>
      <c r="X801" t="inlineStr">
        <is>
          <t>1996-05-15</t>
        </is>
      </c>
      <c r="Y801" t="n">
        <v>378</v>
      </c>
      <c r="Z801" t="n">
        <v>296</v>
      </c>
      <c r="AA801" t="n">
        <v>299</v>
      </c>
      <c r="AB801" t="n">
        <v>3</v>
      </c>
      <c r="AC801" t="n">
        <v>3</v>
      </c>
      <c r="AD801" t="n">
        <v>20</v>
      </c>
      <c r="AE801" t="n">
        <v>20</v>
      </c>
      <c r="AF801" t="n">
        <v>10</v>
      </c>
      <c r="AG801" t="n">
        <v>10</v>
      </c>
      <c r="AH801" t="n">
        <v>2</v>
      </c>
      <c r="AI801" t="n">
        <v>2</v>
      </c>
      <c r="AJ801" t="n">
        <v>10</v>
      </c>
      <c r="AK801" t="n">
        <v>10</v>
      </c>
      <c r="AL801" t="n">
        <v>2</v>
      </c>
      <c r="AM801" t="n">
        <v>2</v>
      </c>
      <c r="AN801" t="n">
        <v>1</v>
      </c>
      <c r="AO801" t="n">
        <v>1</v>
      </c>
      <c r="AP801" t="inlineStr">
        <is>
          <t>No</t>
        </is>
      </c>
      <c r="AQ801" t="inlineStr">
        <is>
          <t>No</t>
        </is>
      </c>
      <c r="AS801">
        <f>HYPERLINK("https://creighton-primo.hosted.exlibrisgroup.com/primo-explore/search?tab=default_tab&amp;search_scope=EVERYTHING&amp;vid=01CRU&amp;lang=en_US&amp;offset=0&amp;query=any,contains,991002061999702656","Catalog Record")</f>
        <v/>
      </c>
      <c r="AT801">
        <f>HYPERLINK("http://www.worldcat.org/oclc/26396398","WorldCat Record")</f>
        <v/>
      </c>
      <c r="AU801" t="inlineStr">
        <is>
          <t>29307688:eng</t>
        </is>
      </c>
      <c r="AV801" t="inlineStr">
        <is>
          <t>26396398</t>
        </is>
      </c>
      <c r="AW801" t="inlineStr">
        <is>
          <t>991002061999702656</t>
        </is>
      </c>
      <c r="AX801" t="inlineStr">
        <is>
          <t>991002061999702656</t>
        </is>
      </c>
      <c r="AY801" t="inlineStr">
        <is>
          <t>2257022590002656</t>
        </is>
      </c>
      <c r="AZ801" t="inlineStr">
        <is>
          <t>BOOK</t>
        </is>
      </c>
      <c r="BB801" t="inlineStr">
        <is>
          <t>9780393701470</t>
        </is>
      </c>
      <c r="BC801" t="inlineStr">
        <is>
          <t>32285002167970</t>
        </is>
      </c>
      <c r="BD801" t="inlineStr">
        <is>
          <t>893529482</t>
        </is>
      </c>
    </row>
    <row r="802">
      <c r="A802" t="inlineStr">
        <is>
          <t>No</t>
        </is>
      </c>
      <c r="B802" t="inlineStr">
        <is>
          <t>RC488.5 .S773 1985</t>
        </is>
      </c>
      <c r="C802" t="inlineStr">
        <is>
          <t>0                      RC 0488500S  773         1985</t>
        </is>
      </c>
      <c r="D802" t="inlineStr">
        <is>
          <t>Resolving marital conflicts : a psychodynamic perspective / Herbert S. Strean.</t>
        </is>
      </c>
      <c r="F802" t="inlineStr">
        <is>
          <t>No</t>
        </is>
      </c>
      <c r="G802" t="inlineStr">
        <is>
          <t>1</t>
        </is>
      </c>
      <c r="H802" t="inlineStr">
        <is>
          <t>No</t>
        </is>
      </c>
      <c r="I802" t="inlineStr">
        <is>
          <t>No</t>
        </is>
      </c>
      <c r="J802" t="inlineStr">
        <is>
          <t>0</t>
        </is>
      </c>
      <c r="K802" t="inlineStr">
        <is>
          <t>Strean, Herbert S.</t>
        </is>
      </c>
      <c r="L802" t="inlineStr">
        <is>
          <t>New York : Wiley, 1985.</t>
        </is>
      </c>
      <c r="M802" t="inlineStr">
        <is>
          <t>1985</t>
        </is>
      </c>
      <c r="O802" t="inlineStr">
        <is>
          <t>eng</t>
        </is>
      </c>
      <c r="P802" t="inlineStr">
        <is>
          <t>nyu</t>
        </is>
      </c>
      <c r="Q802" t="inlineStr">
        <is>
          <t>Wiley series on pesonality processes</t>
        </is>
      </c>
      <c r="R802" t="inlineStr">
        <is>
          <t xml:space="preserve">RC </t>
        </is>
      </c>
      <c r="S802" t="n">
        <v>4</v>
      </c>
      <c r="T802" t="n">
        <v>4</v>
      </c>
      <c r="U802" t="inlineStr">
        <is>
          <t>1995-10-29</t>
        </is>
      </c>
      <c r="V802" t="inlineStr">
        <is>
          <t>1995-10-29</t>
        </is>
      </c>
      <c r="W802" t="inlineStr">
        <is>
          <t>1993-03-16</t>
        </is>
      </c>
      <c r="X802" t="inlineStr">
        <is>
          <t>1993-03-16</t>
        </is>
      </c>
      <c r="Y802" t="n">
        <v>388</v>
      </c>
      <c r="Z802" t="n">
        <v>340</v>
      </c>
      <c r="AA802" t="n">
        <v>347</v>
      </c>
      <c r="AB802" t="n">
        <v>4</v>
      </c>
      <c r="AC802" t="n">
        <v>4</v>
      </c>
      <c r="AD802" t="n">
        <v>12</v>
      </c>
      <c r="AE802" t="n">
        <v>12</v>
      </c>
      <c r="AF802" t="n">
        <v>0</v>
      </c>
      <c r="AG802" t="n">
        <v>0</v>
      </c>
      <c r="AH802" t="n">
        <v>3</v>
      </c>
      <c r="AI802" t="n">
        <v>3</v>
      </c>
      <c r="AJ802" t="n">
        <v>8</v>
      </c>
      <c r="AK802" t="n">
        <v>8</v>
      </c>
      <c r="AL802" t="n">
        <v>3</v>
      </c>
      <c r="AM802" t="n">
        <v>3</v>
      </c>
      <c r="AN802" t="n">
        <v>0</v>
      </c>
      <c r="AO802" t="n">
        <v>0</v>
      </c>
      <c r="AP802" t="inlineStr">
        <is>
          <t>No</t>
        </is>
      </c>
      <c r="AQ802" t="inlineStr">
        <is>
          <t>Yes</t>
        </is>
      </c>
      <c r="AR802">
        <f>HYPERLINK("http://catalog.hathitrust.org/Record/000382244","HathiTrust Record")</f>
        <v/>
      </c>
      <c r="AS802">
        <f>HYPERLINK("https://creighton-primo.hosted.exlibrisgroup.com/primo-explore/search?tab=default_tab&amp;search_scope=EVERYTHING&amp;vid=01CRU&amp;lang=en_US&amp;offset=0&amp;query=any,contains,991000652529702656","Catalog Record")</f>
        <v/>
      </c>
      <c r="AT802">
        <f>HYPERLINK("http://www.worldcat.org/oclc/12188472","WorldCat Record")</f>
        <v/>
      </c>
      <c r="AU802" t="inlineStr">
        <is>
          <t>836717708:eng</t>
        </is>
      </c>
      <c r="AV802" t="inlineStr">
        <is>
          <t>12188472</t>
        </is>
      </c>
      <c r="AW802" t="inlineStr">
        <is>
          <t>991000652529702656</t>
        </is>
      </c>
      <c r="AX802" t="inlineStr">
        <is>
          <t>991000652529702656</t>
        </is>
      </c>
      <c r="AY802" t="inlineStr">
        <is>
          <t>2254758920002656</t>
        </is>
      </c>
      <c r="AZ802" t="inlineStr">
        <is>
          <t>BOOK</t>
        </is>
      </c>
      <c r="BB802" t="inlineStr">
        <is>
          <t>9780471825043</t>
        </is>
      </c>
      <c r="BC802" t="inlineStr">
        <is>
          <t>32285001572626</t>
        </is>
      </c>
      <c r="BD802" t="inlineStr">
        <is>
          <t>893790733</t>
        </is>
      </c>
    </row>
    <row r="803">
      <c r="A803" t="inlineStr">
        <is>
          <t>No</t>
        </is>
      </c>
      <c r="B803" t="inlineStr">
        <is>
          <t>RC488.5 .T719 1989</t>
        </is>
      </c>
      <c r="C803" t="inlineStr">
        <is>
          <t>0                      RC 0488500T  719         1989</t>
        </is>
      </c>
      <c r="D803" t="inlineStr">
        <is>
          <t>Treating stress in families / edited by Charles R. Figley.</t>
        </is>
      </c>
      <c r="F803" t="inlineStr">
        <is>
          <t>No</t>
        </is>
      </c>
      <c r="G803" t="inlineStr">
        <is>
          <t>1</t>
        </is>
      </c>
      <c r="H803" t="inlineStr">
        <is>
          <t>No</t>
        </is>
      </c>
      <c r="I803" t="inlineStr">
        <is>
          <t>No</t>
        </is>
      </c>
      <c r="J803" t="inlineStr">
        <is>
          <t>0</t>
        </is>
      </c>
      <c r="L803" t="inlineStr">
        <is>
          <t>New York : Brunner/Mazel, c1989.</t>
        </is>
      </c>
      <c r="M803" t="inlineStr">
        <is>
          <t>1989</t>
        </is>
      </c>
      <c r="O803" t="inlineStr">
        <is>
          <t>eng</t>
        </is>
      </c>
      <c r="P803" t="inlineStr">
        <is>
          <t>nyu</t>
        </is>
      </c>
      <c r="Q803" t="inlineStr">
        <is>
          <t>Brunner/Mazel psychosocial stress series ; no. 13</t>
        </is>
      </c>
      <c r="R803" t="inlineStr">
        <is>
          <t xml:space="preserve">RC </t>
        </is>
      </c>
      <c r="S803" t="n">
        <v>6</v>
      </c>
      <c r="T803" t="n">
        <v>6</v>
      </c>
      <c r="U803" t="inlineStr">
        <is>
          <t>2004-10-04</t>
        </is>
      </c>
      <c r="V803" t="inlineStr">
        <is>
          <t>2004-10-04</t>
        </is>
      </c>
      <c r="W803" t="inlineStr">
        <is>
          <t>1990-02-16</t>
        </is>
      </c>
      <c r="X803" t="inlineStr">
        <is>
          <t>1990-02-16</t>
        </is>
      </c>
      <c r="Y803" t="n">
        <v>525</v>
      </c>
      <c r="Z803" t="n">
        <v>454</v>
      </c>
      <c r="AA803" t="n">
        <v>478</v>
      </c>
      <c r="AB803" t="n">
        <v>6</v>
      </c>
      <c r="AC803" t="n">
        <v>6</v>
      </c>
      <c r="AD803" t="n">
        <v>23</v>
      </c>
      <c r="AE803" t="n">
        <v>23</v>
      </c>
      <c r="AF803" t="n">
        <v>7</v>
      </c>
      <c r="AG803" t="n">
        <v>7</v>
      </c>
      <c r="AH803" t="n">
        <v>7</v>
      </c>
      <c r="AI803" t="n">
        <v>7</v>
      </c>
      <c r="AJ803" t="n">
        <v>9</v>
      </c>
      <c r="AK803" t="n">
        <v>9</v>
      </c>
      <c r="AL803" t="n">
        <v>5</v>
      </c>
      <c r="AM803" t="n">
        <v>5</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HYPERLINK("https://creighton-primo.hosted.exlibrisgroup.com/primo-explore/search?tab=default_tab&amp;search_scope=EVERYTHING&amp;vid=01CRU&amp;lang=en_US&amp;offset=0&amp;query=any,contains,991001372399702656","Catalog Record")</f>
        <v/>
      </c>
      <c r="AT803">
        <f>HYPERLINK("http://www.worldcat.org/oclc/18588250","WorldCat Record")</f>
        <v/>
      </c>
      <c r="AU803" t="inlineStr">
        <is>
          <t>2853985:eng</t>
        </is>
      </c>
      <c r="AV803" t="inlineStr">
        <is>
          <t>18588250</t>
        </is>
      </c>
      <c r="AW803" t="inlineStr">
        <is>
          <t>991001372399702656</t>
        </is>
      </c>
      <c r="AX803" t="inlineStr">
        <is>
          <t>991001372399702656</t>
        </is>
      </c>
      <c r="AY803" t="inlineStr">
        <is>
          <t>2266117990002656</t>
        </is>
      </c>
      <c r="AZ803" t="inlineStr">
        <is>
          <t>BOOK</t>
        </is>
      </c>
      <c r="BB803" t="inlineStr">
        <is>
          <t>9780876305300</t>
        </is>
      </c>
      <c r="BC803" t="inlineStr">
        <is>
          <t>32285000038942</t>
        </is>
      </c>
      <c r="BD803" t="inlineStr">
        <is>
          <t>893321870</t>
        </is>
      </c>
    </row>
    <row r="804">
      <c r="A804" t="inlineStr">
        <is>
          <t>No</t>
        </is>
      </c>
      <c r="B804" t="inlineStr">
        <is>
          <t>RC488.5 .U47 1986</t>
        </is>
      </c>
      <c r="C804" t="inlineStr">
        <is>
          <t>0                      RC 0488500U  47          1986</t>
        </is>
      </c>
      <c r="D804" t="inlineStr">
        <is>
          <t>To love and work : a systemic interlocking of family, workplace, and career / David N. Ulrich, Harry P. Dunne, Jr.</t>
        </is>
      </c>
      <c r="F804" t="inlineStr">
        <is>
          <t>No</t>
        </is>
      </c>
      <c r="G804" t="inlineStr">
        <is>
          <t>1</t>
        </is>
      </c>
      <c r="H804" t="inlineStr">
        <is>
          <t>No</t>
        </is>
      </c>
      <c r="I804" t="inlineStr">
        <is>
          <t>No</t>
        </is>
      </c>
      <c r="J804" t="inlineStr">
        <is>
          <t>0</t>
        </is>
      </c>
      <c r="K804" t="inlineStr">
        <is>
          <t>Ulrich, David N., 1919-</t>
        </is>
      </c>
      <c r="L804" t="inlineStr">
        <is>
          <t>New York : Brunner/Mazel, c1986.</t>
        </is>
      </c>
      <c r="M804" t="inlineStr">
        <is>
          <t>1986</t>
        </is>
      </c>
      <c r="O804" t="inlineStr">
        <is>
          <t>eng</t>
        </is>
      </c>
      <c r="P804" t="inlineStr">
        <is>
          <t>nyu</t>
        </is>
      </c>
      <c r="R804" t="inlineStr">
        <is>
          <t xml:space="preserve">RC </t>
        </is>
      </c>
      <c r="S804" t="n">
        <v>4</v>
      </c>
      <c r="T804" t="n">
        <v>4</v>
      </c>
      <c r="U804" t="inlineStr">
        <is>
          <t>1993-05-17</t>
        </is>
      </c>
      <c r="V804" t="inlineStr">
        <is>
          <t>1993-05-17</t>
        </is>
      </c>
      <c r="W804" t="inlineStr">
        <is>
          <t>1993-03-23</t>
        </is>
      </c>
      <c r="X804" t="inlineStr">
        <is>
          <t>1993-03-23</t>
        </is>
      </c>
      <c r="Y804" t="n">
        <v>307</v>
      </c>
      <c r="Z804" t="n">
        <v>273</v>
      </c>
      <c r="AA804" t="n">
        <v>281</v>
      </c>
      <c r="AB804" t="n">
        <v>3</v>
      </c>
      <c r="AC804" t="n">
        <v>3</v>
      </c>
      <c r="AD804" t="n">
        <v>14</v>
      </c>
      <c r="AE804" t="n">
        <v>14</v>
      </c>
      <c r="AF804" t="n">
        <v>5</v>
      </c>
      <c r="AG804" t="n">
        <v>5</v>
      </c>
      <c r="AH804" t="n">
        <v>3</v>
      </c>
      <c r="AI804" t="n">
        <v>3</v>
      </c>
      <c r="AJ804" t="n">
        <v>9</v>
      </c>
      <c r="AK804" t="n">
        <v>9</v>
      </c>
      <c r="AL804" t="n">
        <v>2</v>
      </c>
      <c r="AM804" t="n">
        <v>2</v>
      </c>
      <c r="AN804" t="n">
        <v>0</v>
      </c>
      <c r="AO804" t="n">
        <v>0</v>
      </c>
      <c r="AP804" t="inlineStr">
        <is>
          <t>No</t>
        </is>
      </c>
      <c r="AQ804" t="inlineStr">
        <is>
          <t>Yes</t>
        </is>
      </c>
      <c r="AR804">
        <f>HYPERLINK("http://catalog.hathitrust.org/Record/007470372","HathiTrust Record")</f>
        <v/>
      </c>
      <c r="AS804">
        <f>HYPERLINK("https://creighton-primo.hosted.exlibrisgroup.com/primo-explore/search?tab=default_tab&amp;search_scope=EVERYTHING&amp;vid=01CRU&amp;lang=en_US&amp;offset=0&amp;query=any,contains,991000814069702656","Catalog Record")</f>
        <v/>
      </c>
      <c r="AT804">
        <f>HYPERLINK("http://www.worldcat.org/oclc/13334273","WorldCat Record")</f>
        <v/>
      </c>
      <c r="AU804" t="inlineStr">
        <is>
          <t>986618381:eng</t>
        </is>
      </c>
      <c r="AV804" t="inlineStr">
        <is>
          <t>13334273</t>
        </is>
      </c>
      <c r="AW804" t="inlineStr">
        <is>
          <t>991000814069702656</t>
        </is>
      </c>
      <c r="AX804" t="inlineStr">
        <is>
          <t>991000814069702656</t>
        </is>
      </c>
      <c r="AY804" t="inlineStr">
        <is>
          <t>2263958110002656</t>
        </is>
      </c>
      <c r="AZ804" t="inlineStr">
        <is>
          <t>BOOK</t>
        </is>
      </c>
      <c r="BB804" t="inlineStr">
        <is>
          <t>9780876304211</t>
        </is>
      </c>
      <c r="BC804" t="inlineStr">
        <is>
          <t>32285001606879</t>
        </is>
      </c>
      <c r="BD804" t="inlineStr">
        <is>
          <t>893589758</t>
        </is>
      </c>
    </row>
    <row r="805">
      <c r="A805" t="inlineStr">
        <is>
          <t>No</t>
        </is>
      </c>
      <c r="B805" t="inlineStr">
        <is>
          <t>RC488.5 .V56 1988</t>
        </is>
      </c>
      <c r="C805" t="inlineStr">
        <is>
          <t>0                      RC 0488500V  56          1988</t>
        </is>
      </c>
      <c r="D805" t="inlineStr">
        <is>
          <t>Old loyalties, new ties : therapeutic strategies with stepfamilies / by Emily B. Visher and John S. Visher.</t>
        </is>
      </c>
      <c r="F805" t="inlineStr">
        <is>
          <t>No</t>
        </is>
      </c>
      <c r="G805" t="inlineStr">
        <is>
          <t>1</t>
        </is>
      </c>
      <c r="H805" t="inlineStr">
        <is>
          <t>No</t>
        </is>
      </c>
      <c r="I805" t="inlineStr">
        <is>
          <t>No</t>
        </is>
      </c>
      <c r="J805" t="inlineStr">
        <is>
          <t>0</t>
        </is>
      </c>
      <c r="K805" t="inlineStr">
        <is>
          <t>Visher, Emily B., 1918-2001.</t>
        </is>
      </c>
      <c r="L805" t="inlineStr">
        <is>
          <t>New York : Brunner/Mazel, c1988.</t>
        </is>
      </c>
      <c r="M805" t="inlineStr">
        <is>
          <t>1988</t>
        </is>
      </c>
      <c r="O805" t="inlineStr">
        <is>
          <t>eng</t>
        </is>
      </c>
      <c r="P805" t="inlineStr">
        <is>
          <t>nyu</t>
        </is>
      </c>
      <c r="R805" t="inlineStr">
        <is>
          <t xml:space="preserve">RC </t>
        </is>
      </c>
      <c r="S805" t="n">
        <v>4</v>
      </c>
      <c r="T805" t="n">
        <v>4</v>
      </c>
      <c r="U805" t="inlineStr">
        <is>
          <t>1996-04-04</t>
        </is>
      </c>
      <c r="V805" t="inlineStr">
        <is>
          <t>1996-04-04</t>
        </is>
      </c>
      <c r="W805" t="inlineStr">
        <is>
          <t>1990-05-10</t>
        </is>
      </c>
      <c r="X805" t="inlineStr">
        <is>
          <t>1990-05-10</t>
        </is>
      </c>
      <c r="Y805" t="n">
        <v>498</v>
      </c>
      <c r="Z805" t="n">
        <v>428</v>
      </c>
      <c r="AA805" t="n">
        <v>456</v>
      </c>
      <c r="AB805" t="n">
        <v>6</v>
      </c>
      <c r="AC805" t="n">
        <v>6</v>
      </c>
      <c r="AD805" t="n">
        <v>20</v>
      </c>
      <c r="AE805" t="n">
        <v>20</v>
      </c>
      <c r="AF805" t="n">
        <v>7</v>
      </c>
      <c r="AG805" t="n">
        <v>7</v>
      </c>
      <c r="AH805" t="n">
        <v>2</v>
      </c>
      <c r="AI805" t="n">
        <v>2</v>
      </c>
      <c r="AJ805" t="n">
        <v>10</v>
      </c>
      <c r="AK805" t="n">
        <v>10</v>
      </c>
      <c r="AL805" t="n">
        <v>5</v>
      </c>
      <c r="AM805" t="n">
        <v>5</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HYPERLINK("https://creighton-primo.hosted.exlibrisgroup.com/primo-explore/search?tab=default_tab&amp;search_scope=EVERYTHING&amp;vid=01CRU&amp;lang=en_US&amp;offset=0&amp;query=any,contains,991001132999702656","Catalog Record")</f>
        <v/>
      </c>
      <c r="AT805">
        <f>HYPERLINK("http://www.worldcat.org/oclc/16685051","WorldCat Record")</f>
        <v/>
      </c>
      <c r="AU805" t="inlineStr">
        <is>
          <t>2853816:eng</t>
        </is>
      </c>
      <c r="AV805" t="inlineStr">
        <is>
          <t>16685051</t>
        </is>
      </c>
      <c r="AW805" t="inlineStr">
        <is>
          <t>991001132999702656</t>
        </is>
      </c>
      <c r="AX805" t="inlineStr">
        <is>
          <t>991001132999702656</t>
        </is>
      </c>
      <c r="AY805" t="inlineStr">
        <is>
          <t>2271325860002656</t>
        </is>
      </c>
      <c r="AZ805" t="inlineStr">
        <is>
          <t>BOOK</t>
        </is>
      </c>
      <c r="BB805" t="inlineStr">
        <is>
          <t>9780876304891</t>
        </is>
      </c>
      <c r="BC805" t="inlineStr">
        <is>
          <t>32285000136373</t>
        </is>
      </c>
      <c r="BD805" t="inlineStr">
        <is>
          <t>893515928</t>
        </is>
      </c>
    </row>
    <row r="806">
      <c r="A806" t="inlineStr">
        <is>
          <t>No</t>
        </is>
      </c>
      <c r="B806" t="inlineStr">
        <is>
          <t>RC488.5 .W35</t>
        </is>
      </c>
      <c r="C806" t="inlineStr">
        <is>
          <t>0                      RC 0488500W  35</t>
        </is>
      </c>
      <c r="D806" t="inlineStr">
        <is>
          <t>A primer in family therapy / by William M. Walsh.</t>
        </is>
      </c>
      <c r="F806" t="inlineStr">
        <is>
          <t>No</t>
        </is>
      </c>
      <c r="G806" t="inlineStr">
        <is>
          <t>1</t>
        </is>
      </c>
      <c r="H806" t="inlineStr">
        <is>
          <t>No</t>
        </is>
      </c>
      <c r="I806" t="inlineStr">
        <is>
          <t>No</t>
        </is>
      </c>
      <c r="J806" t="inlineStr">
        <is>
          <t>0</t>
        </is>
      </c>
      <c r="K806" t="inlineStr">
        <is>
          <t>Walsh, William M.</t>
        </is>
      </c>
      <c r="L806" t="inlineStr">
        <is>
          <t>Springfield, Ill. : Thomas, c1980.</t>
        </is>
      </c>
      <c r="M806" t="inlineStr">
        <is>
          <t>1980</t>
        </is>
      </c>
      <c r="O806" t="inlineStr">
        <is>
          <t>eng</t>
        </is>
      </c>
      <c r="P806" t="inlineStr">
        <is>
          <t>ilu</t>
        </is>
      </c>
      <c r="R806" t="inlineStr">
        <is>
          <t xml:space="preserve">RC </t>
        </is>
      </c>
      <c r="S806" t="n">
        <v>2</v>
      </c>
      <c r="T806" t="n">
        <v>2</v>
      </c>
      <c r="U806" t="inlineStr">
        <is>
          <t>1994-08-15</t>
        </is>
      </c>
      <c r="V806" t="inlineStr">
        <is>
          <t>1994-08-15</t>
        </is>
      </c>
      <c r="W806" t="inlineStr">
        <is>
          <t>1993-03-23</t>
        </is>
      </c>
      <c r="X806" t="inlineStr">
        <is>
          <t>1993-03-23</t>
        </is>
      </c>
      <c r="Y806" t="n">
        <v>217</v>
      </c>
      <c r="Z806" t="n">
        <v>188</v>
      </c>
      <c r="AA806" t="n">
        <v>195</v>
      </c>
      <c r="AB806" t="n">
        <v>2</v>
      </c>
      <c r="AC806" t="n">
        <v>2</v>
      </c>
      <c r="AD806" t="n">
        <v>8</v>
      </c>
      <c r="AE806" t="n">
        <v>8</v>
      </c>
      <c r="AF806" t="n">
        <v>0</v>
      </c>
      <c r="AG806" t="n">
        <v>0</v>
      </c>
      <c r="AH806" t="n">
        <v>1</v>
      </c>
      <c r="AI806" t="n">
        <v>1</v>
      </c>
      <c r="AJ806" t="n">
        <v>6</v>
      </c>
      <c r="AK806" t="n">
        <v>6</v>
      </c>
      <c r="AL806" t="n">
        <v>1</v>
      </c>
      <c r="AM806" t="n">
        <v>1</v>
      </c>
      <c r="AN806" t="n">
        <v>0</v>
      </c>
      <c r="AO806" t="n">
        <v>0</v>
      </c>
      <c r="AP806" t="inlineStr">
        <is>
          <t>No</t>
        </is>
      </c>
      <c r="AQ806" t="inlineStr">
        <is>
          <t>Yes</t>
        </is>
      </c>
      <c r="AR806">
        <f>HYPERLINK("http://catalog.hathitrust.org/Record/000222597","HathiTrust Record")</f>
        <v/>
      </c>
      <c r="AS806">
        <f>HYPERLINK("https://creighton-primo.hosted.exlibrisgroup.com/primo-explore/search?tab=default_tab&amp;search_scope=EVERYTHING&amp;vid=01CRU&amp;lang=en_US&amp;offset=0&amp;query=any,contains,991004831539702656","Catalog Record")</f>
        <v/>
      </c>
      <c r="AT806">
        <f>HYPERLINK("http://www.worldcat.org/oclc/5411393","WorldCat Record")</f>
        <v/>
      </c>
      <c r="AU806" t="inlineStr">
        <is>
          <t>472124:eng</t>
        </is>
      </c>
      <c r="AV806" t="inlineStr">
        <is>
          <t>5411393</t>
        </is>
      </c>
      <c r="AW806" t="inlineStr">
        <is>
          <t>991004831539702656</t>
        </is>
      </c>
      <c r="AX806" t="inlineStr">
        <is>
          <t>991004831539702656</t>
        </is>
      </c>
      <c r="AY806" t="inlineStr">
        <is>
          <t>2256356420002656</t>
        </is>
      </c>
      <c r="AZ806" t="inlineStr">
        <is>
          <t>BOOK</t>
        </is>
      </c>
      <c r="BB806" t="inlineStr">
        <is>
          <t>9780398039929</t>
        </is>
      </c>
      <c r="BC806" t="inlineStr">
        <is>
          <t>32285001606887</t>
        </is>
      </c>
      <c r="BD806" t="inlineStr">
        <is>
          <t>893807523</t>
        </is>
      </c>
    </row>
    <row r="807">
      <c r="A807" t="inlineStr">
        <is>
          <t>No</t>
        </is>
      </c>
      <c r="B807" t="inlineStr">
        <is>
          <t>RC488.5 .W55</t>
        </is>
      </c>
      <c r="C807" t="inlineStr">
        <is>
          <t>0                      RC 0488500W  55</t>
        </is>
      </c>
      <c r="D807" t="inlineStr">
        <is>
          <t>Couples therapy, a nontraditional approach / Daniel B. Wile.</t>
        </is>
      </c>
      <c r="F807" t="inlineStr">
        <is>
          <t>No</t>
        </is>
      </c>
      <c r="G807" t="inlineStr">
        <is>
          <t>1</t>
        </is>
      </c>
      <c r="H807" t="inlineStr">
        <is>
          <t>Yes</t>
        </is>
      </c>
      <c r="I807" t="inlineStr">
        <is>
          <t>No</t>
        </is>
      </c>
      <c r="J807" t="inlineStr">
        <is>
          <t>0</t>
        </is>
      </c>
      <c r="K807" t="inlineStr">
        <is>
          <t>Wile, Daniel B.</t>
        </is>
      </c>
      <c r="L807" t="inlineStr">
        <is>
          <t>New York : Wiley, c1981.</t>
        </is>
      </c>
      <c r="M807" t="inlineStr">
        <is>
          <t>1981</t>
        </is>
      </c>
      <c r="O807" t="inlineStr">
        <is>
          <t>eng</t>
        </is>
      </c>
      <c r="P807" t="inlineStr">
        <is>
          <t>nyu</t>
        </is>
      </c>
      <c r="R807" t="inlineStr">
        <is>
          <t xml:space="preserve">RC </t>
        </is>
      </c>
      <c r="S807" t="n">
        <v>6</v>
      </c>
      <c r="T807" t="n">
        <v>7</v>
      </c>
      <c r="U807" t="inlineStr">
        <is>
          <t>1995-04-29</t>
        </is>
      </c>
      <c r="V807" t="inlineStr">
        <is>
          <t>1995-04-29</t>
        </is>
      </c>
      <c r="W807" t="inlineStr">
        <is>
          <t>1992-02-01</t>
        </is>
      </c>
      <c r="X807" t="inlineStr">
        <is>
          <t>1992-02-01</t>
        </is>
      </c>
      <c r="Y807" t="n">
        <v>411</v>
      </c>
      <c r="Z807" t="n">
        <v>343</v>
      </c>
      <c r="AA807" t="n">
        <v>407</v>
      </c>
      <c r="AB807" t="n">
        <v>6</v>
      </c>
      <c r="AC807" t="n">
        <v>7</v>
      </c>
      <c r="AD807" t="n">
        <v>21</v>
      </c>
      <c r="AE807" t="n">
        <v>23</v>
      </c>
      <c r="AF807" t="n">
        <v>4</v>
      </c>
      <c r="AG807" t="n">
        <v>5</v>
      </c>
      <c r="AH807" t="n">
        <v>5</v>
      </c>
      <c r="AI807" t="n">
        <v>5</v>
      </c>
      <c r="AJ807" t="n">
        <v>11</v>
      </c>
      <c r="AK807" t="n">
        <v>11</v>
      </c>
      <c r="AL807" t="n">
        <v>4</v>
      </c>
      <c r="AM807" t="n">
        <v>5</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HYPERLINK("https://creighton-primo.hosted.exlibrisgroup.com/primo-explore/search?tab=default_tab&amp;search_scope=EVERYTHING&amp;vid=01CRU&amp;lang=en_US&amp;offset=0&amp;query=any,contains,991001801689702656","Catalog Record")</f>
        <v/>
      </c>
      <c r="AT807">
        <f>HYPERLINK("http://www.worldcat.org/oclc/7284101","WorldCat Record")</f>
        <v/>
      </c>
      <c r="AU807" t="inlineStr">
        <is>
          <t>489068:eng</t>
        </is>
      </c>
      <c r="AV807" t="inlineStr">
        <is>
          <t>7284101</t>
        </is>
      </c>
      <c r="AW807" t="inlineStr">
        <is>
          <t>991001801689702656</t>
        </is>
      </c>
      <c r="AX807" t="inlineStr">
        <is>
          <t>991001801689702656</t>
        </is>
      </c>
      <c r="AY807" t="inlineStr">
        <is>
          <t>2259395340002656</t>
        </is>
      </c>
      <c r="AZ807" t="inlineStr">
        <is>
          <t>BOOK</t>
        </is>
      </c>
      <c r="BB807" t="inlineStr">
        <is>
          <t>9780471078111</t>
        </is>
      </c>
      <c r="BC807" t="inlineStr">
        <is>
          <t>32285000933183</t>
        </is>
      </c>
      <c r="BD807" t="inlineStr">
        <is>
          <t>893866496</t>
        </is>
      </c>
    </row>
    <row r="808">
      <c r="A808" t="inlineStr">
        <is>
          <t>No</t>
        </is>
      </c>
      <c r="B808" t="inlineStr">
        <is>
          <t>RC488.6 .B64 1995</t>
        </is>
      </c>
      <c r="C808" t="inlineStr">
        <is>
          <t>0                      RC 0488600B  64          1995</t>
        </is>
      </c>
      <c r="D808" t="inlineStr">
        <is>
          <t>Helping families through divorce : an eclectic approach / Ellen B. Bogolub.</t>
        </is>
      </c>
      <c r="F808" t="inlineStr">
        <is>
          <t>No</t>
        </is>
      </c>
      <c r="G808" t="inlineStr">
        <is>
          <t>1</t>
        </is>
      </c>
      <c r="H808" t="inlineStr">
        <is>
          <t>No</t>
        </is>
      </c>
      <c r="I808" t="inlineStr">
        <is>
          <t>No</t>
        </is>
      </c>
      <c r="J808" t="inlineStr">
        <is>
          <t>0</t>
        </is>
      </c>
      <c r="K808" t="inlineStr">
        <is>
          <t>Bogolub, Ellen B.</t>
        </is>
      </c>
      <c r="L808" t="inlineStr">
        <is>
          <t>New York : Springer Pub. Co., c1995.</t>
        </is>
      </c>
      <c r="M808" t="inlineStr">
        <is>
          <t>1995</t>
        </is>
      </c>
      <c r="O808" t="inlineStr">
        <is>
          <t>eng</t>
        </is>
      </c>
      <c r="P808" t="inlineStr">
        <is>
          <t>nyu</t>
        </is>
      </c>
      <c r="R808" t="inlineStr">
        <is>
          <t xml:space="preserve">RC </t>
        </is>
      </c>
      <c r="S808" t="n">
        <v>1</v>
      </c>
      <c r="T808" t="n">
        <v>1</v>
      </c>
      <c r="U808" t="inlineStr">
        <is>
          <t>2000-11-08</t>
        </is>
      </c>
      <c r="V808" t="inlineStr">
        <is>
          <t>2000-11-08</t>
        </is>
      </c>
      <c r="W808" t="inlineStr">
        <is>
          <t>2000-11-08</t>
        </is>
      </c>
      <c r="X808" t="inlineStr">
        <is>
          <t>2000-11-08</t>
        </is>
      </c>
      <c r="Y808" t="n">
        <v>226</v>
      </c>
      <c r="Z808" t="n">
        <v>204</v>
      </c>
      <c r="AA808" t="n">
        <v>211</v>
      </c>
      <c r="AB808" t="n">
        <v>3</v>
      </c>
      <c r="AC808" t="n">
        <v>3</v>
      </c>
      <c r="AD808" t="n">
        <v>12</v>
      </c>
      <c r="AE808" t="n">
        <v>12</v>
      </c>
      <c r="AF808" t="n">
        <v>4</v>
      </c>
      <c r="AG808" t="n">
        <v>4</v>
      </c>
      <c r="AH808" t="n">
        <v>2</v>
      </c>
      <c r="AI808" t="n">
        <v>2</v>
      </c>
      <c r="AJ808" t="n">
        <v>8</v>
      </c>
      <c r="AK808" t="n">
        <v>8</v>
      </c>
      <c r="AL808" t="n">
        <v>2</v>
      </c>
      <c r="AM808" t="n">
        <v>2</v>
      </c>
      <c r="AN808" t="n">
        <v>0</v>
      </c>
      <c r="AO808" t="n">
        <v>0</v>
      </c>
      <c r="AP808" t="inlineStr">
        <is>
          <t>No</t>
        </is>
      </c>
      <c r="AQ808" t="inlineStr">
        <is>
          <t>Yes</t>
        </is>
      </c>
      <c r="AR808">
        <f>HYPERLINK("http://catalog.hathitrust.org/Record/003030512","HathiTrust Record")</f>
        <v/>
      </c>
      <c r="AS808">
        <f>HYPERLINK("https://creighton-primo.hosted.exlibrisgroup.com/primo-explore/search?tab=default_tab&amp;search_scope=EVERYTHING&amp;vid=01CRU&amp;lang=en_US&amp;offset=0&amp;query=any,contains,991003284269702656","Catalog Record")</f>
        <v/>
      </c>
      <c r="AT808">
        <f>HYPERLINK("http://www.worldcat.org/oclc/32591132","WorldCat Record")</f>
        <v/>
      </c>
      <c r="AU808" t="inlineStr">
        <is>
          <t>968274:eng</t>
        </is>
      </c>
      <c r="AV808" t="inlineStr">
        <is>
          <t>32591132</t>
        </is>
      </c>
      <c r="AW808" t="inlineStr">
        <is>
          <t>991003284269702656</t>
        </is>
      </c>
      <c r="AX808" t="inlineStr">
        <is>
          <t>991003284269702656</t>
        </is>
      </c>
      <c r="AY808" t="inlineStr">
        <is>
          <t>2269779080002656</t>
        </is>
      </c>
      <c r="AZ808" t="inlineStr">
        <is>
          <t>BOOK</t>
        </is>
      </c>
      <c r="BB808" t="inlineStr">
        <is>
          <t>9780826190604</t>
        </is>
      </c>
      <c r="BC808" t="inlineStr">
        <is>
          <t>32285004264387</t>
        </is>
      </c>
      <c r="BD808" t="inlineStr">
        <is>
          <t>893598439</t>
        </is>
      </c>
    </row>
    <row r="809">
      <c r="A809" t="inlineStr">
        <is>
          <t>No</t>
        </is>
      </c>
      <c r="B809" t="inlineStr">
        <is>
          <t>RC488.6 .D57 1987</t>
        </is>
      </c>
      <c r="C809" t="inlineStr">
        <is>
          <t>0                      RC 0488600D  57          1987</t>
        </is>
      </c>
      <c r="D809" t="inlineStr">
        <is>
          <t>The Divorce process : a handbook for clinicians / Craig A. Everett, editor.</t>
        </is>
      </c>
      <c r="F809" t="inlineStr">
        <is>
          <t>No</t>
        </is>
      </c>
      <c r="G809" t="inlineStr">
        <is>
          <t>1</t>
        </is>
      </c>
      <c r="H809" t="inlineStr">
        <is>
          <t>No</t>
        </is>
      </c>
      <c r="I809" t="inlineStr">
        <is>
          <t>No</t>
        </is>
      </c>
      <c r="J809" t="inlineStr">
        <is>
          <t>0</t>
        </is>
      </c>
      <c r="L809" t="inlineStr">
        <is>
          <t>New York : Haworth Press, c1987.</t>
        </is>
      </c>
      <c r="M809" t="inlineStr">
        <is>
          <t>1987</t>
        </is>
      </c>
      <c r="O809" t="inlineStr">
        <is>
          <t>eng</t>
        </is>
      </c>
      <c r="P809" t="inlineStr">
        <is>
          <t>nyu</t>
        </is>
      </c>
      <c r="R809" t="inlineStr">
        <is>
          <t xml:space="preserve">RC </t>
        </is>
      </c>
      <c r="S809" t="n">
        <v>8</v>
      </c>
      <c r="T809" t="n">
        <v>8</v>
      </c>
      <c r="U809" t="inlineStr">
        <is>
          <t>1997-04-05</t>
        </is>
      </c>
      <c r="V809" t="inlineStr">
        <is>
          <t>1997-04-05</t>
        </is>
      </c>
      <c r="W809" t="inlineStr">
        <is>
          <t>1991-12-13</t>
        </is>
      </c>
      <c r="X809" t="inlineStr">
        <is>
          <t>1991-12-13</t>
        </is>
      </c>
      <c r="Y809" t="n">
        <v>90</v>
      </c>
      <c r="Z809" t="n">
        <v>61</v>
      </c>
      <c r="AA809" t="n">
        <v>61</v>
      </c>
      <c r="AB809" t="n">
        <v>1</v>
      </c>
      <c r="AC809" t="n">
        <v>1</v>
      </c>
      <c r="AD809" t="n">
        <v>3</v>
      </c>
      <c r="AE809" t="n">
        <v>3</v>
      </c>
      <c r="AF809" t="n">
        <v>1</v>
      </c>
      <c r="AG809" t="n">
        <v>1</v>
      </c>
      <c r="AH809" t="n">
        <v>1</v>
      </c>
      <c r="AI809" t="n">
        <v>1</v>
      </c>
      <c r="AJ809" t="n">
        <v>1</v>
      </c>
      <c r="AK809" t="n">
        <v>1</v>
      </c>
      <c r="AL809" t="n">
        <v>0</v>
      </c>
      <c r="AM809" t="n">
        <v>0</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HYPERLINK("https://creighton-primo.hosted.exlibrisgroup.com/primo-explore/search?tab=default_tab&amp;search_scope=EVERYTHING&amp;vid=01CRU&amp;lang=en_US&amp;offset=0&amp;query=any,contains,991001036429702656","Catalog Record")</f>
        <v/>
      </c>
      <c r="AT809">
        <f>HYPERLINK("http://www.worldcat.org/oclc/15549406","WorldCat Record")</f>
        <v/>
      </c>
      <c r="AU809" t="inlineStr">
        <is>
          <t>54950083:eng</t>
        </is>
      </c>
      <c r="AV809" t="inlineStr">
        <is>
          <t>15549406</t>
        </is>
      </c>
      <c r="AW809" t="inlineStr">
        <is>
          <t>991001036429702656</t>
        </is>
      </c>
      <c r="AX809" t="inlineStr">
        <is>
          <t>991001036429702656</t>
        </is>
      </c>
      <c r="AY809" t="inlineStr">
        <is>
          <t>2266736990002656</t>
        </is>
      </c>
      <c r="AZ809" t="inlineStr">
        <is>
          <t>BOOK</t>
        </is>
      </c>
      <c r="BB809" t="inlineStr">
        <is>
          <t>9780866566629</t>
        </is>
      </c>
      <c r="BC809" t="inlineStr">
        <is>
          <t>32285000895903</t>
        </is>
      </c>
      <c r="BD809" t="inlineStr">
        <is>
          <t>893522231</t>
        </is>
      </c>
    </row>
    <row r="810">
      <c r="A810" t="inlineStr">
        <is>
          <t>No</t>
        </is>
      </c>
      <c r="B810" t="inlineStr">
        <is>
          <t>RC488.6 .R53 1986</t>
        </is>
      </c>
      <c r="C810" t="inlineStr">
        <is>
          <t>0                      RC 0488600R  53          1986</t>
        </is>
      </c>
      <c r="D810" t="inlineStr">
        <is>
          <t>Living through divorce : a developmental approach to divorce therapy / Joy K. Rice, David G. Rice.</t>
        </is>
      </c>
      <c r="F810" t="inlineStr">
        <is>
          <t>No</t>
        </is>
      </c>
      <c r="G810" t="inlineStr">
        <is>
          <t>1</t>
        </is>
      </c>
      <c r="H810" t="inlineStr">
        <is>
          <t>No</t>
        </is>
      </c>
      <c r="I810" t="inlineStr">
        <is>
          <t>No</t>
        </is>
      </c>
      <c r="J810" t="inlineStr">
        <is>
          <t>0</t>
        </is>
      </c>
      <c r="K810" t="inlineStr">
        <is>
          <t>Rice, Joy K.</t>
        </is>
      </c>
      <c r="L810" t="inlineStr">
        <is>
          <t>New York : Guilford Press, c1986.</t>
        </is>
      </c>
      <c r="M810" t="inlineStr">
        <is>
          <t>1985</t>
        </is>
      </c>
      <c r="O810" t="inlineStr">
        <is>
          <t>eng</t>
        </is>
      </c>
      <c r="P810" t="inlineStr">
        <is>
          <t>nyu</t>
        </is>
      </c>
      <c r="Q810" t="inlineStr">
        <is>
          <t>The Guilford family therapy series</t>
        </is>
      </c>
      <c r="R810" t="inlineStr">
        <is>
          <t xml:space="preserve">RC </t>
        </is>
      </c>
      <c r="S810" t="n">
        <v>2</v>
      </c>
      <c r="T810" t="n">
        <v>2</v>
      </c>
      <c r="U810" t="inlineStr">
        <is>
          <t>1997-04-05</t>
        </is>
      </c>
      <c r="V810" t="inlineStr">
        <is>
          <t>1997-04-05</t>
        </is>
      </c>
      <c r="W810" t="inlineStr">
        <is>
          <t>1991-12-13</t>
        </is>
      </c>
      <c r="X810" t="inlineStr">
        <is>
          <t>1991-12-13</t>
        </is>
      </c>
      <c r="Y810" t="n">
        <v>511</v>
      </c>
      <c r="Z810" t="n">
        <v>446</v>
      </c>
      <c r="AA810" t="n">
        <v>452</v>
      </c>
      <c r="AB810" t="n">
        <v>6</v>
      </c>
      <c r="AC810" t="n">
        <v>6</v>
      </c>
      <c r="AD810" t="n">
        <v>19</v>
      </c>
      <c r="AE810" t="n">
        <v>19</v>
      </c>
      <c r="AF810" t="n">
        <v>6</v>
      </c>
      <c r="AG810" t="n">
        <v>6</v>
      </c>
      <c r="AH810" t="n">
        <v>3</v>
      </c>
      <c r="AI810" t="n">
        <v>3</v>
      </c>
      <c r="AJ810" t="n">
        <v>9</v>
      </c>
      <c r="AK810" t="n">
        <v>9</v>
      </c>
      <c r="AL810" t="n">
        <v>4</v>
      </c>
      <c r="AM810" t="n">
        <v>4</v>
      </c>
      <c r="AN810" t="n">
        <v>1</v>
      </c>
      <c r="AO810" t="n">
        <v>1</v>
      </c>
      <c r="AP810" t="inlineStr">
        <is>
          <t>No</t>
        </is>
      </c>
      <c r="AQ810" t="inlineStr">
        <is>
          <t>No</t>
        </is>
      </c>
      <c r="AS810">
        <f>HYPERLINK("https://creighton-primo.hosted.exlibrisgroup.com/primo-explore/search?tab=default_tab&amp;search_scope=EVERYTHING&amp;vid=01CRU&amp;lang=en_US&amp;offset=0&amp;query=any,contains,991000749539702656","Catalog Record")</f>
        <v/>
      </c>
      <c r="AT810">
        <f>HYPERLINK("http://www.worldcat.org/oclc/12907384","WorldCat Record")</f>
        <v/>
      </c>
      <c r="AU810" t="inlineStr">
        <is>
          <t>906227497:eng</t>
        </is>
      </c>
      <c r="AV810" t="inlineStr">
        <is>
          <t>12907384</t>
        </is>
      </c>
      <c r="AW810" t="inlineStr">
        <is>
          <t>991000749539702656</t>
        </is>
      </c>
      <c r="AX810" t="inlineStr">
        <is>
          <t>991000749539702656</t>
        </is>
      </c>
      <c r="AY810" t="inlineStr">
        <is>
          <t>2257653040002656</t>
        </is>
      </c>
      <c r="AZ810" t="inlineStr">
        <is>
          <t>BOOK</t>
        </is>
      </c>
      <c r="BB810" t="inlineStr">
        <is>
          <t>9780898620610</t>
        </is>
      </c>
      <c r="BC810" t="inlineStr">
        <is>
          <t>32285000895911</t>
        </is>
      </c>
      <c r="BD810" t="inlineStr">
        <is>
          <t>893327551</t>
        </is>
      </c>
    </row>
    <row r="811">
      <c r="A811" t="inlineStr">
        <is>
          <t>No</t>
        </is>
      </c>
      <c r="B811" t="inlineStr">
        <is>
          <t>RC489.A77 R35 1991</t>
        </is>
      </c>
      <c r="C811" t="inlineStr">
        <is>
          <t>0                      RC 0489000A  77                 R  35          1991</t>
        </is>
      </c>
      <c r="D811" t="inlineStr">
        <is>
          <t>Assertive behavior : theory, research, and training / Richard F. Rakos.</t>
        </is>
      </c>
      <c r="F811" t="inlineStr">
        <is>
          <t>No</t>
        </is>
      </c>
      <c r="G811" t="inlineStr">
        <is>
          <t>1</t>
        </is>
      </c>
      <c r="H811" t="inlineStr">
        <is>
          <t>No</t>
        </is>
      </c>
      <c r="I811" t="inlineStr">
        <is>
          <t>No</t>
        </is>
      </c>
      <c r="J811" t="inlineStr">
        <is>
          <t>0</t>
        </is>
      </c>
      <c r="K811" t="inlineStr">
        <is>
          <t>Rakos, Richard F., 1950-</t>
        </is>
      </c>
      <c r="L811" t="inlineStr">
        <is>
          <t>London ; New York : Routledge, 1991.</t>
        </is>
      </c>
      <c r="M811" t="inlineStr">
        <is>
          <t>1991</t>
        </is>
      </c>
      <c r="O811" t="inlineStr">
        <is>
          <t>eng</t>
        </is>
      </c>
      <c r="P811" t="inlineStr">
        <is>
          <t>enk</t>
        </is>
      </c>
      <c r="Q811" t="inlineStr">
        <is>
          <t>International series on communication skills</t>
        </is>
      </c>
      <c r="R811" t="inlineStr">
        <is>
          <t xml:space="preserve">RC </t>
        </is>
      </c>
      <c r="S811" t="n">
        <v>16</v>
      </c>
      <c r="T811" t="n">
        <v>16</v>
      </c>
      <c r="U811" t="inlineStr">
        <is>
          <t>2010-11-04</t>
        </is>
      </c>
      <c r="V811" t="inlineStr">
        <is>
          <t>2010-11-04</t>
        </is>
      </c>
      <c r="W811" t="inlineStr">
        <is>
          <t>1992-09-14</t>
        </is>
      </c>
      <c r="X811" t="inlineStr">
        <is>
          <t>1992-09-14</t>
        </is>
      </c>
      <c r="Y811" t="n">
        <v>271</v>
      </c>
      <c r="Z811" t="n">
        <v>140</v>
      </c>
      <c r="AA811" t="n">
        <v>145</v>
      </c>
      <c r="AB811" t="n">
        <v>1</v>
      </c>
      <c r="AC811" t="n">
        <v>1</v>
      </c>
      <c r="AD811" t="n">
        <v>3</v>
      </c>
      <c r="AE811" t="n">
        <v>3</v>
      </c>
      <c r="AF811" t="n">
        <v>2</v>
      </c>
      <c r="AG811" t="n">
        <v>2</v>
      </c>
      <c r="AH811" t="n">
        <v>0</v>
      </c>
      <c r="AI811" t="n">
        <v>0</v>
      </c>
      <c r="AJ811" t="n">
        <v>3</v>
      </c>
      <c r="AK811" t="n">
        <v>3</v>
      </c>
      <c r="AL811" t="n">
        <v>0</v>
      </c>
      <c r="AM811" t="n">
        <v>0</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HYPERLINK("https://creighton-primo.hosted.exlibrisgroup.com/primo-explore/search?tab=default_tab&amp;search_scope=EVERYTHING&amp;vid=01CRU&amp;lang=en_US&amp;offset=0&amp;query=any,contains,991001666739702656","Catalog Record")</f>
        <v/>
      </c>
      <c r="AT811">
        <f>HYPERLINK("http://www.worldcat.org/oclc/21227510","WorldCat Record")</f>
        <v/>
      </c>
      <c r="AU811" t="inlineStr">
        <is>
          <t>836866670:eng</t>
        </is>
      </c>
      <c r="AV811" t="inlineStr">
        <is>
          <t>21227510</t>
        </is>
      </c>
      <c r="AW811" t="inlineStr">
        <is>
          <t>991001666739702656</t>
        </is>
      </c>
      <c r="AX811" t="inlineStr">
        <is>
          <t>991001666739702656</t>
        </is>
      </c>
      <c r="AY811" t="inlineStr">
        <is>
          <t>2269463340002656</t>
        </is>
      </c>
      <c r="AZ811" t="inlineStr">
        <is>
          <t>BOOK</t>
        </is>
      </c>
      <c r="BB811" t="inlineStr">
        <is>
          <t>9780415000420</t>
        </is>
      </c>
      <c r="BC811" t="inlineStr">
        <is>
          <t>32285001287084</t>
        </is>
      </c>
      <c r="BD811" t="inlineStr">
        <is>
          <t>893414383</t>
        </is>
      </c>
    </row>
    <row r="812">
      <c r="A812" t="inlineStr">
        <is>
          <t>No</t>
        </is>
      </c>
      <c r="B812" t="inlineStr">
        <is>
          <t>RC489.B4 A36</t>
        </is>
      </c>
      <c r="C812" t="inlineStr">
        <is>
          <t>0                      RC 0489000B  4                  A  36</t>
        </is>
      </c>
      <c r="D812" t="inlineStr">
        <is>
          <t>Behavior therapy : toward an applied clinical science / W. Stewart Agras, Alan E. Kazdin, G. Terence Wilson.</t>
        </is>
      </c>
      <c r="F812" t="inlineStr">
        <is>
          <t>No</t>
        </is>
      </c>
      <c r="G812" t="inlineStr">
        <is>
          <t>1</t>
        </is>
      </c>
      <c r="H812" t="inlineStr">
        <is>
          <t>No</t>
        </is>
      </c>
      <c r="I812" t="inlineStr">
        <is>
          <t>No</t>
        </is>
      </c>
      <c r="J812" t="inlineStr">
        <is>
          <t>0</t>
        </is>
      </c>
      <c r="K812" t="inlineStr">
        <is>
          <t>Agras, W. Stewart.</t>
        </is>
      </c>
      <c r="L812" t="inlineStr">
        <is>
          <t>San Francisco : W. H. Freeman, c1979.</t>
        </is>
      </c>
      <c r="M812" t="inlineStr">
        <is>
          <t>1979</t>
        </is>
      </c>
      <c r="O812" t="inlineStr">
        <is>
          <t>eng</t>
        </is>
      </c>
      <c r="P812" t="inlineStr">
        <is>
          <t>cau</t>
        </is>
      </c>
      <c r="Q812" t="inlineStr">
        <is>
          <t>A Series of books in psychology</t>
        </is>
      </c>
      <c r="R812" t="inlineStr">
        <is>
          <t xml:space="preserve">RC </t>
        </is>
      </c>
      <c r="S812" t="n">
        <v>4</v>
      </c>
      <c r="T812" t="n">
        <v>4</v>
      </c>
      <c r="U812" t="inlineStr">
        <is>
          <t>2004-05-04</t>
        </is>
      </c>
      <c r="V812" t="inlineStr">
        <is>
          <t>2004-05-04</t>
        </is>
      </c>
      <c r="W812" t="inlineStr">
        <is>
          <t>1990-07-09</t>
        </is>
      </c>
      <c r="X812" t="inlineStr">
        <is>
          <t>1990-07-09</t>
        </is>
      </c>
      <c r="Y812" t="n">
        <v>305</v>
      </c>
      <c r="Z812" t="n">
        <v>237</v>
      </c>
      <c r="AA812" t="n">
        <v>242</v>
      </c>
      <c r="AB812" t="n">
        <v>3</v>
      </c>
      <c r="AC812" t="n">
        <v>3</v>
      </c>
      <c r="AD812" t="n">
        <v>8</v>
      </c>
      <c r="AE812" t="n">
        <v>8</v>
      </c>
      <c r="AF812" t="n">
        <v>2</v>
      </c>
      <c r="AG812" t="n">
        <v>2</v>
      </c>
      <c r="AH812" t="n">
        <v>2</v>
      </c>
      <c r="AI812" t="n">
        <v>2</v>
      </c>
      <c r="AJ812" t="n">
        <v>5</v>
      </c>
      <c r="AK812" t="n">
        <v>5</v>
      </c>
      <c r="AL812" t="n">
        <v>1</v>
      </c>
      <c r="AM812" t="n">
        <v>1</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HYPERLINK("https://creighton-primo.hosted.exlibrisgroup.com/primo-explore/search?tab=default_tab&amp;search_scope=EVERYTHING&amp;vid=01CRU&amp;lang=en_US&amp;offset=0&amp;query=any,contains,991004687839702656","Catalog Record")</f>
        <v/>
      </c>
      <c r="AT812">
        <f>HYPERLINK("http://www.worldcat.org/oclc/4593420","WorldCat Record")</f>
        <v/>
      </c>
      <c r="AU812" t="inlineStr">
        <is>
          <t>3856776700:eng</t>
        </is>
      </c>
      <c r="AV812" t="inlineStr">
        <is>
          <t>4593420</t>
        </is>
      </c>
      <c r="AW812" t="inlineStr">
        <is>
          <t>991004687839702656</t>
        </is>
      </c>
      <c r="AX812" t="inlineStr">
        <is>
          <t>991004687839702656</t>
        </is>
      </c>
      <c r="AY812" t="inlineStr">
        <is>
          <t>2271266640002656</t>
        </is>
      </c>
      <c r="AZ812" t="inlineStr">
        <is>
          <t>BOOK</t>
        </is>
      </c>
      <c r="BB812" t="inlineStr">
        <is>
          <t>9780716710868</t>
        </is>
      </c>
      <c r="BC812" t="inlineStr">
        <is>
          <t>32285000222231</t>
        </is>
      </c>
      <c r="BD812" t="inlineStr">
        <is>
          <t>893624971</t>
        </is>
      </c>
    </row>
    <row r="813">
      <c r="A813" t="inlineStr">
        <is>
          <t>No</t>
        </is>
      </c>
      <c r="B813" t="inlineStr">
        <is>
          <t>RC489.B4 B43517</t>
        </is>
      </c>
      <c r="C813" t="inlineStr">
        <is>
          <t>0                      RC 0489000B  4                  B  43517</t>
        </is>
      </c>
      <c r="D813" t="inlineStr">
        <is>
          <t>Behavior therapy in the psychiatric setting / edited by Michel Hersen and Alan S. Bellack ; with 14 contributors.</t>
        </is>
      </c>
      <c r="F813" t="inlineStr">
        <is>
          <t>No</t>
        </is>
      </c>
      <c r="G813" t="inlineStr">
        <is>
          <t>1</t>
        </is>
      </c>
      <c r="H813" t="inlineStr">
        <is>
          <t>No</t>
        </is>
      </c>
      <c r="I813" t="inlineStr">
        <is>
          <t>No</t>
        </is>
      </c>
      <c r="J813" t="inlineStr">
        <is>
          <t>0</t>
        </is>
      </c>
      <c r="L813" t="inlineStr">
        <is>
          <t>Baltimore : Williams &amp; Wilkins Co., c1978.</t>
        </is>
      </c>
      <c r="M813" t="inlineStr">
        <is>
          <t>1978</t>
        </is>
      </c>
      <c r="O813" t="inlineStr">
        <is>
          <t>eng</t>
        </is>
      </c>
      <c r="P813" t="inlineStr">
        <is>
          <t>mdu</t>
        </is>
      </c>
      <c r="R813" t="inlineStr">
        <is>
          <t xml:space="preserve">RC </t>
        </is>
      </c>
      <c r="S813" t="n">
        <v>1</v>
      </c>
      <c r="T813" t="n">
        <v>1</v>
      </c>
      <c r="U813" t="inlineStr">
        <is>
          <t>1992-11-11</t>
        </is>
      </c>
      <c r="V813" t="inlineStr">
        <is>
          <t>1992-11-11</t>
        </is>
      </c>
      <c r="W813" t="inlineStr">
        <is>
          <t>1992-11-04</t>
        </is>
      </c>
      <c r="X813" t="inlineStr">
        <is>
          <t>1992-11-04</t>
        </is>
      </c>
      <c r="Y813" t="n">
        <v>187</v>
      </c>
      <c r="Z813" t="n">
        <v>140</v>
      </c>
      <c r="AA813" t="n">
        <v>148</v>
      </c>
      <c r="AB813" t="n">
        <v>2</v>
      </c>
      <c r="AC813" t="n">
        <v>2</v>
      </c>
      <c r="AD813" t="n">
        <v>4</v>
      </c>
      <c r="AE813" t="n">
        <v>4</v>
      </c>
      <c r="AF813" t="n">
        <v>0</v>
      </c>
      <c r="AG813" t="n">
        <v>0</v>
      </c>
      <c r="AH813" t="n">
        <v>2</v>
      </c>
      <c r="AI813" t="n">
        <v>2</v>
      </c>
      <c r="AJ813" t="n">
        <v>2</v>
      </c>
      <c r="AK813" t="n">
        <v>2</v>
      </c>
      <c r="AL813" t="n">
        <v>1</v>
      </c>
      <c r="AM813" t="n">
        <v>1</v>
      </c>
      <c r="AN813" t="n">
        <v>0</v>
      </c>
      <c r="AO813" t="n">
        <v>0</v>
      </c>
      <c r="AP813" t="inlineStr">
        <is>
          <t>No</t>
        </is>
      </c>
      <c r="AQ813" t="inlineStr">
        <is>
          <t>Yes</t>
        </is>
      </c>
      <c r="AR813">
        <f>HYPERLINK("http://catalog.hathitrust.org/Record/000292344","HathiTrust Record")</f>
        <v/>
      </c>
      <c r="AS813">
        <f>HYPERLINK("https://creighton-primo.hosted.exlibrisgroup.com/primo-explore/search?tab=default_tab&amp;search_scope=EVERYTHING&amp;vid=01CRU&amp;lang=en_US&amp;offset=0&amp;query=any,contains,991004350479702656","Catalog Record")</f>
        <v/>
      </c>
      <c r="AT813">
        <f>HYPERLINK("http://www.worldcat.org/oclc/3119619","WorldCat Record")</f>
        <v/>
      </c>
      <c r="AU813" t="inlineStr">
        <is>
          <t>3759260697:eng</t>
        </is>
      </c>
      <c r="AV813" t="inlineStr">
        <is>
          <t>3119619</t>
        </is>
      </c>
      <c r="AW813" t="inlineStr">
        <is>
          <t>991004350479702656</t>
        </is>
      </c>
      <c r="AX813" t="inlineStr">
        <is>
          <t>991004350479702656</t>
        </is>
      </c>
      <c r="AY813" t="inlineStr">
        <is>
          <t>2269097790002656</t>
        </is>
      </c>
      <c r="AZ813" t="inlineStr">
        <is>
          <t>BOOK</t>
        </is>
      </c>
      <c r="BB813" t="inlineStr">
        <is>
          <t>9780683039641</t>
        </is>
      </c>
      <c r="BC813" t="inlineStr">
        <is>
          <t>32285001380509</t>
        </is>
      </c>
      <c r="BD813" t="inlineStr">
        <is>
          <t>893411427</t>
        </is>
      </c>
    </row>
    <row r="814">
      <c r="A814" t="inlineStr">
        <is>
          <t>No</t>
        </is>
      </c>
      <c r="B814" t="inlineStr">
        <is>
          <t>RC489.B4 B4354 1981</t>
        </is>
      </c>
      <c r="C814" t="inlineStr">
        <is>
          <t>0                      RC 0489000B  4                  B  4354        1981</t>
        </is>
      </c>
      <c r="D814" t="inlineStr">
        <is>
          <t>Behavioral assessment : a practical handbook / edited by Michel Hersen, Alan S. Bellack.</t>
        </is>
      </c>
      <c r="F814" t="inlineStr">
        <is>
          <t>No</t>
        </is>
      </c>
      <c r="G814" t="inlineStr">
        <is>
          <t>1</t>
        </is>
      </c>
      <c r="H814" t="inlineStr">
        <is>
          <t>No</t>
        </is>
      </c>
      <c r="I814" t="inlineStr">
        <is>
          <t>No</t>
        </is>
      </c>
      <c r="J814" t="inlineStr">
        <is>
          <t>0</t>
        </is>
      </c>
      <c r="L814" t="inlineStr">
        <is>
          <t>New York : Pergamon Press, c1981.</t>
        </is>
      </c>
      <c r="M814" t="inlineStr">
        <is>
          <t>1981</t>
        </is>
      </c>
      <c r="N814" t="inlineStr">
        <is>
          <t>2nd ed.</t>
        </is>
      </c>
      <c r="O814" t="inlineStr">
        <is>
          <t>eng</t>
        </is>
      </c>
      <c r="P814" t="inlineStr">
        <is>
          <t>nyu</t>
        </is>
      </c>
      <c r="Q814" t="inlineStr">
        <is>
          <t>Pergamon general psychology series ; v. 65</t>
        </is>
      </c>
      <c r="R814" t="inlineStr">
        <is>
          <t xml:space="preserve">RC </t>
        </is>
      </c>
      <c r="S814" t="n">
        <v>6</v>
      </c>
      <c r="T814" t="n">
        <v>6</v>
      </c>
      <c r="U814" t="inlineStr">
        <is>
          <t>1996-12-03</t>
        </is>
      </c>
      <c r="V814" t="inlineStr">
        <is>
          <t>1996-12-03</t>
        </is>
      </c>
      <c r="W814" t="inlineStr">
        <is>
          <t>1993-03-23</t>
        </is>
      </c>
      <c r="X814" t="inlineStr">
        <is>
          <t>1993-03-23</t>
        </is>
      </c>
      <c r="Y814" t="n">
        <v>346</v>
      </c>
      <c r="Z814" t="n">
        <v>255</v>
      </c>
      <c r="AA814" t="n">
        <v>588</v>
      </c>
      <c r="AB814" t="n">
        <v>2</v>
      </c>
      <c r="AC814" t="n">
        <v>5</v>
      </c>
      <c r="AD814" t="n">
        <v>4</v>
      </c>
      <c r="AE814" t="n">
        <v>31</v>
      </c>
      <c r="AF814" t="n">
        <v>0</v>
      </c>
      <c r="AG814" t="n">
        <v>13</v>
      </c>
      <c r="AH814" t="n">
        <v>2</v>
      </c>
      <c r="AI814" t="n">
        <v>7</v>
      </c>
      <c r="AJ814" t="n">
        <v>3</v>
      </c>
      <c r="AK814" t="n">
        <v>17</v>
      </c>
      <c r="AL814" t="n">
        <v>1</v>
      </c>
      <c r="AM814" t="n">
        <v>4</v>
      </c>
      <c r="AN814" t="n">
        <v>0</v>
      </c>
      <c r="AO814" t="n">
        <v>0</v>
      </c>
      <c r="AP814" t="inlineStr">
        <is>
          <t>No</t>
        </is>
      </c>
      <c r="AQ814" t="inlineStr">
        <is>
          <t>Yes</t>
        </is>
      </c>
      <c r="AR814">
        <f>HYPERLINK("http://catalog.hathitrust.org/Record/000769052","HathiTrust Record")</f>
        <v/>
      </c>
      <c r="AS814">
        <f>HYPERLINK("https://creighton-primo.hosted.exlibrisgroup.com/primo-explore/search?tab=default_tab&amp;search_scope=EVERYTHING&amp;vid=01CRU&amp;lang=en_US&amp;offset=0&amp;query=any,contains,991005100229702656","Catalog Record")</f>
        <v/>
      </c>
      <c r="AT814">
        <f>HYPERLINK("http://www.worldcat.org/oclc/7282484","WorldCat Record")</f>
        <v/>
      </c>
      <c r="AU814" t="inlineStr">
        <is>
          <t>821920409:eng</t>
        </is>
      </c>
      <c r="AV814" t="inlineStr">
        <is>
          <t>7282484</t>
        </is>
      </c>
      <c r="AW814" t="inlineStr">
        <is>
          <t>991005100229702656</t>
        </is>
      </c>
      <c r="AX814" t="inlineStr">
        <is>
          <t>991005100229702656</t>
        </is>
      </c>
      <c r="AY814" t="inlineStr">
        <is>
          <t>2257954400002656</t>
        </is>
      </c>
      <c r="AZ814" t="inlineStr">
        <is>
          <t>BOOK</t>
        </is>
      </c>
      <c r="BB814" t="inlineStr">
        <is>
          <t>9780080259550</t>
        </is>
      </c>
      <c r="BC814" t="inlineStr">
        <is>
          <t>32285001606895</t>
        </is>
      </c>
      <c r="BD814" t="inlineStr">
        <is>
          <t>893350710</t>
        </is>
      </c>
    </row>
    <row r="815">
      <c r="A815" t="inlineStr">
        <is>
          <t>No</t>
        </is>
      </c>
      <c r="B815" t="inlineStr">
        <is>
          <t>RC489.B4 C59</t>
        </is>
      </c>
      <c r="C815" t="inlineStr">
        <is>
          <t>0                      RC 0489000B  4                  C  59</t>
        </is>
      </c>
      <c r="D815" t="inlineStr">
        <is>
          <t>Clinical procedures for behavior therapy / C. Eugene Walker ... [et al.].</t>
        </is>
      </c>
      <c r="F815" t="inlineStr">
        <is>
          <t>No</t>
        </is>
      </c>
      <c r="G815" t="inlineStr">
        <is>
          <t>1</t>
        </is>
      </c>
      <c r="H815" t="inlineStr">
        <is>
          <t>No</t>
        </is>
      </c>
      <c r="I815" t="inlineStr">
        <is>
          <t>No</t>
        </is>
      </c>
      <c r="J815" t="inlineStr">
        <is>
          <t>0</t>
        </is>
      </c>
      <c r="L815" t="inlineStr">
        <is>
          <t>Englewood Cliffs, N.J. : Prentice-Hall, [1981]</t>
        </is>
      </c>
      <c r="M815" t="inlineStr">
        <is>
          <t>1981</t>
        </is>
      </c>
      <c r="O815" t="inlineStr">
        <is>
          <t>eng</t>
        </is>
      </c>
      <c r="P815" t="inlineStr">
        <is>
          <t>nju</t>
        </is>
      </c>
      <c r="R815" t="inlineStr">
        <is>
          <t xml:space="preserve">RC </t>
        </is>
      </c>
      <c r="S815" t="n">
        <v>6</v>
      </c>
      <c r="T815" t="n">
        <v>6</v>
      </c>
      <c r="U815" t="inlineStr">
        <is>
          <t>2004-05-04</t>
        </is>
      </c>
      <c r="V815" t="inlineStr">
        <is>
          <t>2004-05-04</t>
        </is>
      </c>
      <c r="W815" t="inlineStr">
        <is>
          <t>1993-03-23</t>
        </is>
      </c>
      <c r="X815" t="inlineStr">
        <is>
          <t>1993-03-23</t>
        </is>
      </c>
      <c r="Y815" t="n">
        <v>328</v>
      </c>
      <c r="Z815" t="n">
        <v>250</v>
      </c>
      <c r="AA815" t="n">
        <v>257</v>
      </c>
      <c r="AB815" t="n">
        <v>3</v>
      </c>
      <c r="AC815" t="n">
        <v>3</v>
      </c>
      <c r="AD815" t="n">
        <v>8</v>
      </c>
      <c r="AE815" t="n">
        <v>8</v>
      </c>
      <c r="AF815" t="n">
        <v>4</v>
      </c>
      <c r="AG815" t="n">
        <v>4</v>
      </c>
      <c r="AH815" t="n">
        <v>0</v>
      </c>
      <c r="AI815" t="n">
        <v>0</v>
      </c>
      <c r="AJ815" t="n">
        <v>5</v>
      </c>
      <c r="AK815" t="n">
        <v>5</v>
      </c>
      <c r="AL815" t="n">
        <v>2</v>
      </c>
      <c r="AM815" t="n">
        <v>2</v>
      </c>
      <c r="AN815" t="n">
        <v>0</v>
      </c>
      <c r="AO815" t="n">
        <v>0</v>
      </c>
      <c r="AP815" t="inlineStr">
        <is>
          <t>No</t>
        </is>
      </c>
      <c r="AQ815" t="inlineStr">
        <is>
          <t>Yes</t>
        </is>
      </c>
      <c r="AR815">
        <f>HYPERLINK("http://catalog.hathitrust.org/Record/000098205","HathiTrust Record")</f>
        <v/>
      </c>
      <c r="AS815">
        <f>HYPERLINK("https://creighton-primo.hosted.exlibrisgroup.com/primo-explore/search?tab=default_tab&amp;search_scope=EVERYTHING&amp;vid=01CRU&amp;lang=en_US&amp;offset=0&amp;query=any,contains,991005064539702656","Catalog Record")</f>
        <v/>
      </c>
      <c r="AT815">
        <f>HYPERLINK("http://www.worldcat.org/oclc/6943171","WorldCat Record")</f>
        <v/>
      </c>
      <c r="AU815" t="inlineStr">
        <is>
          <t>25160974:eng</t>
        </is>
      </c>
      <c r="AV815" t="inlineStr">
        <is>
          <t>6943171</t>
        </is>
      </c>
      <c r="AW815" t="inlineStr">
        <is>
          <t>991005064539702656</t>
        </is>
      </c>
      <c r="AX815" t="inlineStr">
        <is>
          <t>991005064539702656</t>
        </is>
      </c>
      <c r="AY815" t="inlineStr">
        <is>
          <t>2257174610002656</t>
        </is>
      </c>
      <c r="AZ815" t="inlineStr">
        <is>
          <t>BOOK</t>
        </is>
      </c>
      <c r="BB815" t="inlineStr">
        <is>
          <t>9780131377943</t>
        </is>
      </c>
      <c r="BC815" t="inlineStr">
        <is>
          <t>32285001606903</t>
        </is>
      </c>
      <c r="BD815" t="inlineStr">
        <is>
          <t>893707185</t>
        </is>
      </c>
    </row>
    <row r="816">
      <c r="A816" t="inlineStr">
        <is>
          <t>No</t>
        </is>
      </c>
      <c r="B816" t="inlineStr">
        <is>
          <t>RC489.B4 E77</t>
        </is>
      </c>
      <c r="C816" t="inlineStr">
        <is>
          <t>0                      RC 0489000B  4                  E  77</t>
        </is>
      </c>
      <c r="D816" t="inlineStr">
        <is>
          <t>Behavior therapy : scientific, philosophical, and moral foundations / Edward Erwin.</t>
        </is>
      </c>
      <c r="F816" t="inlineStr">
        <is>
          <t>No</t>
        </is>
      </c>
      <c r="G816" t="inlineStr">
        <is>
          <t>1</t>
        </is>
      </c>
      <c r="H816" t="inlineStr">
        <is>
          <t>No</t>
        </is>
      </c>
      <c r="I816" t="inlineStr">
        <is>
          <t>No</t>
        </is>
      </c>
      <c r="J816" t="inlineStr">
        <is>
          <t>0</t>
        </is>
      </c>
      <c r="K816" t="inlineStr">
        <is>
          <t>Erwin, Edward, 1937-</t>
        </is>
      </c>
      <c r="L816" t="inlineStr">
        <is>
          <t>Cambridge ; New York : Cambridge University Press, 1978.</t>
        </is>
      </c>
      <c r="M816" t="inlineStr">
        <is>
          <t>1978</t>
        </is>
      </c>
      <c r="O816" t="inlineStr">
        <is>
          <t>eng</t>
        </is>
      </c>
      <c r="P816" t="inlineStr">
        <is>
          <t>enk</t>
        </is>
      </c>
      <c r="R816" t="inlineStr">
        <is>
          <t xml:space="preserve">RC </t>
        </is>
      </c>
      <c r="S816" t="n">
        <v>6</v>
      </c>
      <c r="T816" t="n">
        <v>6</v>
      </c>
      <c r="U816" t="inlineStr">
        <is>
          <t>2004-05-04</t>
        </is>
      </c>
      <c r="V816" t="inlineStr">
        <is>
          <t>2004-05-04</t>
        </is>
      </c>
      <c r="W816" t="inlineStr">
        <is>
          <t>1993-03-23</t>
        </is>
      </c>
      <c r="X816" t="inlineStr">
        <is>
          <t>1993-03-23</t>
        </is>
      </c>
      <c r="Y816" t="n">
        <v>580</v>
      </c>
      <c r="Z816" t="n">
        <v>461</v>
      </c>
      <c r="AA816" t="n">
        <v>465</v>
      </c>
      <c r="AB816" t="n">
        <v>2</v>
      </c>
      <c r="AC816" t="n">
        <v>2</v>
      </c>
      <c r="AD816" t="n">
        <v>20</v>
      </c>
      <c r="AE816" t="n">
        <v>20</v>
      </c>
      <c r="AF816" t="n">
        <v>6</v>
      </c>
      <c r="AG816" t="n">
        <v>6</v>
      </c>
      <c r="AH816" t="n">
        <v>4</v>
      </c>
      <c r="AI816" t="n">
        <v>4</v>
      </c>
      <c r="AJ816" t="n">
        <v>15</v>
      </c>
      <c r="AK816" t="n">
        <v>15</v>
      </c>
      <c r="AL816" t="n">
        <v>1</v>
      </c>
      <c r="AM816" t="n">
        <v>1</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HYPERLINK("https://creighton-primo.hosted.exlibrisgroup.com/primo-explore/search?tab=default_tab&amp;search_scope=EVERYTHING&amp;vid=01CRU&amp;lang=en_US&amp;offset=0&amp;query=any,contains,991005265549702656","Catalog Record")</f>
        <v/>
      </c>
      <c r="AT816">
        <f>HYPERLINK("http://www.worldcat.org/oclc/3966062","WorldCat Record")</f>
        <v/>
      </c>
      <c r="AU816" t="inlineStr">
        <is>
          <t>822037765:eng</t>
        </is>
      </c>
      <c r="AV816" t="inlineStr">
        <is>
          <t>3966062</t>
        </is>
      </c>
      <c r="AW816" t="inlineStr">
        <is>
          <t>991005265549702656</t>
        </is>
      </c>
      <c r="AX816" t="inlineStr">
        <is>
          <t>991005265549702656</t>
        </is>
      </c>
      <c r="AY816" t="inlineStr">
        <is>
          <t>2263808280002656</t>
        </is>
      </c>
      <c r="AZ816" t="inlineStr">
        <is>
          <t>BOOK</t>
        </is>
      </c>
      <c r="BB816" t="inlineStr">
        <is>
          <t>9780521222938</t>
        </is>
      </c>
      <c r="BC816" t="inlineStr">
        <is>
          <t>32285001606929</t>
        </is>
      </c>
      <c r="BD816" t="inlineStr">
        <is>
          <t>893514359</t>
        </is>
      </c>
    </row>
    <row r="817">
      <c r="A817" t="inlineStr">
        <is>
          <t>No</t>
        </is>
      </c>
      <c r="B817" t="inlineStr">
        <is>
          <t>RC489.B4 F87</t>
        </is>
      </c>
      <c r="C817" t="inlineStr">
        <is>
          <t>0                      RC 0489000B  4                  F  87</t>
        </is>
      </c>
      <c r="D817" t="inlineStr">
        <is>
          <t>Future perspectives in behavior therapy / edited by Larry Michelson, Michel Hersen, and Samuel M. Turner.</t>
        </is>
      </c>
      <c r="F817" t="inlineStr">
        <is>
          <t>No</t>
        </is>
      </c>
      <c r="G817" t="inlineStr">
        <is>
          <t>1</t>
        </is>
      </c>
      <c r="H817" t="inlineStr">
        <is>
          <t>No</t>
        </is>
      </c>
      <c r="I817" t="inlineStr">
        <is>
          <t>No</t>
        </is>
      </c>
      <c r="J817" t="inlineStr">
        <is>
          <t>0</t>
        </is>
      </c>
      <c r="L817" t="inlineStr">
        <is>
          <t>New York : Plenum Press, c1981.</t>
        </is>
      </c>
      <c r="M817" t="inlineStr">
        <is>
          <t>1981</t>
        </is>
      </c>
      <c r="O817" t="inlineStr">
        <is>
          <t>eng</t>
        </is>
      </c>
      <c r="P817" t="inlineStr">
        <is>
          <t>nyu</t>
        </is>
      </c>
      <c r="Q817" t="inlineStr">
        <is>
          <t>Applied clinical psychology</t>
        </is>
      </c>
      <c r="R817" t="inlineStr">
        <is>
          <t xml:space="preserve">RC </t>
        </is>
      </c>
      <c r="S817" t="n">
        <v>4</v>
      </c>
      <c r="T817" t="n">
        <v>4</v>
      </c>
      <c r="U817" t="inlineStr">
        <is>
          <t>1996-10-29</t>
        </is>
      </c>
      <c r="V817" t="inlineStr">
        <is>
          <t>1996-10-29</t>
        </is>
      </c>
      <c r="W817" t="inlineStr">
        <is>
          <t>1993-03-23</t>
        </is>
      </c>
      <c r="X817" t="inlineStr">
        <is>
          <t>1993-03-23</t>
        </is>
      </c>
      <c r="Y817" t="n">
        <v>271</v>
      </c>
      <c r="Z817" t="n">
        <v>197</v>
      </c>
      <c r="AA817" t="n">
        <v>222</v>
      </c>
      <c r="AB817" t="n">
        <v>4</v>
      </c>
      <c r="AC817" t="n">
        <v>4</v>
      </c>
      <c r="AD817" t="n">
        <v>10</v>
      </c>
      <c r="AE817" t="n">
        <v>12</v>
      </c>
      <c r="AF817" t="n">
        <v>3</v>
      </c>
      <c r="AG817" t="n">
        <v>5</v>
      </c>
      <c r="AH817" t="n">
        <v>1</v>
      </c>
      <c r="AI817" t="n">
        <v>1</v>
      </c>
      <c r="AJ817" t="n">
        <v>4</v>
      </c>
      <c r="AK817" t="n">
        <v>5</v>
      </c>
      <c r="AL817" t="n">
        <v>3</v>
      </c>
      <c r="AM817" t="n">
        <v>3</v>
      </c>
      <c r="AN817" t="n">
        <v>0</v>
      </c>
      <c r="AO817" t="n">
        <v>0</v>
      </c>
      <c r="AP817" t="inlineStr">
        <is>
          <t>No</t>
        </is>
      </c>
      <c r="AQ817" t="inlineStr">
        <is>
          <t>No</t>
        </is>
      </c>
      <c r="AS817">
        <f>HYPERLINK("https://creighton-primo.hosted.exlibrisgroup.com/primo-explore/search?tab=default_tab&amp;search_scope=EVERYTHING&amp;vid=01CRU&amp;lang=en_US&amp;offset=0&amp;query=any,contains,991005138599702656","Catalog Record")</f>
        <v/>
      </c>
      <c r="AT817">
        <f>HYPERLINK("http://www.worldcat.org/oclc/7596366","WorldCat Record")</f>
        <v/>
      </c>
      <c r="AU817" t="inlineStr">
        <is>
          <t>180772:eng</t>
        </is>
      </c>
      <c r="AV817" t="inlineStr">
        <is>
          <t>7596366</t>
        </is>
      </c>
      <c r="AW817" t="inlineStr">
        <is>
          <t>991005138599702656</t>
        </is>
      </c>
      <c r="AX817" t="inlineStr">
        <is>
          <t>991005138599702656</t>
        </is>
      </c>
      <c r="AY817" t="inlineStr">
        <is>
          <t>2255911270002656</t>
        </is>
      </c>
      <c r="AZ817" t="inlineStr">
        <is>
          <t>BOOK</t>
        </is>
      </c>
      <c r="BB817" t="inlineStr">
        <is>
          <t>9780306406805</t>
        </is>
      </c>
      <c r="BC817" t="inlineStr">
        <is>
          <t>32285001606945</t>
        </is>
      </c>
      <c r="BD817" t="inlineStr">
        <is>
          <t>893883393</t>
        </is>
      </c>
    </row>
    <row r="818">
      <c r="A818" t="inlineStr">
        <is>
          <t>No</t>
        </is>
      </c>
      <c r="B818" t="inlineStr">
        <is>
          <t>RC489.B4 H344 1993</t>
        </is>
      </c>
      <c r="C818" t="inlineStr">
        <is>
          <t>0                      RC 0489000B  4                  H  344         1993</t>
        </is>
      </c>
      <c r="D818" t="inlineStr">
        <is>
          <t>Handbook of behavior therapy in the psychiatric setting / edited by Alan S. Bellack and Michel Hersen.</t>
        </is>
      </c>
      <c r="F818" t="inlineStr">
        <is>
          <t>No</t>
        </is>
      </c>
      <c r="G818" t="inlineStr">
        <is>
          <t>1</t>
        </is>
      </c>
      <c r="H818" t="inlineStr">
        <is>
          <t>No</t>
        </is>
      </c>
      <c r="I818" t="inlineStr">
        <is>
          <t>No</t>
        </is>
      </c>
      <c r="J818" t="inlineStr">
        <is>
          <t>0</t>
        </is>
      </c>
      <c r="L818" t="inlineStr">
        <is>
          <t>New York : Plenum Press, c1993.</t>
        </is>
      </c>
      <c r="M818" t="inlineStr">
        <is>
          <t>1993</t>
        </is>
      </c>
      <c r="O818" t="inlineStr">
        <is>
          <t>eng</t>
        </is>
      </c>
      <c r="P818" t="inlineStr">
        <is>
          <t>nyu</t>
        </is>
      </c>
      <c r="Q818" t="inlineStr">
        <is>
          <t>Critical issues in psychiatry</t>
        </is>
      </c>
      <c r="R818" t="inlineStr">
        <is>
          <t xml:space="preserve">RC </t>
        </is>
      </c>
      <c r="S818" t="n">
        <v>5</v>
      </c>
      <c r="T818" t="n">
        <v>5</v>
      </c>
      <c r="U818" t="inlineStr">
        <is>
          <t>2001-12-04</t>
        </is>
      </c>
      <c r="V818" t="inlineStr">
        <is>
          <t>2001-12-04</t>
        </is>
      </c>
      <c r="W818" t="inlineStr">
        <is>
          <t>1995-02-16</t>
        </is>
      </c>
      <c r="X818" t="inlineStr">
        <is>
          <t>1995-02-16</t>
        </is>
      </c>
      <c r="Y818" t="n">
        <v>205</v>
      </c>
      <c r="Z818" t="n">
        <v>132</v>
      </c>
      <c r="AA818" t="n">
        <v>151</v>
      </c>
      <c r="AB818" t="n">
        <v>1</v>
      </c>
      <c r="AC818" t="n">
        <v>1</v>
      </c>
      <c r="AD818" t="n">
        <v>6</v>
      </c>
      <c r="AE818" t="n">
        <v>6</v>
      </c>
      <c r="AF818" t="n">
        <v>0</v>
      </c>
      <c r="AG818" t="n">
        <v>0</v>
      </c>
      <c r="AH818" t="n">
        <v>2</v>
      </c>
      <c r="AI818" t="n">
        <v>2</v>
      </c>
      <c r="AJ818" t="n">
        <v>5</v>
      </c>
      <c r="AK818" t="n">
        <v>5</v>
      </c>
      <c r="AL818" t="n">
        <v>0</v>
      </c>
      <c r="AM818" t="n">
        <v>0</v>
      </c>
      <c r="AN818" t="n">
        <v>0</v>
      </c>
      <c r="AO818" t="n">
        <v>0</v>
      </c>
      <c r="AP818" t="inlineStr">
        <is>
          <t>No</t>
        </is>
      </c>
      <c r="AQ818" t="inlineStr">
        <is>
          <t>Yes</t>
        </is>
      </c>
      <c r="AR818">
        <f>HYPERLINK("http://catalog.hathitrust.org/Record/002650250","HathiTrust Record")</f>
        <v/>
      </c>
      <c r="AS818">
        <f>HYPERLINK("https://creighton-primo.hosted.exlibrisgroup.com/primo-explore/search?tab=default_tab&amp;search_scope=EVERYTHING&amp;vid=01CRU&amp;lang=en_US&amp;offset=0&amp;query=any,contains,991002094919702656","Catalog Record")</f>
        <v/>
      </c>
      <c r="AT818">
        <f>HYPERLINK("http://www.worldcat.org/oclc/26856626","WorldCat Record")</f>
        <v/>
      </c>
      <c r="AU818" t="inlineStr">
        <is>
          <t>350059102:eng</t>
        </is>
      </c>
      <c r="AV818" t="inlineStr">
        <is>
          <t>26856626</t>
        </is>
      </c>
      <c r="AW818" t="inlineStr">
        <is>
          <t>991002094919702656</t>
        </is>
      </c>
      <c r="AX818" t="inlineStr">
        <is>
          <t>991002094919702656</t>
        </is>
      </c>
      <c r="AY818" t="inlineStr">
        <is>
          <t>2266782870002656</t>
        </is>
      </c>
      <c r="AZ818" t="inlineStr">
        <is>
          <t>BOOK</t>
        </is>
      </c>
      <c r="BB818" t="inlineStr">
        <is>
          <t>9780306442759</t>
        </is>
      </c>
      <c r="BC818" t="inlineStr">
        <is>
          <t>32285001999159</t>
        </is>
      </c>
      <c r="BD818" t="inlineStr">
        <is>
          <t>893873095</t>
        </is>
      </c>
    </row>
    <row r="819">
      <c r="A819" t="inlineStr">
        <is>
          <t>No</t>
        </is>
      </c>
      <c r="B819" t="inlineStr">
        <is>
          <t>RC489.B4 H37</t>
        </is>
      </c>
      <c r="C819" t="inlineStr">
        <is>
          <t>0                      RC 0489000B  4                  H  37</t>
        </is>
      </c>
      <c r="D819" t="inlineStr">
        <is>
          <t>Handbook of clinical behavior therapy / edited by Samuel M. Turner, Karen S. Calhoun, Henry E. Adams.</t>
        </is>
      </c>
      <c r="F819" t="inlineStr">
        <is>
          <t>No</t>
        </is>
      </c>
      <c r="G819" t="inlineStr">
        <is>
          <t>1</t>
        </is>
      </c>
      <c r="H819" t="inlineStr">
        <is>
          <t>Yes</t>
        </is>
      </c>
      <c r="I819" t="inlineStr">
        <is>
          <t>No</t>
        </is>
      </c>
      <c r="J819" t="inlineStr">
        <is>
          <t>0</t>
        </is>
      </c>
      <c r="L819" t="inlineStr">
        <is>
          <t>New York : Wiley, c1981.</t>
        </is>
      </c>
      <c r="M819" t="inlineStr">
        <is>
          <t>1981</t>
        </is>
      </c>
      <c r="O819" t="inlineStr">
        <is>
          <t>eng</t>
        </is>
      </c>
      <c r="P819" t="inlineStr">
        <is>
          <t>nyu</t>
        </is>
      </c>
      <c r="Q819" t="inlineStr">
        <is>
          <t>Wiley series on personality processes</t>
        </is>
      </c>
      <c r="R819" t="inlineStr">
        <is>
          <t xml:space="preserve">RC </t>
        </is>
      </c>
      <c r="S819" t="n">
        <v>3</v>
      </c>
      <c r="T819" t="n">
        <v>3</v>
      </c>
      <c r="U819" t="inlineStr">
        <is>
          <t>2010-11-04</t>
        </is>
      </c>
      <c r="V819" t="inlineStr">
        <is>
          <t>2010-11-04</t>
        </is>
      </c>
      <c r="W819" t="inlineStr">
        <is>
          <t>1993-03-23</t>
        </is>
      </c>
      <c r="X819" t="inlineStr">
        <is>
          <t>1993-03-23</t>
        </is>
      </c>
      <c r="Y819" t="n">
        <v>439</v>
      </c>
      <c r="Z819" t="n">
        <v>343</v>
      </c>
      <c r="AA819" t="n">
        <v>455</v>
      </c>
      <c r="AB819" t="n">
        <v>5</v>
      </c>
      <c r="AC819" t="n">
        <v>5</v>
      </c>
      <c r="AD819" t="n">
        <v>13</v>
      </c>
      <c r="AE819" t="n">
        <v>21</v>
      </c>
      <c r="AF819" t="n">
        <v>3</v>
      </c>
      <c r="AG819" t="n">
        <v>5</v>
      </c>
      <c r="AH819" t="n">
        <v>2</v>
      </c>
      <c r="AI819" t="n">
        <v>7</v>
      </c>
      <c r="AJ819" t="n">
        <v>11</v>
      </c>
      <c r="AK819" t="n">
        <v>15</v>
      </c>
      <c r="AL819" t="n">
        <v>2</v>
      </c>
      <c r="AM819" t="n">
        <v>2</v>
      </c>
      <c r="AN819" t="n">
        <v>0</v>
      </c>
      <c r="AO819" t="n">
        <v>0</v>
      </c>
      <c r="AP819" t="inlineStr">
        <is>
          <t>No</t>
        </is>
      </c>
      <c r="AQ819" t="inlineStr">
        <is>
          <t>Yes</t>
        </is>
      </c>
      <c r="AR819">
        <f>HYPERLINK("http://catalog.hathitrust.org/Record/000098660","HathiTrust Record")</f>
        <v/>
      </c>
      <c r="AS819">
        <f>HYPERLINK("https://creighton-primo.hosted.exlibrisgroup.com/primo-explore/search?tab=default_tab&amp;search_scope=EVERYTHING&amp;vid=01CRU&amp;lang=en_US&amp;offset=0&amp;query=any,contains,991004975179702656","Catalog Record")</f>
        <v/>
      </c>
      <c r="AT819">
        <f>HYPERLINK("http://www.worldcat.org/oclc/6379434","WorldCat Record")</f>
        <v/>
      </c>
      <c r="AU819" t="inlineStr">
        <is>
          <t>349930920:eng</t>
        </is>
      </c>
      <c r="AV819" t="inlineStr">
        <is>
          <t>6379434</t>
        </is>
      </c>
      <c r="AW819" t="inlineStr">
        <is>
          <t>991004975179702656</t>
        </is>
      </c>
      <c r="AX819" t="inlineStr">
        <is>
          <t>991004975179702656</t>
        </is>
      </c>
      <c r="AY819" t="inlineStr">
        <is>
          <t>2270774490002656</t>
        </is>
      </c>
      <c r="AZ819" t="inlineStr">
        <is>
          <t>BOOK</t>
        </is>
      </c>
      <c r="BB819" t="inlineStr">
        <is>
          <t>9780471041788</t>
        </is>
      </c>
      <c r="BC819" t="inlineStr">
        <is>
          <t>32285001606952</t>
        </is>
      </c>
      <c r="BD819" t="inlineStr">
        <is>
          <t>893807683</t>
        </is>
      </c>
    </row>
    <row r="820">
      <c r="A820" t="inlineStr">
        <is>
          <t>No</t>
        </is>
      </c>
      <c r="B820" t="inlineStr">
        <is>
          <t>RC489.B4 I57 1972</t>
        </is>
      </c>
      <c r="C820" t="inlineStr">
        <is>
          <t>0                      RC 0489000B  4                  I  57          1972</t>
        </is>
      </c>
      <c r="D820" t="inlineStr">
        <is>
          <t>Applications of behavior modification : [papers] / edited by Travis Thompson, William S. Dockens, III.</t>
        </is>
      </c>
      <c r="F820" t="inlineStr">
        <is>
          <t>No</t>
        </is>
      </c>
      <c r="G820" t="inlineStr">
        <is>
          <t>1</t>
        </is>
      </c>
      <c r="H820" t="inlineStr">
        <is>
          <t>No</t>
        </is>
      </c>
      <c r="I820" t="inlineStr">
        <is>
          <t>No</t>
        </is>
      </c>
      <c r="J820" t="inlineStr">
        <is>
          <t>0</t>
        </is>
      </c>
      <c r="K820" t="inlineStr">
        <is>
          <t>International Symposium on Behavior Modification (1st : 1972 : Minneapolis, Minn.)</t>
        </is>
      </c>
      <c r="L820" t="inlineStr">
        <is>
          <t>New York : Academic Press, [1975]</t>
        </is>
      </c>
      <c r="M820" t="inlineStr">
        <is>
          <t>1975</t>
        </is>
      </c>
      <c r="O820" t="inlineStr">
        <is>
          <t>eng</t>
        </is>
      </c>
      <c r="P820" t="inlineStr">
        <is>
          <t>nyu</t>
        </is>
      </c>
      <c r="R820" t="inlineStr">
        <is>
          <t xml:space="preserve">RC </t>
        </is>
      </c>
      <c r="S820" t="n">
        <v>3</v>
      </c>
      <c r="T820" t="n">
        <v>3</v>
      </c>
      <c r="U820" t="inlineStr">
        <is>
          <t>1999-10-10</t>
        </is>
      </c>
      <c r="V820" t="inlineStr">
        <is>
          <t>1999-10-10</t>
        </is>
      </c>
      <c r="W820" t="inlineStr">
        <is>
          <t>1991-01-11</t>
        </is>
      </c>
      <c r="X820" t="inlineStr">
        <is>
          <t>1991-01-11</t>
        </is>
      </c>
      <c r="Y820" t="n">
        <v>372</v>
      </c>
      <c r="Z820" t="n">
        <v>290</v>
      </c>
      <c r="AA820" t="n">
        <v>297</v>
      </c>
      <c r="AB820" t="n">
        <v>4</v>
      </c>
      <c r="AC820" t="n">
        <v>4</v>
      </c>
      <c r="AD820" t="n">
        <v>11</v>
      </c>
      <c r="AE820" t="n">
        <v>11</v>
      </c>
      <c r="AF820" t="n">
        <v>3</v>
      </c>
      <c r="AG820" t="n">
        <v>3</v>
      </c>
      <c r="AH820" t="n">
        <v>2</v>
      </c>
      <c r="AI820" t="n">
        <v>2</v>
      </c>
      <c r="AJ820" t="n">
        <v>5</v>
      </c>
      <c r="AK820" t="n">
        <v>5</v>
      </c>
      <c r="AL820" t="n">
        <v>2</v>
      </c>
      <c r="AM820" t="n">
        <v>2</v>
      </c>
      <c r="AN820" t="n">
        <v>0</v>
      </c>
      <c r="AO820" t="n">
        <v>0</v>
      </c>
      <c r="AP820" t="inlineStr">
        <is>
          <t>No</t>
        </is>
      </c>
      <c r="AQ820" t="inlineStr">
        <is>
          <t>Yes</t>
        </is>
      </c>
      <c r="AR820">
        <f>HYPERLINK("http://catalog.hathitrust.org/Record/000041699","HathiTrust Record")</f>
        <v/>
      </c>
      <c r="AS820">
        <f>HYPERLINK("https://creighton-primo.hosted.exlibrisgroup.com/primo-explore/search?tab=default_tab&amp;search_scope=EVERYTHING&amp;vid=01CRU&amp;lang=en_US&amp;offset=0&amp;query=any,contains,991003596919702656","Catalog Record")</f>
        <v/>
      </c>
      <c r="AT820">
        <f>HYPERLINK("http://www.worldcat.org/oclc/1175853","WorldCat Record")</f>
        <v/>
      </c>
      <c r="AU820" t="inlineStr">
        <is>
          <t>355412012:eng</t>
        </is>
      </c>
      <c r="AV820" t="inlineStr">
        <is>
          <t>1175853</t>
        </is>
      </c>
      <c r="AW820" t="inlineStr">
        <is>
          <t>991003596919702656</t>
        </is>
      </c>
      <c r="AX820" t="inlineStr">
        <is>
          <t>991003596919702656</t>
        </is>
      </c>
      <c r="AY820" t="inlineStr">
        <is>
          <t>2271960630002656</t>
        </is>
      </c>
      <c r="AZ820" t="inlineStr">
        <is>
          <t>BOOK</t>
        </is>
      </c>
      <c r="BB820" t="inlineStr">
        <is>
          <t>9780126895506</t>
        </is>
      </c>
      <c r="BC820" t="inlineStr">
        <is>
          <t>32285000427962</t>
        </is>
      </c>
      <c r="BD820" t="inlineStr">
        <is>
          <t>893617510</t>
        </is>
      </c>
    </row>
    <row r="821">
      <c r="A821" t="inlineStr">
        <is>
          <t>No</t>
        </is>
      </c>
      <c r="B821" t="inlineStr">
        <is>
          <t>RC489.B4 K38</t>
        </is>
      </c>
      <c r="C821" t="inlineStr">
        <is>
          <t>0                      RC 0489000B  4                  K  38</t>
        </is>
      </c>
      <c r="D821" t="inlineStr">
        <is>
          <t>Evaluation of behavior therapy : issues, evidence, and research strategies / Alan E. Kazdin, G. Terence Wilson. --</t>
        </is>
      </c>
      <c r="F821" t="inlineStr">
        <is>
          <t>No</t>
        </is>
      </c>
      <c r="G821" t="inlineStr">
        <is>
          <t>1</t>
        </is>
      </c>
      <c r="H821" t="inlineStr">
        <is>
          <t>No</t>
        </is>
      </c>
      <c r="I821" t="inlineStr">
        <is>
          <t>No</t>
        </is>
      </c>
      <c r="J821" t="inlineStr">
        <is>
          <t>0</t>
        </is>
      </c>
      <c r="K821" t="inlineStr">
        <is>
          <t>Kazdin, Alan E.</t>
        </is>
      </c>
      <c r="L821" t="inlineStr">
        <is>
          <t>Cambridge, Mass. : Ballinger Pub. Co., c1978.</t>
        </is>
      </c>
      <c r="M821" t="inlineStr">
        <is>
          <t>1978</t>
        </is>
      </c>
      <c r="O821" t="inlineStr">
        <is>
          <t>eng</t>
        </is>
      </c>
      <c r="P821" t="inlineStr">
        <is>
          <t>mau</t>
        </is>
      </c>
      <c r="R821" t="inlineStr">
        <is>
          <t xml:space="preserve">RC </t>
        </is>
      </c>
      <c r="S821" t="n">
        <v>1</v>
      </c>
      <c r="T821" t="n">
        <v>1</v>
      </c>
      <c r="U821" t="inlineStr">
        <is>
          <t>1994-11-11</t>
        </is>
      </c>
      <c r="V821" t="inlineStr">
        <is>
          <t>1994-11-11</t>
        </is>
      </c>
      <c r="W821" t="inlineStr">
        <is>
          <t>1993-03-23</t>
        </is>
      </c>
      <c r="X821" t="inlineStr">
        <is>
          <t>1993-03-23</t>
        </is>
      </c>
      <c r="Y821" t="n">
        <v>277</v>
      </c>
      <c r="Z821" t="n">
        <v>212</v>
      </c>
      <c r="AA821" t="n">
        <v>310</v>
      </c>
      <c r="AB821" t="n">
        <v>2</v>
      </c>
      <c r="AC821" t="n">
        <v>5</v>
      </c>
      <c r="AD821" t="n">
        <v>11</v>
      </c>
      <c r="AE821" t="n">
        <v>15</v>
      </c>
      <c r="AF821" t="n">
        <v>2</v>
      </c>
      <c r="AG821" t="n">
        <v>4</v>
      </c>
      <c r="AH821" t="n">
        <v>3</v>
      </c>
      <c r="AI821" t="n">
        <v>4</v>
      </c>
      <c r="AJ821" t="n">
        <v>8</v>
      </c>
      <c r="AK821" t="n">
        <v>9</v>
      </c>
      <c r="AL821" t="n">
        <v>1</v>
      </c>
      <c r="AM821" t="n">
        <v>2</v>
      </c>
      <c r="AN821" t="n">
        <v>0</v>
      </c>
      <c r="AO821" t="n">
        <v>0</v>
      </c>
      <c r="AP821" t="inlineStr">
        <is>
          <t>No</t>
        </is>
      </c>
      <c r="AQ821" t="inlineStr">
        <is>
          <t>Yes</t>
        </is>
      </c>
      <c r="AR821">
        <f>HYPERLINK("http://catalog.hathitrust.org/Record/000713056","HathiTrust Record")</f>
        <v/>
      </c>
      <c r="AS821">
        <f>HYPERLINK("https://creighton-primo.hosted.exlibrisgroup.com/primo-explore/search?tab=default_tab&amp;search_scope=EVERYTHING&amp;vid=01CRU&amp;lang=en_US&amp;offset=0&amp;query=any,contains,991004381779702656","Catalog Record")</f>
        <v/>
      </c>
      <c r="AT821">
        <f>HYPERLINK("http://www.worldcat.org/oclc/3223707","WorldCat Record")</f>
        <v/>
      </c>
      <c r="AU821" t="inlineStr">
        <is>
          <t>9037770:eng</t>
        </is>
      </c>
      <c r="AV821" t="inlineStr">
        <is>
          <t>3223707</t>
        </is>
      </c>
      <c r="AW821" t="inlineStr">
        <is>
          <t>991004381779702656</t>
        </is>
      </c>
      <c r="AX821" t="inlineStr">
        <is>
          <t>991004381779702656</t>
        </is>
      </c>
      <c r="AY821" t="inlineStr">
        <is>
          <t>2259013480002656</t>
        </is>
      </c>
      <c r="AZ821" t="inlineStr">
        <is>
          <t>BOOK</t>
        </is>
      </c>
      <c r="BB821" t="inlineStr">
        <is>
          <t>9780884105206</t>
        </is>
      </c>
      <c r="BC821" t="inlineStr">
        <is>
          <t>32285001606960</t>
        </is>
      </c>
      <c r="BD821" t="inlineStr">
        <is>
          <t>893624658</t>
        </is>
      </c>
    </row>
    <row r="822">
      <c r="A822" t="inlineStr">
        <is>
          <t>No</t>
        </is>
      </c>
      <c r="B822" t="inlineStr">
        <is>
          <t>RC489.B4 L3</t>
        </is>
      </c>
      <c r="C822" t="inlineStr">
        <is>
          <t>0                      RC 0489000B  4                  L  3</t>
        </is>
      </c>
      <c r="D822" t="inlineStr">
        <is>
          <t>Behavior therapy &amp; beyond [by] Arnold A. Lazarus.</t>
        </is>
      </c>
      <c r="F822" t="inlineStr">
        <is>
          <t>No</t>
        </is>
      </c>
      <c r="G822" t="inlineStr">
        <is>
          <t>1</t>
        </is>
      </c>
      <c r="H822" t="inlineStr">
        <is>
          <t>No</t>
        </is>
      </c>
      <c r="I822" t="inlineStr">
        <is>
          <t>No</t>
        </is>
      </c>
      <c r="J822" t="inlineStr">
        <is>
          <t>0</t>
        </is>
      </c>
      <c r="K822" t="inlineStr">
        <is>
          <t>Lazarus, Arnold A.</t>
        </is>
      </c>
      <c r="L822" t="inlineStr">
        <is>
          <t>New York, McGraw-Hill [1971]</t>
        </is>
      </c>
      <c r="M822" t="inlineStr">
        <is>
          <t>1971</t>
        </is>
      </c>
      <c r="O822" t="inlineStr">
        <is>
          <t>eng</t>
        </is>
      </c>
      <c r="P822" t="inlineStr">
        <is>
          <t>nyu</t>
        </is>
      </c>
      <c r="Q822" t="inlineStr">
        <is>
          <t>McGraw-Hill series in psychology</t>
        </is>
      </c>
      <c r="R822" t="inlineStr">
        <is>
          <t xml:space="preserve">RC </t>
        </is>
      </c>
      <c r="S822" t="n">
        <v>1</v>
      </c>
      <c r="T822" t="n">
        <v>1</v>
      </c>
      <c r="U822" t="inlineStr">
        <is>
          <t>2010-08-10</t>
        </is>
      </c>
      <c r="V822" t="inlineStr">
        <is>
          <t>2010-08-10</t>
        </is>
      </c>
      <c r="W822" t="inlineStr">
        <is>
          <t>1997-08-12</t>
        </is>
      </c>
      <c r="X822" t="inlineStr">
        <is>
          <t>1997-08-12</t>
        </is>
      </c>
      <c r="Y822" t="n">
        <v>757</v>
      </c>
      <c r="Z822" t="n">
        <v>595</v>
      </c>
      <c r="AA822" t="n">
        <v>615</v>
      </c>
      <c r="AB822" t="n">
        <v>5</v>
      </c>
      <c r="AC822" t="n">
        <v>5</v>
      </c>
      <c r="AD822" t="n">
        <v>25</v>
      </c>
      <c r="AE822" t="n">
        <v>25</v>
      </c>
      <c r="AF822" t="n">
        <v>10</v>
      </c>
      <c r="AG822" t="n">
        <v>10</v>
      </c>
      <c r="AH822" t="n">
        <v>3</v>
      </c>
      <c r="AI822" t="n">
        <v>3</v>
      </c>
      <c r="AJ822" t="n">
        <v>12</v>
      </c>
      <c r="AK822" t="n">
        <v>12</v>
      </c>
      <c r="AL822" t="n">
        <v>4</v>
      </c>
      <c r="AM822" t="n">
        <v>4</v>
      </c>
      <c r="AN822" t="n">
        <v>0</v>
      </c>
      <c r="AO822" t="n">
        <v>0</v>
      </c>
      <c r="AP822" t="inlineStr">
        <is>
          <t>No</t>
        </is>
      </c>
      <c r="AQ822" t="inlineStr">
        <is>
          <t>Yes</t>
        </is>
      </c>
      <c r="AR822">
        <f>HYPERLINK("http://catalog.hathitrust.org/Record/001564717","HathiTrust Record")</f>
        <v/>
      </c>
      <c r="AS822">
        <f>HYPERLINK("https://creighton-primo.hosted.exlibrisgroup.com/primo-explore/search?tab=default_tab&amp;search_scope=EVERYTHING&amp;vid=01CRU&amp;lang=en_US&amp;offset=0&amp;query=any,contains,991000801549702656","Catalog Record")</f>
        <v/>
      </c>
      <c r="AT822">
        <f>HYPERLINK("http://www.worldcat.org/oclc/139060","WorldCat Record")</f>
        <v/>
      </c>
      <c r="AU822" t="inlineStr">
        <is>
          <t>405746:eng</t>
        </is>
      </c>
      <c r="AV822" t="inlineStr">
        <is>
          <t>139060</t>
        </is>
      </c>
      <c r="AW822" t="inlineStr">
        <is>
          <t>991000801549702656</t>
        </is>
      </c>
      <c r="AX822" t="inlineStr">
        <is>
          <t>991000801549702656</t>
        </is>
      </c>
      <c r="AY822" t="inlineStr">
        <is>
          <t>2260993550002656</t>
        </is>
      </c>
      <c r="AZ822" t="inlineStr">
        <is>
          <t>BOOK</t>
        </is>
      </c>
      <c r="BB822" t="inlineStr">
        <is>
          <t>9780070368002</t>
        </is>
      </c>
      <c r="BC822" t="inlineStr">
        <is>
          <t>32285003092029</t>
        </is>
      </c>
      <c r="BD822" t="inlineStr">
        <is>
          <t>893432308</t>
        </is>
      </c>
    </row>
    <row r="823">
      <c r="A823" t="inlineStr">
        <is>
          <t>No</t>
        </is>
      </c>
      <c r="B823" t="inlineStr">
        <is>
          <t>RC489.B4 L52</t>
        </is>
      </c>
      <c r="C823" t="inlineStr">
        <is>
          <t>0                      RC 0489000B  4                  L  52</t>
        </is>
      </c>
      <c r="D823" t="inlineStr">
        <is>
          <t>A guide to behavioral analysis and therapy.</t>
        </is>
      </c>
      <c r="F823" t="inlineStr">
        <is>
          <t>No</t>
        </is>
      </c>
      <c r="G823" t="inlineStr">
        <is>
          <t>1</t>
        </is>
      </c>
      <c r="H823" t="inlineStr">
        <is>
          <t>No</t>
        </is>
      </c>
      <c r="I823" t="inlineStr">
        <is>
          <t>No</t>
        </is>
      </c>
      <c r="J823" t="inlineStr">
        <is>
          <t>0</t>
        </is>
      </c>
      <c r="K823" t="inlineStr">
        <is>
          <t>Liberman, Robert Paul, 1937-</t>
        </is>
      </c>
      <c r="L823" t="inlineStr">
        <is>
          <t>New York, Pergamon [c1972]</t>
        </is>
      </c>
      <c r="M823" t="inlineStr">
        <is>
          <t>1972</t>
        </is>
      </c>
      <c r="O823" t="inlineStr">
        <is>
          <t>eng</t>
        </is>
      </c>
      <c r="P823" t="inlineStr">
        <is>
          <t>nyu</t>
        </is>
      </c>
      <c r="Q823" t="inlineStr">
        <is>
          <t>Pergamon general psychology series ; 19</t>
        </is>
      </c>
      <c r="R823" t="inlineStr">
        <is>
          <t xml:space="preserve">RC </t>
        </is>
      </c>
      <c r="S823" t="n">
        <v>1</v>
      </c>
      <c r="T823" t="n">
        <v>1</v>
      </c>
      <c r="U823" t="inlineStr">
        <is>
          <t>1997-10-19</t>
        </is>
      </c>
      <c r="V823" t="inlineStr">
        <is>
          <t>1997-10-19</t>
        </is>
      </c>
      <c r="W823" t="inlineStr">
        <is>
          <t>1997-08-12</t>
        </is>
      </c>
      <c r="X823" t="inlineStr">
        <is>
          <t>1997-08-12</t>
        </is>
      </c>
      <c r="Y823" t="n">
        <v>358</v>
      </c>
      <c r="Z823" t="n">
        <v>269</v>
      </c>
      <c r="AA823" t="n">
        <v>276</v>
      </c>
      <c r="AB823" t="n">
        <v>3</v>
      </c>
      <c r="AC823" t="n">
        <v>3</v>
      </c>
      <c r="AD823" t="n">
        <v>14</v>
      </c>
      <c r="AE823" t="n">
        <v>14</v>
      </c>
      <c r="AF823" t="n">
        <v>4</v>
      </c>
      <c r="AG823" t="n">
        <v>4</v>
      </c>
      <c r="AH823" t="n">
        <v>4</v>
      </c>
      <c r="AI823" t="n">
        <v>4</v>
      </c>
      <c r="AJ823" t="n">
        <v>9</v>
      </c>
      <c r="AK823" t="n">
        <v>9</v>
      </c>
      <c r="AL823" t="n">
        <v>2</v>
      </c>
      <c r="AM823" t="n">
        <v>2</v>
      </c>
      <c r="AN823" t="n">
        <v>0</v>
      </c>
      <c r="AO823" t="n">
        <v>0</v>
      </c>
      <c r="AP823" t="inlineStr">
        <is>
          <t>No</t>
        </is>
      </c>
      <c r="AQ823" t="inlineStr">
        <is>
          <t>Yes</t>
        </is>
      </c>
      <c r="AR823">
        <f>HYPERLINK("http://catalog.hathitrust.org/Record/000009102","HathiTrust Record")</f>
        <v/>
      </c>
      <c r="AS823">
        <f>HYPERLINK("https://creighton-primo.hosted.exlibrisgroup.com/primo-explore/search?tab=default_tab&amp;search_scope=EVERYTHING&amp;vid=01CRU&amp;lang=en_US&amp;offset=0&amp;query=any,contains,991003103169702656","Catalog Record")</f>
        <v/>
      </c>
      <c r="AT823">
        <f>HYPERLINK("http://www.worldcat.org/oclc/652433","WorldCat Record")</f>
        <v/>
      </c>
      <c r="AU823" t="inlineStr">
        <is>
          <t>1607650:eng</t>
        </is>
      </c>
      <c r="AV823" t="inlineStr">
        <is>
          <t>652433</t>
        </is>
      </c>
      <c r="AW823" t="inlineStr">
        <is>
          <t>991003103169702656</t>
        </is>
      </c>
      <c r="AX823" t="inlineStr">
        <is>
          <t>991003103169702656</t>
        </is>
      </c>
      <c r="AY823" t="inlineStr">
        <is>
          <t>2262808830002656</t>
        </is>
      </c>
      <c r="AZ823" t="inlineStr">
        <is>
          <t>BOOK</t>
        </is>
      </c>
      <c r="BC823" t="inlineStr">
        <is>
          <t>32285003092045</t>
        </is>
      </c>
      <c r="BD823" t="inlineStr">
        <is>
          <t>893416042</t>
        </is>
      </c>
    </row>
    <row r="824">
      <c r="A824" t="inlineStr">
        <is>
          <t>No</t>
        </is>
      </c>
      <c r="B824" t="inlineStr">
        <is>
          <t>RC489.B4 M37 1984</t>
        </is>
      </c>
      <c r="C824" t="inlineStr">
        <is>
          <t>0                      RC 0489000B  4                  M  37          1984</t>
        </is>
      </c>
      <c r="D824" t="inlineStr">
        <is>
          <t>Punishment and its alternatives : a new perspective for behavior modification / Johnny L. Matson, Thomas M. DiLorenzo ; foreword by Cyril M. Franks.</t>
        </is>
      </c>
      <c r="F824" t="inlineStr">
        <is>
          <t>No</t>
        </is>
      </c>
      <c r="G824" t="inlineStr">
        <is>
          <t>1</t>
        </is>
      </c>
      <c r="H824" t="inlineStr">
        <is>
          <t>No</t>
        </is>
      </c>
      <c r="I824" t="inlineStr">
        <is>
          <t>No</t>
        </is>
      </c>
      <c r="J824" t="inlineStr">
        <is>
          <t>0</t>
        </is>
      </c>
      <c r="K824" t="inlineStr">
        <is>
          <t>Matson, Johnny L.</t>
        </is>
      </c>
      <c r="L824" t="inlineStr">
        <is>
          <t>New York : Springer Pub. Co., c1984.</t>
        </is>
      </c>
      <c r="M824" t="inlineStr">
        <is>
          <t>1984</t>
        </is>
      </c>
      <c r="O824" t="inlineStr">
        <is>
          <t>eng</t>
        </is>
      </c>
      <c r="P824" t="inlineStr">
        <is>
          <t>nyu</t>
        </is>
      </c>
      <c r="Q824" t="inlineStr">
        <is>
          <t>Springer series on behavior therapy and behavioral medicine ; v. 13</t>
        </is>
      </c>
      <c r="R824" t="inlineStr">
        <is>
          <t xml:space="preserve">RC </t>
        </is>
      </c>
      <c r="S824" t="n">
        <v>9</v>
      </c>
      <c r="T824" t="n">
        <v>9</v>
      </c>
      <c r="U824" t="inlineStr">
        <is>
          <t>1996-11-14</t>
        </is>
      </c>
      <c r="V824" t="inlineStr">
        <is>
          <t>1996-11-14</t>
        </is>
      </c>
      <c r="W824" t="inlineStr">
        <is>
          <t>1992-11-03</t>
        </is>
      </c>
      <c r="X824" t="inlineStr">
        <is>
          <t>1992-11-03</t>
        </is>
      </c>
      <c r="Y824" t="n">
        <v>420</v>
      </c>
      <c r="Z824" t="n">
        <v>363</v>
      </c>
      <c r="AA824" t="n">
        <v>373</v>
      </c>
      <c r="AB824" t="n">
        <v>3</v>
      </c>
      <c r="AC824" t="n">
        <v>3</v>
      </c>
      <c r="AD824" t="n">
        <v>20</v>
      </c>
      <c r="AE824" t="n">
        <v>21</v>
      </c>
      <c r="AF824" t="n">
        <v>6</v>
      </c>
      <c r="AG824" t="n">
        <v>7</v>
      </c>
      <c r="AH824" t="n">
        <v>5</v>
      </c>
      <c r="AI824" t="n">
        <v>5</v>
      </c>
      <c r="AJ824" t="n">
        <v>11</v>
      </c>
      <c r="AK824" t="n">
        <v>12</v>
      </c>
      <c r="AL824" t="n">
        <v>2</v>
      </c>
      <c r="AM824" t="n">
        <v>2</v>
      </c>
      <c r="AN824" t="n">
        <v>1</v>
      </c>
      <c r="AO824" t="n">
        <v>1</v>
      </c>
      <c r="AP824" t="inlineStr">
        <is>
          <t>No</t>
        </is>
      </c>
      <c r="AQ824" t="inlineStr">
        <is>
          <t>Yes</t>
        </is>
      </c>
      <c r="AR824">
        <f>HYPERLINK("http://catalog.hathitrust.org/Record/000126165","HathiTrust Record")</f>
        <v/>
      </c>
      <c r="AS824">
        <f>HYPERLINK("https://creighton-primo.hosted.exlibrisgroup.com/primo-explore/search?tab=default_tab&amp;search_scope=EVERYTHING&amp;vid=01CRU&amp;lang=en_US&amp;offset=0&amp;query=any,contains,991000292159702656","Catalog Record")</f>
        <v/>
      </c>
      <c r="AT824">
        <f>HYPERLINK("http://www.worldcat.org/oclc/9970354","WorldCat Record")</f>
        <v/>
      </c>
      <c r="AU824" t="inlineStr">
        <is>
          <t>20727034:eng</t>
        </is>
      </c>
      <c r="AV824" t="inlineStr">
        <is>
          <t>9970354</t>
        </is>
      </c>
      <c r="AW824" t="inlineStr">
        <is>
          <t>991000292159702656</t>
        </is>
      </c>
      <c r="AX824" t="inlineStr">
        <is>
          <t>991000292159702656</t>
        </is>
      </c>
      <c r="AY824" t="inlineStr">
        <is>
          <t>2254857710002656</t>
        </is>
      </c>
      <c r="AZ824" t="inlineStr">
        <is>
          <t>BOOK</t>
        </is>
      </c>
      <c r="BB824" t="inlineStr">
        <is>
          <t>9780826145604</t>
        </is>
      </c>
      <c r="BC824" t="inlineStr">
        <is>
          <t>32285001381010</t>
        </is>
      </c>
      <c r="BD824" t="inlineStr">
        <is>
          <t>893896761</t>
        </is>
      </c>
    </row>
    <row r="825">
      <c r="A825" t="inlineStr">
        <is>
          <t>No</t>
        </is>
      </c>
      <c r="B825" t="inlineStr">
        <is>
          <t>RC489.B4 M84</t>
        </is>
      </c>
      <c r="C825" t="inlineStr">
        <is>
          <t>0                      RC 0489000B  4                  M  84</t>
        </is>
      </c>
      <c r="D825" t="inlineStr">
        <is>
          <t>Multimodal behavior therapy / [edited by] Arnold A. Lazarus ; with eleven contributors.</t>
        </is>
      </c>
      <c r="F825" t="inlineStr">
        <is>
          <t>No</t>
        </is>
      </c>
      <c r="G825" t="inlineStr">
        <is>
          <t>1</t>
        </is>
      </c>
      <c r="H825" t="inlineStr">
        <is>
          <t>No</t>
        </is>
      </c>
      <c r="I825" t="inlineStr">
        <is>
          <t>No</t>
        </is>
      </c>
      <c r="J825" t="inlineStr">
        <is>
          <t>0</t>
        </is>
      </c>
      <c r="L825" t="inlineStr">
        <is>
          <t>New York : Springer Pub. Co., c1976.</t>
        </is>
      </c>
      <c r="M825" t="inlineStr">
        <is>
          <t>1976</t>
        </is>
      </c>
      <c r="O825" t="inlineStr">
        <is>
          <t>eng</t>
        </is>
      </c>
      <c r="P825" t="inlineStr">
        <is>
          <t>nyu</t>
        </is>
      </c>
      <c r="Q825" t="inlineStr">
        <is>
          <t>Springer series in behavior modification ; v. 1</t>
        </is>
      </c>
      <c r="R825" t="inlineStr">
        <is>
          <t xml:space="preserve">RC </t>
        </is>
      </c>
      <c r="S825" t="n">
        <v>2</v>
      </c>
      <c r="T825" t="n">
        <v>2</v>
      </c>
      <c r="U825" t="inlineStr">
        <is>
          <t>2010-08-10</t>
        </is>
      </c>
      <c r="V825" t="inlineStr">
        <is>
          <t>2010-08-10</t>
        </is>
      </c>
      <c r="W825" t="inlineStr">
        <is>
          <t>1994-12-12</t>
        </is>
      </c>
      <c r="X825" t="inlineStr">
        <is>
          <t>1994-12-12</t>
        </is>
      </c>
      <c r="Y825" t="n">
        <v>616</v>
      </c>
      <c r="Z825" t="n">
        <v>508</v>
      </c>
      <c r="AA825" t="n">
        <v>511</v>
      </c>
      <c r="AB825" t="n">
        <v>4</v>
      </c>
      <c r="AC825" t="n">
        <v>4</v>
      </c>
      <c r="AD825" t="n">
        <v>26</v>
      </c>
      <c r="AE825" t="n">
        <v>26</v>
      </c>
      <c r="AF825" t="n">
        <v>11</v>
      </c>
      <c r="AG825" t="n">
        <v>11</v>
      </c>
      <c r="AH825" t="n">
        <v>6</v>
      </c>
      <c r="AI825" t="n">
        <v>6</v>
      </c>
      <c r="AJ825" t="n">
        <v>15</v>
      </c>
      <c r="AK825" t="n">
        <v>15</v>
      </c>
      <c r="AL825" t="n">
        <v>2</v>
      </c>
      <c r="AM825" t="n">
        <v>2</v>
      </c>
      <c r="AN825" t="n">
        <v>0</v>
      </c>
      <c r="AO825" t="n">
        <v>0</v>
      </c>
      <c r="AP825" t="inlineStr">
        <is>
          <t>No</t>
        </is>
      </c>
      <c r="AQ825" t="inlineStr">
        <is>
          <t>Yes</t>
        </is>
      </c>
      <c r="AR825">
        <f>HYPERLINK("http://catalog.hathitrust.org/Record/000691338","HathiTrust Record")</f>
        <v/>
      </c>
      <c r="AS825">
        <f>HYPERLINK("https://creighton-primo.hosted.exlibrisgroup.com/primo-explore/search?tab=default_tab&amp;search_scope=EVERYTHING&amp;vid=01CRU&amp;lang=en_US&amp;offset=0&amp;query=any,contains,991003992059702656","Catalog Record")</f>
        <v/>
      </c>
      <c r="AT825">
        <f>HYPERLINK("http://www.worldcat.org/oclc/2048225","WorldCat Record")</f>
        <v/>
      </c>
      <c r="AU825" t="inlineStr">
        <is>
          <t>493032:eng</t>
        </is>
      </c>
      <c r="AV825" t="inlineStr">
        <is>
          <t>2048225</t>
        </is>
      </c>
      <c r="AW825" t="inlineStr">
        <is>
          <t>991003992059702656</t>
        </is>
      </c>
      <c r="AX825" t="inlineStr">
        <is>
          <t>991003992059702656</t>
        </is>
      </c>
      <c r="AY825" t="inlineStr">
        <is>
          <t>2269350750002656</t>
        </is>
      </c>
      <c r="AZ825" t="inlineStr">
        <is>
          <t>BOOK</t>
        </is>
      </c>
      <c r="BB825" t="inlineStr">
        <is>
          <t>9780826121608</t>
        </is>
      </c>
      <c r="BC825" t="inlineStr">
        <is>
          <t>32285001981298</t>
        </is>
      </c>
      <c r="BD825" t="inlineStr">
        <is>
          <t>893888193</t>
        </is>
      </c>
    </row>
    <row r="826">
      <c r="A826" t="inlineStr">
        <is>
          <t>No</t>
        </is>
      </c>
      <c r="B826" t="inlineStr">
        <is>
          <t>RC489.B4 P46</t>
        </is>
      </c>
      <c r="C826" t="inlineStr">
        <is>
          <t>0                      RC 0489000B  4                  P  46</t>
        </is>
      </c>
      <c r="D826" t="inlineStr">
        <is>
          <t>Perspectives in behavior therapy / edited by Dennis Upper ; contributors, George J. Allen ... [et al.]. --</t>
        </is>
      </c>
      <c r="F826" t="inlineStr">
        <is>
          <t>No</t>
        </is>
      </c>
      <c r="G826" t="inlineStr">
        <is>
          <t>1</t>
        </is>
      </c>
      <c r="H826" t="inlineStr">
        <is>
          <t>No</t>
        </is>
      </c>
      <c r="I826" t="inlineStr">
        <is>
          <t>No</t>
        </is>
      </c>
      <c r="J826" t="inlineStr">
        <is>
          <t>0</t>
        </is>
      </c>
      <c r="L826" t="inlineStr">
        <is>
          <t>Kalamazoo : Behaviordelia, c1977.</t>
        </is>
      </c>
      <c r="M826" t="inlineStr">
        <is>
          <t>1977</t>
        </is>
      </c>
      <c r="O826" t="inlineStr">
        <is>
          <t>eng</t>
        </is>
      </c>
      <c r="P826" t="inlineStr">
        <is>
          <t>miu</t>
        </is>
      </c>
      <c r="Q826" t="inlineStr">
        <is>
          <t>Behavioral psychology series</t>
        </is>
      </c>
      <c r="R826" t="inlineStr">
        <is>
          <t xml:space="preserve">RC </t>
        </is>
      </c>
      <c r="S826" t="n">
        <v>2</v>
      </c>
      <c r="T826" t="n">
        <v>2</v>
      </c>
      <c r="U826" t="inlineStr">
        <is>
          <t>1993-06-14</t>
        </is>
      </c>
      <c r="V826" t="inlineStr">
        <is>
          <t>1993-06-14</t>
        </is>
      </c>
      <c r="W826" t="inlineStr">
        <is>
          <t>1993-03-23</t>
        </is>
      </c>
      <c r="X826" t="inlineStr">
        <is>
          <t>1993-03-23</t>
        </is>
      </c>
      <c r="Y826" t="n">
        <v>194</v>
      </c>
      <c r="Z826" t="n">
        <v>167</v>
      </c>
      <c r="AA826" t="n">
        <v>168</v>
      </c>
      <c r="AB826" t="n">
        <v>2</v>
      </c>
      <c r="AC826" t="n">
        <v>2</v>
      </c>
      <c r="AD826" t="n">
        <v>8</v>
      </c>
      <c r="AE826" t="n">
        <v>8</v>
      </c>
      <c r="AF826" t="n">
        <v>2</v>
      </c>
      <c r="AG826" t="n">
        <v>2</v>
      </c>
      <c r="AH826" t="n">
        <v>3</v>
      </c>
      <c r="AI826" t="n">
        <v>3</v>
      </c>
      <c r="AJ826" t="n">
        <v>6</v>
      </c>
      <c r="AK826" t="n">
        <v>6</v>
      </c>
      <c r="AL826" t="n">
        <v>1</v>
      </c>
      <c r="AM826" t="n">
        <v>1</v>
      </c>
      <c r="AN826" t="n">
        <v>0</v>
      </c>
      <c r="AO826" t="n">
        <v>0</v>
      </c>
      <c r="AP826" t="inlineStr">
        <is>
          <t>No</t>
        </is>
      </c>
      <c r="AQ826" t="inlineStr">
        <is>
          <t>Yes</t>
        </is>
      </c>
      <c r="AR826">
        <f>HYPERLINK("http://catalog.hathitrust.org/Record/000618509","HathiTrust Record")</f>
        <v/>
      </c>
      <c r="AS826">
        <f>HYPERLINK("https://creighton-primo.hosted.exlibrisgroup.com/primo-explore/search?tab=default_tab&amp;search_scope=EVERYTHING&amp;vid=01CRU&amp;lang=en_US&amp;offset=0&amp;query=any,contains,991004254109702656","Catalog Record")</f>
        <v/>
      </c>
      <c r="AT826">
        <f>HYPERLINK("http://www.worldcat.org/oclc/2818624","WorldCat Record")</f>
        <v/>
      </c>
      <c r="AU826" t="inlineStr">
        <is>
          <t>423932142:eng</t>
        </is>
      </c>
      <c r="AV826" t="inlineStr">
        <is>
          <t>2818624</t>
        </is>
      </c>
      <c r="AW826" t="inlineStr">
        <is>
          <t>991004254109702656</t>
        </is>
      </c>
      <c r="AX826" t="inlineStr">
        <is>
          <t>991004254109702656</t>
        </is>
      </c>
      <c r="AY826" t="inlineStr">
        <is>
          <t>2267766760002656</t>
        </is>
      </c>
      <c r="AZ826" t="inlineStr">
        <is>
          <t>BOOK</t>
        </is>
      </c>
      <c r="BB826" t="inlineStr">
        <is>
          <t>9780914474265</t>
        </is>
      </c>
      <c r="BC826" t="inlineStr">
        <is>
          <t>32285001606994</t>
        </is>
      </c>
      <c r="BD826" t="inlineStr">
        <is>
          <t>893628055</t>
        </is>
      </c>
    </row>
    <row r="827">
      <c r="A827" t="inlineStr">
        <is>
          <t>No</t>
        </is>
      </c>
      <c r="B827" t="inlineStr">
        <is>
          <t>RC489.B4 S74</t>
        </is>
      </c>
      <c r="C827" t="inlineStr">
        <is>
          <t>0                      RC 0489000B  4                  S  74</t>
        </is>
      </c>
      <c r="D827" t="inlineStr">
        <is>
          <t>Behavioural techniques : a therapists's manual / Richard Stern.</t>
        </is>
      </c>
      <c r="F827" t="inlineStr">
        <is>
          <t>No</t>
        </is>
      </c>
      <c r="G827" t="inlineStr">
        <is>
          <t>1</t>
        </is>
      </c>
      <c r="H827" t="inlineStr">
        <is>
          <t>No</t>
        </is>
      </c>
      <c r="I827" t="inlineStr">
        <is>
          <t>No</t>
        </is>
      </c>
      <c r="J827" t="inlineStr">
        <is>
          <t>0</t>
        </is>
      </c>
      <c r="K827" t="inlineStr">
        <is>
          <t>Stern, Richard S. (Richard Stephen)</t>
        </is>
      </c>
      <c r="L827" t="inlineStr">
        <is>
          <t>London : New York : Academic Press, 1978.</t>
        </is>
      </c>
      <c r="M827" t="inlineStr">
        <is>
          <t>1978</t>
        </is>
      </c>
      <c r="O827" t="inlineStr">
        <is>
          <t>eng</t>
        </is>
      </c>
      <c r="P827" t="inlineStr">
        <is>
          <t>enk</t>
        </is>
      </c>
      <c r="R827" t="inlineStr">
        <is>
          <t xml:space="preserve">RC </t>
        </is>
      </c>
      <c r="S827" t="n">
        <v>7</v>
      </c>
      <c r="T827" t="n">
        <v>7</v>
      </c>
      <c r="U827" t="inlineStr">
        <is>
          <t>2010-08-10</t>
        </is>
      </c>
      <c r="V827" t="inlineStr">
        <is>
          <t>2010-08-10</t>
        </is>
      </c>
      <c r="W827" t="inlineStr">
        <is>
          <t>1993-03-24</t>
        </is>
      </c>
      <c r="X827" t="inlineStr">
        <is>
          <t>1993-03-24</t>
        </is>
      </c>
      <c r="Y827" t="n">
        <v>218</v>
      </c>
      <c r="Z827" t="n">
        <v>112</v>
      </c>
      <c r="AA827" t="n">
        <v>113</v>
      </c>
      <c r="AB827" t="n">
        <v>2</v>
      </c>
      <c r="AC827" t="n">
        <v>2</v>
      </c>
      <c r="AD827" t="n">
        <v>4</v>
      </c>
      <c r="AE827" t="n">
        <v>4</v>
      </c>
      <c r="AF827" t="n">
        <v>0</v>
      </c>
      <c r="AG827" t="n">
        <v>0</v>
      </c>
      <c r="AH827" t="n">
        <v>1</v>
      </c>
      <c r="AI827" t="n">
        <v>1</v>
      </c>
      <c r="AJ827" t="n">
        <v>2</v>
      </c>
      <c r="AK827" t="n">
        <v>2</v>
      </c>
      <c r="AL827" t="n">
        <v>1</v>
      </c>
      <c r="AM827" t="n">
        <v>1</v>
      </c>
      <c r="AN827" t="n">
        <v>0</v>
      </c>
      <c r="AO827" t="n">
        <v>0</v>
      </c>
      <c r="AP827" t="inlineStr">
        <is>
          <t>No</t>
        </is>
      </c>
      <c r="AQ827" t="inlineStr">
        <is>
          <t>Yes</t>
        </is>
      </c>
      <c r="AR827">
        <f>HYPERLINK("http://catalog.hathitrust.org/Record/000256950","HathiTrust Record")</f>
        <v/>
      </c>
      <c r="AS827">
        <f>HYPERLINK("https://creighton-primo.hosted.exlibrisgroup.com/primo-explore/search?tab=default_tab&amp;search_scope=EVERYTHING&amp;vid=01CRU&amp;lang=en_US&amp;offset=0&amp;query=any,contains,991004664409702656","Catalog Record")</f>
        <v/>
      </c>
      <c r="AT827">
        <f>HYPERLINK("http://www.worldcat.org/oclc/4499906","WorldCat Record")</f>
        <v/>
      </c>
      <c r="AU827" t="inlineStr">
        <is>
          <t>181259866:eng</t>
        </is>
      </c>
      <c r="AV827" t="inlineStr">
        <is>
          <t>4499906</t>
        </is>
      </c>
      <c r="AW827" t="inlineStr">
        <is>
          <t>991004664409702656</t>
        </is>
      </c>
      <c r="AX827" t="inlineStr">
        <is>
          <t>991004664409702656</t>
        </is>
      </c>
      <c r="AY827" t="inlineStr">
        <is>
          <t>2265998010002656</t>
        </is>
      </c>
      <c r="AZ827" t="inlineStr">
        <is>
          <t>BOOK</t>
        </is>
      </c>
      <c r="BB827" t="inlineStr">
        <is>
          <t>9780126668506</t>
        </is>
      </c>
      <c r="BC827" t="inlineStr">
        <is>
          <t>32285001579761</t>
        </is>
      </c>
      <c r="BD827" t="inlineStr">
        <is>
          <t>893507100</t>
        </is>
      </c>
    </row>
    <row r="828">
      <c r="A828" t="inlineStr">
        <is>
          <t>No</t>
        </is>
      </c>
      <c r="B828" t="inlineStr">
        <is>
          <t>RC489.B4 W56</t>
        </is>
      </c>
      <c r="C828" t="inlineStr">
        <is>
          <t>0                      RC 0489000B  4                  W  56</t>
        </is>
      </c>
      <c r="D828" t="inlineStr">
        <is>
          <t>Principles of behavior therapy / G. Terence Wilson, K. Daniel O'Leary.</t>
        </is>
      </c>
      <c r="F828" t="inlineStr">
        <is>
          <t>No</t>
        </is>
      </c>
      <c r="G828" t="inlineStr">
        <is>
          <t>1</t>
        </is>
      </c>
      <c r="H828" t="inlineStr">
        <is>
          <t>No</t>
        </is>
      </c>
      <c r="I828" t="inlineStr">
        <is>
          <t>No</t>
        </is>
      </c>
      <c r="J828" t="inlineStr">
        <is>
          <t>0</t>
        </is>
      </c>
      <c r="K828" t="inlineStr">
        <is>
          <t>Wilson, G. Terence, 1944-</t>
        </is>
      </c>
      <c r="L828" t="inlineStr">
        <is>
          <t>Englewood Cliffs, N. J. : Prentice-Hall, c1980.</t>
        </is>
      </c>
      <c r="M828" t="inlineStr">
        <is>
          <t>1980</t>
        </is>
      </c>
      <c r="O828" t="inlineStr">
        <is>
          <t>eng</t>
        </is>
      </c>
      <c r="P828" t="inlineStr">
        <is>
          <t>nju</t>
        </is>
      </c>
      <c r="R828" t="inlineStr">
        <is>
          <t xml:space="preserve">RC </t>
        </is>
      </c>
      <c r="S828" t="n">
        <v>4</v>
      </c>
      <c r="T828" t="n">
        <v>4</v>
      </c>
      <c r="U828" t="inlineStr">
        <is>
          <t>1993-09-27</t>
        </is>
      </c>
      <c r="V828" t="inlineStr">
        <is>
          <t>1993-09-27</t>
        </is>
      </c>
      <c r="W828" t="inlineStr">
        <is>
          <t>1993-03-23</t>
        </is>
      </c>
      <c r="X828" t="inlineStr">
        <is>
          <t>1993-03-23</t>
        </is>
      </c>
      <c r="Y828" t="n">
        <v>294</v>
      </c>
      <c r="Z828" t="n">
        <v>188</v>
      </c>
      <c r="AA828" t="n">
        <v>189</v>
      </c>
      <c r="AB828" t="n">
        <v>2</v>
      </c>
      <c r="AC828" t="n">
        <v>2</v>
      </c>
      <c r="AD828" t="n">
        <v>6</v>
      </c>
      <c r="AE828" t="n">
        <v>6</v>
      </c>
      <c r="AF828" t="n">
        <v>1</v>
      </c>
      <c r="AG828" t="n">
        <v>1</v>
      </c>
      <c r="AH828" t="n">
        <v>2</v>
      </c>
      <c r="AI828" t="n">
        <v>2</v>
      </c>
      <c r="AJ828" t="n">
        <v>3</v>
      </c>
      <c r="AK828" t="n">
        <v>3</v>
      </c>
      <c r="AL828" t="n">
        <v>1</v>
      </c>
      <c r="AM828" t="n">
        <v>1</v>
      </c>
      <c r="AN828" t="n">
        <v>0</v>
      </c>
      <c r="AO828" t="n">
        <v>0</v>
      </c>
      <c r="AP828" t="inlineStr">
        <is>
          <t>No</t>
        </is>
      </c>
      <c r="AQ828" t="inlineStr">
        <is>
          <t>Yes</t>
        </is>
      </c>
      <c r="AR828">
        <f>HYPERLINK("http://catalog.hathitrust.org/Record/000668929","HathiTrust Record")</f>
        <v/>
      </c>
      <c r="AS828">
        <f>HYPERLINK("https://creighton-primo.hosted.exlibrisgroup.com/primo-explore/search?tab=default_tab&amp;search_scope=EVERYTHING&amp;vid=01CRU&amp;lang=en_US&amp;offset=0&amp;query=any,contains,991004835949702656","Catalog Record")</f>
        <v/>
      </c>
      <c r="AT828">
        <f>HYPERLINK("http://www.worldcat.org/oclc/5447930","WorldCat Record")</f>
        <v/>
      </c>
      <c r="AU828" t="inlineStr">
        <is>
          <t>411883:eng</t>
        </is>
      </c>
      <c r="AV828" t="inlineStr">
        <is>
          <t>5447930</t>
        </is>
      </c>
      <c r="AW828" t="inlineStr">
        <is>
          <t>991004835949702656</t>
        </is>
      </c>
      <c r="AX828" t="inlineStr">
        <is>
          <t>991004835949702656</t>
        </is>
      </c>
      <c r="AY828" t="inlineStr">
        <is>
          <t>2259158080002656</t>
        </is>
      </c>
      <c r="AZ828" t="inlineStr">
        <is>
          <t>BOOK</t>
        </is>
      </c>
      <c r="BB828" t="inlineStr">
        <is>
          <t>9780137011025</t>
        </is>
      </c>
      <c r="BC828" t="inlineStr">
        <is>
          <t>32285001607018</t>
        </is>
      </c>
      <c r="BD828" t="inlineStr">
        <is>
          <t>893889353</t>
        </is>
      </c>
    </row>
    <row r="829">
      <c r="A829" t="inlineStr">
        <is>
          <t>No</t>
        </is>
      </c>
      <c r="B829" t="inlineStr">
        <is>
          <t>RC489.B48 R8</t>
        </is>
      </c>
      <c r="C829" t="inlineStr">
        <is>
          <t>0                      RC 0489000B  48                 R  8</t>
        </is>
      </c>
      <c r="D829" t="inlineStr">
        <is>
          <t>Using bibliotherapy : a guide to theory and practice / Rhea J. Rubin.</t>
        </is>
      </c>
      <c r="F829" t="inlineStr">
        <is>
          <t>No</t>
        </is>
      </c>
      <c r="G829" t="inlineStr">
        <is>
          <t>1</t>
        </is>
      </c>
      <c r="H829" t="inlineStr">
        <is>
          <t>No</t>
        </is>
      </c>
      <c r="I829" t="inlineStr">
        <is>
          <t>No</t>
        </is>
      </c>
      <c r="J829" t="inlineStr">
        <is>
          <t>0</t>
        </is>
      </c>
      <c r="K829" t="inlineStr">
        <is>
          <t>Rubin, Rhea Joyce.</t>
        </is>
      </c>
      <c r="L829" t="inlineStr">
        <is>
          <t>Phoenix, Ariz. : Oryx Press, 1978</t>
        </is>
      </c>
      <c r="M829" t="inlineStr">
        <is>
          <t>1978</t>
        </is>
      </c>
      <c r="O829" t="inlineStr">
        <is>
          <t>eng</t>
        </is>
      </c>
      <c r="P829" t="inlineStr">
        <is>
          <t>azu</t>
        </is>
      </c>
      <c r="Q829" t="inlineStr">
        <is>
          <t>A Neal-Schuman professional book</t>
        </is>
      </c>
      <c r="R829" t="inlineStr">
        <is>
          <t xml:space="preserve">RC </t>
        </is>
      </c>
      <c r="S829" t="n">
        <v>3</v>
      </c>
      <c r="T829" t="n">
        <v>3</v>
      </c>
      <c r="U829" t="inlineStr">
        <is>
          <t>2001-03-20</t>
        </is>
      </c>
      <c r="V829" t="inlineStr">
        <is>
          <t>2001-03-20</t>
        </is>
      </c>
      <c r="W829" t="inlineStr">
        <is>
          <t>1992-05-07</t>
        </is>
      </c>
      <c r="X829" t="inlineStr">
        <is>
          <t>1992-05-07</t>
        </is>
      </c>
      <c r="Y829" t="n">
        <v>490</v>
      </c>
      <c r="Z829" t="n">
        <v>395</v>
      </c>
      <c r="AA829" t="n">
        <v>397</v>
      </c>
      <c r="AB829" t="n">
        <v>3</v>
      </c>
      <c r="AC829" t="n">
        <v>3</v>
      </c>
      <c r="AD829" t="n">
        <v>8</v>
      </c>
      <c r="AE829" t="n">
        <v>8</v>
      </c>
      <c r="AF829" t="n">
        <v>3</v>
      </c>
      <c r="AG829" t="n">
        <v>3</v>
      </c>
      <c r="AH829" t="n">
        <v>1</v>
      </c>
      <c r="AI829" t="n">
        <v>1</v>
      </c>
      <c r="AJ829" t="n">
        <v>4</v>
      </c>
      <c r="AK829" t="n">
        <v>4</v>
      </c>
      <c r="AL829" t="n">
        <v>2</v>
      </c>
      <c r="AM829" t="n">
        <v>2</v>
      </c>
      <c r="AN829" t="n">
        <v>0</v>
      </c>
      <c r="AO829" t="n">
        <v>0</v>
      </c>
      <c r="AP829" t="inlineStr">
        <is>
          <t>No</t>
        </is>
      </c>
      <c r="AQ829" t="inlineStr">
        <is>
          <t>Yes</t>
        </is>
      </c>
      <c r="AR829">
        <f>HYPERLINK("http://catalog.hathitrust.org/Record/002492636","HathiTrust Record")</f>
        <v/>
      </c>
      <c r="AS829">
        <f>HYPERLINK("https://creighton-primo.hosted.exlibrisgroup.com/primo-explore/search?tab=default_tab&amp;search_scope=EVERYTHING&amp;vid=01CRU&amp;lang=en_US&amp;offset=0&amp;query=any,contains,991004545129702656","Catalog Record")</f>
        <v/>
      </c>
      <c r="AT829">
        <f>HYPERLINK("http://www.worldcat.org/oclc/3913119","WorldCat Record")</f>
        <v/>
      </c>
      <c r="AU829" t="inlineStr">
        <is>
          <t>836710668:eng</t>
        </is>
      </c>
      <c r="AV829" t="inlineStr">
        <is>
          <t>3913119</t>
        </is>
      </c>
      <c r="AW829" t="inlineStr">
        <is>
          <t>991004545129702656</t>
        </is>
      </c>
      <c r="AX829" t="inlineStr">
        <is>
          <t>991004545129702656</t>
        </is>
      </c>
      <c r="AY829" t="inlineStr">
        <is>
          <t>2258276630002656</t>
        </is>
      </c>
      <c r="AZ829" t="inlineStr">
        <is>
          <t>BOOK</t>
        </is>
      </c>
      <c r="BC829" t="inlineStr">
        <is>
          <t>32285001105476</t>
        </is>
      </c>
      <c r="BD829" t="inlineStr">
        <is>
          <t>893513367</t>
        </is>
      </c>
    </row>
    <row r="830">
      <c r="A830" t="inlineStr">
        <is>
          <t>No</t>
        </is>
      </c>
      <c r="B830" t="inlineStr">
        <is>
          <t>RC489.C63 A43 2007</t>
        </is>
      </c>
      <c r="C830" t="inlineStr">
        <is>
          <t>0                      RC 0489000C  63                 A  43          2007</t>
        </is>
      </c>
      <c r="D830" t="inlineStr">
        <is>
          <t>Aggressive offenders' cognition : theory, research, and practice / edited by Theresa A. Gannon ... [et al.].</t>
        </is>
      </c>
      <c r="F830" t="inlineStr">
        <is>
          <t>No</t>
        </is>
      </c>
      <c r="G830" t="inlineStr">
        <is>
          <t>1</t>
        </is>
      </c>
      <c r="H830" t="inlineStr">
        <is>
          <t>No</t>
        </is>
      </c>
      <c r="I830" t="inlineStr">
        <is>
          <t>No</t>
        </is>
      </c>
      <c r="J830" t="inlineStr">
        <is>
          <t>0</t>
        </is>
      </c>
      <c r="L830" t="inlineStr">
        <is>
          <t>Chichester, West Sussex, England ; Hokoken, NJ : John Wiley &amp; Sons Ltd., c2007.</t>
        </is>
      </c>
      <c r="M830" t="inlineStr">
        <is>
          <t>2007</t>
        </is>
      </c>
      <c r="O830" t="inlineStr">
        <is>
          <t>eng</t>
        </is>
      </c>
      <c r="P830" t="inlineStr">
        <is>
          <t>enk</t>
        </is>
      </c>
      <c r="Q830" t="inlineStr">
        <is>
          <t>Wiley series in forensic clinical psychology</t>
        </is>
      </c>
      <c r="R830" t="inlineStr">
        <is>
          <t xml:space="preserve">RC </t>
        </is>
      </c>
      <c r="S830" t="n">
        <v>1</v>
      </c>
      <c r="T830" t="n">
        <v>1</v>
      </c>
      <c r="U830" t="inlineStr">
        <is>
          <t>2009-03-24</t>
        </is>
      </c>
      <c r="V830" t="inlineStr">
        <is>
          <t>2009-03-24</t>
        </is>
      </c>
      <c r="W830" t="inlineStr">
        <is>
          <t>2009-03-24</t>
        </is>
      </c>
      <c r="X830" t="inlineStr">
        <is>
          <t>2009-03-24</t>
        </is>
      </c>
      <c r="Y830" t="n">
        <v>165</v>
      </c>
      <c r="Z830" t="n">
        <v>94</v>
      </c>
      <c r="AA830" t="n">
        <v>199</v>
      </c>
      <c r="AB830" t="n">
        <v>4</v>
      </c>
      <c r="AC830" t="n">
        <v>4</v>
      </c>
      <c r="AD830" t="n">
        <v>7</v>
      </c>
      <c r="AE830" t="n">
        <v>9</v>
      </c>
      <c r="AF830" t="n">
        <v>2</v>
      </c>
      <c r="AG830" t="n">
        <v>3</v>
      </c>
      <c r="AH830" t="n">
        <v>1</v>
      </c>
      <c r="AI830" t="n">
        <v>1</v>
      </c>
      <c r="AJ830" t="n">
        <v>3</v>
      </c>
      <c r="AK830" t="n">
        <v>4</v>
      </c>
      <c r="AL830" t="n">
        <v>3</v>
      </c>
      <c r="AM830" t="n">
        <v>3</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HYPERLINK("https://creighton-primo.hosted.exlibrisgroup.com/primo-explore/search?tab=default_tab&amp;search_scope=EVERYTHING&amp;vid=01CRU&amp;lang=en_US&amp;offset=0&amp;query=any,contains,991005301479702656","Catalog Record")</f>
        <v/>
      </c>
      <c r="AT830">
        <f>HYPERLINK("http://www.worldcat.org/oclc/154798448","WorldCat Record")</f>
        <v/>
      </c>
      <c r="AU830" t="inlineStr">
        <is>
          <t>866294812:eng</t>
        </is>
      </c>
      <c r="AV830" t="inlineStr">
        <is>
          <t>154798448</t>
        </is>
      </c>
      <c r="AW830" t="inlineStr">
        <is>
          <t>991005301479702656</t>
        </is>
      </c>
      <c r="AX830" t="inlineStr">
        <is>
          <t>991005301479702656</t>
        </is>
      </c>
      <c r="AY830" t="inlineStr">
        <is>
          <t>2271482570002656</t>
        </is>
      </c>
      <c r="AZ830" t="inlineStr">
        <is>
          <t>BOOK</t>
        </is>
      </c>
      <c r="BB830" t="inlineStr">
        <is>
          <t>9780470034019</t>
        </is>
      </c>
      <c r="BC830" t="inlineStr">
        <is>
          <t>32285005509988</t>
        </is>
      </c>
      <c r="BD830" t="inlineStr">
        <is>
          <t>893594810</t>
        </is>
      </c>
    </row>
    <row r="831">
      <c r="A831" t="inlineStr">
        <is>
          <t>No</t>
        </is>
      </c>
      <c r="B831" t="inlineStr">
        <is>
          <t>RC489.C63 C63</t>
        </is>
      </c>
      <c r="C831" t="inlineStr">
        <is>
          <t>0                      RC 0489000C  63                 C  63</t>
        </is>
      </c>
      <c r="D831" t="inlineStr">
        <is>
          <t>Cognitive behavior therapy : research and application / edited by John P. Foreyt and Diana P. Rathjen.</t>
        </is>
      </c>
      <c r="F831" t="inlineStr">
        <is>
          <t>No</t>
        </is>
      </c>
      <c r="G831" t="inlineStr">
        <is>
          <t>1</t>
        </is>
      </c>
      <c r="H831" t="inlineStr">
        <is>
          <t>No</t>
        </is>
      </c>
      <c r="I831" t="inlineStr">
        <is>
          <t>No</t>
        </is>
      </c>
      <c r="J831" t="inlineStr">
        <is>
          <t>0</t>
        </is>
      </c>
      <c r="L831" t="inlineStr">
        <is>
          <t>New York : Plenum Press, c1978.</t>
        </is>
      </c>
      <c r="M831" t="inlineStr">
        <is>
          <t>1978</t>
        </is>
      </c>
      <c r="O831" t="inlineStr">
        <is>
          <t>eng</t>
        </is>
      </c>
      <c r="P831" t="inlineStr">
        <is>
          <t>nyu</t>
        </is>
      </c>
      <c r="R831" t="inlineStr">
        <is>
          <t xml:space="preserve">RC </t>
        </is>
      </c>
      <c r="S831" t="n">
        <v>6</v>
      </c>
      <c r="T831" t="n">
        <v>6</v>
      </c>
      <c r="U831" t="inlineStr">
        <is>
          <t>1999-10-10</t>
        </is>
      </c>
      <c r="V831" t="inlineStr">
        <is>
          <t>1999-10-10</t>
        </is>
      </c>
      <c r="W831" t="inlineStr">
        <is>
          <t>1992-03-23</t>
        </is>
      </c>
      <c r="X831" t="inlineStr">
        <is>
          <t>1992-03-23</t>
        </is>
      </c>
      <c r="Y831" t="n">
        <v>446</v>
      </c>
      <c r="Z831" t="n">
        <v>325</v>
      </c>
      <c r="AA831" t="n">
        <v>351</v>
      </c>
      <c r="AB831" t="n">
        <v>3</v>
      </c>
      <c r="AC831" t="n">
        <v>3</v>
      </c>
      <c r="AD831" t="n">
        <v>14</v>
      </c>
      <c r="AE831" t="n">
        <v>16</v>
      </c>
      <c r="AF831" t="n">
        <v>3</v>
      </c>
      <c r="AG831" t="n">
        <v>5</v>
      </c>
      <c r="AH831" t="n">
        <v>4</v>
      </c>
      <c r="AI831" t="n">
        <v>4</v>
      </c>
      <c r="AJ831" t="n">
        <v>10</v>
      </c>
      <c r="AK831" t="n">
        <v>11</v>
      </c>
      <c r="AL831" t="n">
        <v>2</v>
      </c>
      <c r="AM831" t="n">
        <v>2</v>
      </c>
      <c r="AN831" t="n">
        <v>0</v>
      </c>
      <c r="AO831" t="n">
        <v>0</v>
      </c>
      <c r="AP831" t="inlineStr">
        <is>
          <t>No</t>
        </is>
      </c>
      <c r="AQ831" t="inlineStr">
        <is>
          <t>Yes</t>
        </is>
      </c>
      <c r="AR831">
        <f>HYPERLINK("http://catalog.hathitrust.org/Record/000177907","HathiTrust Record")</f>
        <v/>
      </c>
      <c r="AS831">
        <f>HYPERLINK("https://creighton-primo.hosted.exlibrisgroup.com/primo-explore/search?tab=default_tab&amp;search_scope=EVERYTHING&amp;vid=01CRU&amp;lang=en_US&amp;offset=0&amp;query=any,contains,991004574619702656","Catalog Record")</f>
        <v/>
      </c>
      <c r="AT831">
        <f>HYPERLINK("http://www.worldcat.org/oclc/4037118","WorldCat Record")</f>
        <v/>
      </c>
      <c r="AU831" t="inlineStr">
        <is>
          <t>905350812:eng</t>
        </is>
      </c>
      <c r="AV831" t="inlineStr">
        <is>
          <t>4037118</t>
        </is>
      </c>
      <c r="AW831" t="inlineStr">
        <is>
          <t>991004574619702656</t>
        </is>
      </c>
      <c r="AX831" t="inlineStr">
        <is>
          <t>991004574619702656</t>
        </is>
      </c>
      <c r="AY831" t="inlineStr">
        <is>
          <t>2270830130002656</t>
        </is>
      </c>
      <c r="AZ831" t="inlineStr">
        <is>
          <t>BOOK</t>
        </is>
      </c>
      <c r="BB831" t="inlineStr">
        <is>
          <t>9780306311451</t>
        </is>
      </c>
      <c r="BC831" t="inlineStr">
        <is>
          <t>32285001025856</t>
        </is>
      </c>
      <c r="BD831" t="inlineStr">
        <is>
          <t>893700410</t>
        </is>
      </c>
    </row>
    <row r="832">
      <c r="A832" t="inlineStr">
        <is>
          <t>No</t>
        </is>
      </c>
      <c r="B832" t="inlineStr">
        <is>
          <t>RC489.C63 C64</t>
        </is>
      </c>
      <c r="C832" t="inlineStr">
        <is>
          <t>0                      RC 0489000C  63                 C  64</t>
        </is>
      </c>
      <c r="D832" t="inlineStr">
        <is>
          <t>Cognitive-behavioral interventions : theory, research, and procedures / edited by Philip C. Kendall, Steven D. Hollon.</t>
        </is>
      </c>
      <c r="F832" t="inlineStr">
        <is>
          <t>No</t>
        </is>
      </c>
      <c r="G832" t="inlineStr">
        <is>
          <t>1</t>
        </is>
      </c>
      <c r="H832" t="inlineStr">
        <is>
          <t>No</t>
        </is>
      </c>
      <c r="I832" t="inlineStr">
        <is>
          <t>No</t>
        </is>
      </c>
      <c r="J832" t="inlineStr">
        <is>
          <t>0</t>
        </is>
      </c>
      <c r="L832" t="inlineStr">
        <is>
          <t>New York : Academic Press, 1979.</t>
        </is>
      </c>
      <c r="M832" t="inlineStr">
        <is>
          <t>1979</t>
        </is>
      </c>
      <c r="O832" t="inlineStr">
        <is>
          <t>eng</t>
        </is>
      </c>
      <c r="P832" t="inlineStr">
        <is>
          <t>nyu</t>
        </is>
      </c>
      <c r="Q832" t="inlineStr">
        <is>
          <t>Personality and psychopathology</t>
        </is>
      </c>
      <c r="R832" t="inlineStr">
        <is>
          <t xml:space="preserve">RC </t>
        </is>
      </c>
      <c r="S832" t="n">
        <v>13</v>
      </c>
      <c r="T832" t="n">
        <v>13</v>
      </c>
      <c r="U832" t="inlineStr">
        <is>
          <t>1999-04-21</t>
        </is>
      </c>
      <c r="V832" t="inlineStr">
        <is>
          <t>1999-04-21</t>
        </is>
      </c>
      <c r="W832" t="inlineStr">
        <is>
          <t>1990-07-20</t>
        </is>
      </c>
      <c r="X832" t="inlineStr">
        <is>
          <t>1990-07-20</t>
        </is>
      </c>
      <c r="Y832" t="n">
        <v>533</v>
      </c>
      <c r="Z832" t="n">
        <v>397</v>
      </c>
      <c r="AA832" t="n">
        <v>431</v>
      </c>
      <c r="AB832" t="n">
        <v>4</v>
      </c>
      <c r="AC832" t="n">
        <v>4</v>
      </c>
      <c r="AD832" t="n">
        <v>22</v>
      </c>
      <c r="AE832" t="n">
        <v>24</v>
      </c>
      <c r="AF832" t="n">
        <v>9</v>
      </c>
      <c r="AG832" t="n">
        <v>10</v>
      </c>
      <c r="AH832" t="n">
        <v>5</v>
      </c>
      <c r="AI832" t="n">
        <v>6</v>
      </c>
      <c r="AJ832" t="n">
        <v>14</v>
      </c>
      <c r="AK832" t="n">
        <v>14</v>
      </c>
      <c r="AL832" t="n">
        <v>2</v>
      </c>
      <c r="AM832" t="n">
        <v>2</v>
      </c>
      <c r="AN832" t="n">
        <v>0</v>
      </c>
      <c r="AO832" t="n">
        <v>0</v>
      </c>
      <c r="AP832" t="inlineStr">
        <is>
          <t>No</t>
        </is>
      </c>
      <c r="AQ832" t="inlineStr">
        <is>
          <t>Yes</t>
        </is>
      </c>
      <c r="AR832">
        <f>HYPERLINK("http://catalog.hathitrust.org/Record/000745347","HathiTrust Record")</f>
        <v/>
      </c>
      <c r="AS832">
        <f>HYPERLINK("https://creighton-primo.hosted.exlibrisgroup.com/primo-explore/search?tab=default_tab&amp;search_scope=EVERYTHING&amp;vid=01CRU&amp;lang=en_US&amp;offset=0&amp;query=any,contains,991004762239702656","Catalog Record")</f>
        <v/>
      </c>
      <c r="AT832">
        <f>HYPERLINK("http://www.worldcat.org/oclc/5007601","WorldCat Record")</f>
        <v/>
      </c>
      <c r="AU832" t="inlineStr">
        <is>
          <t>3793282937:eng</t>
        </is>
      </c>
      <c r="AV832" t="inlineStr">
        <is>
          <t>5007601</t>
        </is>
      </c>
      <c r="AW832" t="inlineStr">
        <is>
          <t>991004762239702656</t>
        </is>
      </c>
      <c r="AX832" t="inlineStr">
        <is>
          <t>991004762239702656</t>
        </is>
      </c>
      <c r="AY832" t="inlineStr">
        <is>
          <t>2271701120002656</t>
        </is>
      </c>
      <c r="AZ832" t="inlineStr">
        <is>
          <t>BOOK</t>
        </is>
      </c>
      <c r="BB832" t="inlineStr">
        <is>
          <t>9780124044807</t>
        </is>
      </c>
      <c r="BC832" t="inlineStr">
        <is>
          <t>32285000245976</t>
        </is>
      </c>
      <c r="BD832" t="inlineStr">
        <is>
          <t>893795252</t>
        </is>
      </c>
    </row>
    <row r="833">
      <c r="A833" t="inlineStr">
        <is>
          <t>No</t>
        </is>
      </c>
      <c r="B833" t="inlineStr">
        <is>
          <t>RC489.C63 C643 1987</t>
        </is>
      </c>
      <c r="C833" t="inlineStr">
        <is>
          <t>0                      RC 0489000C  63                 C  643         1987</t>
        </is>
      </c>
      <c r="D833" t="inlineStr">
        <is>
          <t>Cognitive-behavioural approaches to psychotherapy / edited by Windy Dryden, William L. Golden.</t>
        </is>
      </c>
      <c r="F833" t="inlineStr">
        <is>
          <t>No</t>
        </is>
      </c>
      <c r="G833" t="inlineStr">
        <is>
          <t>1</t>
        </is>
      </c>
      <c r="H833" t="inlineStr">
        <is>
          <t>No</t>
        </is>
      </c>
      <c r="I833" t="inlineStr">
        <is>
          <t>No</t>
        </is>
      </c>
      <c r="J833" t="inlineStr">
        <is>
          <t>0</t>
        </is>
      </c>
      <c r="L833" t="inlineStr">
        <is>
          <t>New York : Hemisphere Pub. Corp., c1987.</t>
        </is>
      </c>
      <c r="M833" t="inlineStr">
        <is>
          <t>1987</t>
        </is>
      </c>
      <c r="O833" t="inlineStr">
        <is>
          <t>eng</t>
        </is>
      </c>
      <c r="P833" t="inlineStr">
        <is>
          <t>mau</t>
        </is>
      </c>
      <c r="R833" t="inlineStr">
        <is>
          <t xml:space="preserve">RC </t>
        </is>
      </c>
      <c r="S833" t="n">
        <v>5</v>
      </c>
      <c r="T833" t="n">
        <v>5</v>
      </c>
      <c r="U833" t="inlineStr">
        <is>
          <t>1999-01-26</t>
        </is>
      </c>
      <c r="V833" t="inlineStr">
        <is>
          <t>1999-01-26</t>
        </is>
      </c>
      <c r="W833" t="inlineStr">
        <is>
          <t>1992-08-13</t>
        </is>
      </c>
      <c r="X833" t="inlineStr">
        <is>
          <t>1992-08-13</t>
        </is>
      </c>
      <c r="Y833" t="n">
        <v>246</v>
      </c>
      <c r="Z833" t="n">
        <v>218</v>
      </c>
      <c r="AA833" t="n">
        <v>260</v>
      </c>
      <c r="AB833" t="n">
        <v>5</v>
      </c>
      <c r="AC833" t="n">
        <v>5</v>
      </c>
      <c r="AD833" t="n">
        <v>10</v>
      </c>
      <c r="AE833" t="n">
        <v>10</v>
      </c>
      <c r="AF833" t="n">
        <v>2</v>
      </c>
      <c r="AG833" t="n">
        <v>2</v>
      </c>
      <c r="AH833" t="n">
        <v>1</v>
      </c>
      <c r="AI833" t="n">
        <v>1</v>
      </c>
      <c r="AJ833" t="n">
        <v>4</v>
      </c>
      <c r="AK833" t="n">
        <v>4</v>
      </c>
      <c r="AL833" t="n">
        <v>4</v>
      </c>
      <c r="AM833" t="n">
        <v>4</v>
      </c>
      <c r="AN833" t="n">
        <v>0</v>
      </c>
      <c r="AO833" t="n">
        <v>0</v>
      </c>
      <c r="AP833" t="inlineStr">
        <is>
          <t>No</t>
        </is>
      </c>
      <c r="AQ833" t="inlineStr">
        <is>
          <t>Yes</t>
        </is>
      </c>
      <c r="AR833">
        <f>HYPERLINK("http://catalog.hathitrust.org/Record/000869520","HathiTrust Record")</f>
        <v/>
      </c>
      <c r="AS833">
        <f>HYPERLINK("https://creighton-primo.hosted.exlibrisgroup.com/primo-explore/search?tab=default_tab&amp;search_scope=EVERYTHING&amp;vid=01CRU&amp;lang=en_US&amp;offset=0&amp;query=any,contains,991001091889702656","Catalog Record")</f>
        <v/>
      </c>
      <c r="AT833">
        <f>HYPERLINK("http://www.worldcat.org/oclc/16225094","WorldCat Record")</f>
        <v/>
      </c>
      <c r="AU833" t="inlineStr">
        <is>
          <t>353249441:eng</t>
        </is>
      </c>
      <c r="AV833" t="inlineStr">
        <is>
          <t>16225094</t>
        </is>
      </c>
      <c r="AW833" t="inlineStr">
        <is>
          <t>991001091889702656</t>
        </is>
      </c>
      <c r="AX833" t="inlineStr">
        <is>
          <t>991001091889702656</t>
        </is>
      </c>
      <c r="AY833" t="inlineStr">
        <is>
          <t>2267892530002656</t>
        </is>
      </c>
      <c r="AZ833" t="inlineStr">
        <is>
          <t>BOOK</t>
        </is>
      </c>
      <c r="BB833" t="inlineStr">
        <is>
          <t>9780891167747</t>
        </is>
      </c>
      <c r="BC833" t="inlineStr">
        <is>
          <t>32285001245363</t>
        </is>
      </c>
      <c r="BD833" t="inlineStr">
        <is>
          <t>893590011</t>
        </is>
      </c>
    </row>
    <row r="834">
      <c r="A834" t="inlineStr">
        <is>
          <t>No</t>
        </is>
      </c>
      <c r="B834" t="inlineStr">
        <is>
          <t>RC489.C63 C65 1983</t>
        </is>
      </c>
      <c r="C834" t="inlineStr">
        <is>
          <t>0                      RC 0489000C  63                 C  65          1983</t>
        </is>
      </c>
      <c r="D834" t="inlineStr">
        <is>
          <t>Cognitive therapy with couples and groups / edited by Arthur Freeman.</t>
        </is>
      </c>
      <c r="F834" t="inlineStr">
        <is>
          <t>No</t>
        </is>
      </c>
      <c r="G834" t="inlineStr">
        <is>
          <t>1</t>
        </is>
      </c>
      <c r="H834" t="inlineStr">
        <is>
          <t>No</t>
        </is>
      </c>
      <c r="I834" t="inlineStr">
        <is>
          <t>No</t>
        </is>
      </c>
      <c r="J834" t="inlineStr">
        <is>
          <t>0</t>
        </is>
      </c>
      <c r="L834" t="inlineStr">
        <is>
          <t>New York : Plenum Press, c1983.</t>
        </is>
      </c>
      <c r="M834" t="inlineStr">
        <is>
          <t>1983</t>
        </is>
      </c>
      <c r="O834" t="inlineStr">
        <is>
          <t>eng</t>
        </is>
      </c>
      <c r="P834" t="inlineStr">
        <is>
          <t>nyu</t>
        </is>
      </c>
      <c r="R834" t="inlineStr">
        <is>
          <t xml:space="preserve">RC </t>
        </is>
      </c>
      <c r="S834" t="n">
        <v>9</v>
      </c>
      <c r="T834" t="n">
        <v>9</v>
      </c>
      <c r="U834" t="inlineStr">
        <is>
          <t>1997-05-14</t>
        </is>
      </c>
      <c r="V834" t="inlineStr">
        <is>
          <t>1997-05-14</t>
        </is>
      </c>
      <c r="W834" t="inlineStr">
        <is>
          <t>1992-04-28</t>
        </is>
      </c>
      <c r="X834" t="inlineStr">
        <is>
          <t>1992-04-28</t>
        </is>
      </c>
      <c r="Y834" t="n">
        <v>295</v>
      </c>
      <c r="Z834" t="n">
        <v>211</v>
      </c>
      <c r="AA834" t="n">
        <v>241</v>
      </c>
      <c r="AB834" t="n">
        <v>2</v>
      </c>
      <c r="AC834" t="n">
        <v>2</v>
      </c>
      <c r="AD834" t="n">
        <v>10</v>
      </c>
      <c r="AE834" t="n">
        <v>12</v>
      </c>
      <c r="AF834" t="n">
        <v>3</v>
      </c>
      <c r="AG834" t="n">
        <v>5</v>
      </c>
      <c r="AH834" t="n">
        <v>2</v>
      </c>
      <c r="AI834" t="n">
        <v>2</v>
      </c>
      <c r="AJ834" t="n">
        <v>6</v>
      </c>
      <c r="AK834" t="n">
        <v>7</v>
      </c>
      <c r="AL834" t="n">
        <v>1</v>
      </c>
      <c r="AM834" t="n">
        <v>1</v>
      </c>
      <c r="AN834" t="n">
        <v>0</v>
      </c>
      <c r="AO834" t="n">
        <v>0</v>
      </c>
      <c r="AP834" t="inlineStr">
        <is>
          <t>No</t>
        </is>
      </c>
      <c r="AQ834" t="inlineStr">
        <is>
          <t>Yes</t>
        </is>
      </c>
      <c r="AR834">
        <f>HYPERLINK("http://catalog.hathitrust.org/Record/000113849","HathiTrust Record")</f>
        <v/>
      </c>
      <c r="AS834">
        <f>HYPERLINK("https://creighton-primo.hosted.exlibrisgroup.com/primo-explore/search?tab=default_tab&amp;search_scope=EVERYTHING&amp;vid=01CRU&amp;lang=en_US&amp;offset=0&amp;query=any,contains,991000250839702656","Catalog Record")</f>
        <v/>
      </c>
      <c r="AT834">
        <f>HYPERLINK("http://www.worldcat.org/oclc/9757038","WorldCat Record")</f>
        <v/>
      </c>
      <c r="AU834" t="inlineStr">
        <is>
          <t>43935952:eng</t>
        </is>
      </c>
      <c r="AV834" t="inlineStr">
        <is>
          <t>9757038</t>
        </is>
      </c>
      <c r="AW834" t="inlineStr">
        <is>
          <t>991000250839702656</t>
        </is>
      </c>
      <c r="AX834" t="inlineStr">
        <is>
          <t>991000250839702656</t>
        </is>
      </c>
      <c r="AY834" t="inlineStr">
        <is>
          <t>2255249990002656</t>
        </is>
      </c>
      <c r="AZ834" t="inlineStr">
        <is>
          <t>BOOK</t>
        </is>
      </c>
      <c r="BB834" t="inlineStr">
        <is>
          <t>9780306411496</t>
        </is>
      </c>
      <c r="BC834" t="inlineStr">
        <is>
          <t>32285001089589</t>
        </is>
      </c>
      <c r="BD834" t="inlineStr">
        <is>
          <t>893243105</t>
        </is>
      </c>
    </row>
    <row r="835">
      <c r="A835" t="inlineStr">
        <is>
          <t>No</t>
        </is>
      </c>
      <c r="B835" t="inlineStr">
        <is>
          <t>RC489.C63 W47 1982</t>
        </is>
      </c>
      <c r="C835" t="inlineStr">
        <is>
          <t>0                      RC 0489000C  63                 W  47          1982</t>
        </is>
      </c>
      <c r="D835" t="inlineStr">
        <is>
          <t>Cognitive therapy : a humanistic approach / Harold D. Werner.</t>
        </is>
      </c>
      <c r="F835" t="inlineStr">
        <is>
          <t>No</t>
        </is>
      </c>
      <c r="G835" t="inlineStr">
        <is>
          <t>1</t>
        </is>
      </c>
      <c r="H835" t="inlineStr">
        <is>
          <t>No</t>
        </is>
      </c>
      <c r="I835" t="inlineStr">
        <is>
          <t>No</t>
        </is>
      </c>
      <c r="J835" t="inlineStr">
        <is>
          <t>0</t>
        </is>
      </c>
      <c r="K835" t="inlineStr">
        <is>
          <t>Werner, Harold D.</t>
        </is>
      </c>
      <c r="L835" t="inlineStr">
        <is>
          <t>New York : Free Press ; London : Collier Macmillan, c1982.</t>
        </is>
      </c>
      <c r="M835" t="inlineStr">
        <is>
          <t>1982</t>
        </is>
      </c>
      <c r="O835" t="inlineStr">
        <is>
          <t>eng</t>
        </is>
      </c>
      <c r="P835" t="inlineStr">
        <is>
          <t>nyu</t>
        </is>
      </c>
      <c r="Q835" t="inlineStr">
        <is>
          <t>Treatment approaches in the human services</t>
        </is>
      </c>
      <c r="R835" t="inlineStr">
        <is>
          <t xml:space="preserve">RC </t>
        </is>
      </c>
      <c r="S835" t="n">
        <v>17</v>
      </c>
      <c r="T835" t="n">
        <v>17</v>
      </c>
      <c r="U835" t="inlineStr">
        <is>
          <t>2005-11-17</t>
        </is>
      </c>
      <c r="V835" t="inlineStr">
        <is>
          <t>2005-11-17</t>
        </is>
      </c>
      <c r="W835" t="inlineStr">
        <is>
          <t>1990-07-20</t>
        </is>
      </c>
      <c r="X835" t="inlineStr">
        <is>
          <t>1990-07-20</t>
        </is>
      </c>
      <c r="Y835" t="n">
        <v>350</v>
      </c>
      <c r="Z835" t="n">
        <v>304</v>
      </c>
      <c r="AA835" t="n">
        <v>306</v>
      </c>
      <c r="AB835" t="n">
        <v>3</v>
      </c>
      <c r="AC835" t="n">
        <v>3</v>
      </c>
      <c r="AD835" t="n">
        <v>15</v>
      </c>
      <c r="AE835" t="n">
        <v>15</v>
      </c>
      <c r="AF835" t="n">
        <v>7</v>
      </c>
      <c r="AG835" t="n">
        <v>7</v>
      </c>
      <c r="AH835" t="n">
        <v>4</v>
      </c>
      <c r="AI835" t="n">
        <v>4</v>
      </c>
      <c r="AJ835" t="n">
        <v>4</v>
      </c>
      <c r="AK835" t="n">
        <v>4</v>
      </c>
      <c r="AL835" t="n">
        <v>2</v>
      </c>
      <c r="AM835" t="n">
        <v>2</v>
      </c>
      <c r="AN835" t="n">
        <v>0</v>
      </c>
      <c r="AO835" t="n">
        <v>0</v>
      </c>
      <c r="AP835" t="inlineStr">
        <is>
          <t>No</t>
        </is>
      </c>
      <c r="AQ835" t="inlineStr">
        <is>
          <t>Yes</t>
        </is>
      </c>
      <c r="AR835">
        <f>HYPERLINK("http://catalog.hathitrust.org/Record/000305453","HathiTrust Record")</f>
        <v/>
      </c>
      <c r="AS835">
        <f>HYPERLINK("https://creighton-primo.hosted.exlibrisgroup.com/primo-explore/search?tab=default_tab&amp;search_scope=EVERYTHING&amp;vid=01CRU&amp;lang=en_US&amp;offset=0&amp;query=any,contains,991005171579702656","Catalog Record")</f>
        <v/>
      </c>
      <c r="AT835">
        <f>HYPERLINK("http://www.worldcat.org/oclc/7875437","WorldCat Record")</f>
        <v/>
      </c>
      <c r="AU835" t="inlineStr">
        <is>
          <t>233741825:eng</t>
        </is>
      </c>
      <c r="AV835" t="inlineStr">
        <is>
          <t>7875437</t>
        </is>
      </c>
      <c r="AW835" t="inlineStr">
        <is>
          <t>991005171579702656</t>
        </is>
      </c>
      <c r="AX835" t="inlineStr">
        <is>
          <t>991005171579702656</t>
        </is>
      </c>
      <c r="AY835" t="inlineStr">
        <is>
          <t>2268321140002656</t>
        </is>
      </c>
      <c r="AZ835" t="inlineStr">
        <is>
          <t>BOOK</t>
        </is>
      </c>
      <c r="BB835" t="inlineStr">
        <is>
          <t>9780029346402</t>
        </is>
      </c>
      <c r="BC835" t="inlineStr">
        <is>
          <t>32285000245984</t>
        </is>
      </c>
      <c r="BD835" t="inlineStr">
        <is>
          <t>893877056</t>
        </is>
      </c>
    </row>
    <row r="836">
      <c r="A836" t="inlineStr">
        <is>
          <t>No</t>
        </is>
      </c>
      <c r="B836" t="inlineStr">
        <is>
          <t>RC489.C68 D37 2000</t>
        </is>
      </c>
      <c r="C836" t="inlineStr">
        <is>
          <t>0                      RC 0489000C  68                 D  37          2000</t>
        </is>
      </c>
      <c r="D836" t="inlineStr">
        <is>
          <t>Countertransference and the treatment of trauma / Constance J. Dalenberg.</t>
        </is>
      </c>
      <c r="F836" t="inlineStr">
        <is>
          <t>No</t>
        </is>
      </c>
      <c r="G836" t="inlineStr">
        <is>
          <t>1</t>
        </is>
      </c>
      <c r="H836" t="inlineStr">
        <is>
          <t>No</t>
        </is>
      </c>
      <c r="I836" t="inlineStr">
        <is>
          <t>No</t>
        </is>
      </c>
      <c r="J836" t="inlineStr">
        <is>
          <t>0</t>
        </is>
      </c>
      <c r="K836" t="inlineStr">
        <is>
          <t>Dalenberg, Constance J.</t>
        </is>
      </c>
      <c r="L836" t="inlineStr">
        <is>
          <t>Washington, D.C. : American Psychological Association, c2000.</t>
        </is>
      </c>
      <c r="M836" t="inlineStr">
        <is>
          <t>2000</t>
        </is>
      </c>
      <c r="N836" t="inlineStr">
        <is>
          <t>1st ed.</t>
        </is>
      </c>
      <c r="O836" t="inlineStr">
        <is>
          <t>eng</t>
        </is>
      </c>
      <c r="P836" t="inlineStr">
        <is>
          <t>dcu</t>
        </is>
      </c>
      <c r="R836" t="inlineStr">
        <is>
          <t xml:space="preserve">RC </t>
        </is>
      </c>
      <c r="S836" t="n">
        <v>4</v>
      </c>
      <c r="T836" t="n">
        <v>4</v>
      </c>
      <c r="U836" t="inlineStr">
        <is>
          <t>2002-04-17</t>
        </is>
      </c>
      <c r="V836" t="inlineStr">
        <is>
          <t>2002-04-17</t>
        </is>
      </c>
      <c r="W836" t="inlineStr">
        <is>
          <t>2002-04-04</t>
        </is>
      </c>
      <c r="X836" t="inlineStr">
        <is>
          <t>2002-04-04</t>
        </is>
      </c>
      <c r="Y836" t="n">
        <v>278</v>
      </c>
      <c r="Z836" t="n">
        <v>221</v>
      </c>
      <c r="AA836" t="n">
        <v>299</v>
      </c>
      <c r="AB836" t="n">
        <v>1</v>
      </c>
      <c r="AC836" t="n">
        <v>2</v>
      </c>
      <c r="AD836" t="n">
        <v>9</v>
      </c>
      <c r="AE836" t="n">
        <v>14</v>
      </c>
      <c r="AF836" t="n">
        <v>4</v>
      </c>
      <c r="AG836" t="n">
        <v>4</v>
      </c>
      <c r="AH836" t="n">
        <v>2</v>
      </c>
      <c r="AI836" t="n">
        <v>2</v>
      </c>
      <c r="AJ836" t="n">
        <v>6</v>
      </c>
      <c r="AK836" t="n">
        <v>10</v>
      </c>
      <c r="AL836" t="n">
        <v>0</v>
      </c>
      <c r="AM836" t="n">
        <v>1</v>
      </c>
      <c r="AN836" t="n">
        <v>0</v>
      </c>
      <c r="AO836" t="n">
        <v>0</v>
      </c>
      <c r="AP836" t="inlineStr">
        <is>
          <t>No</t>
        </is>
      </c>
      <c r="AQ836" t="inlineStr">
        <is>
          <t>No</t>
        </is>
      </c>
      <c r="AS836">
        <f>HYPERLINK("https://creighton-primo.hosted.exlibrisgroup.com/primo-explore/search?tab=default_tab&amp;search_scope=EVERYTHING&amp;vid=01CRU&amp;lang=en_US&amp;offset=0&amp;query=any,contains,991003773909702656","Catalog Record")</f>
        <v/>
      </c>
      <c r="AT836">
        <f>HYPERLINK("http://www.worldcat.org/oclc/44593983","WorldCat Record")</f>
        <v/>
      </c>
      <c r="AU836" t="inlineStr">
        <is>
          <t>19969739:eng</t>
        </is>
      </c>
      <c r="AV836" t="inlineStr">
        <is>
          <t>44593983</t>
        </is>
      </c>
      <c r="AW836" t="inlineStr">
        <is>
          <t>991003773909702656</t>
        </is>
      </c>
      <c r="AX836" t="inlineStr">
        <is>
          <t>991003773909702656</t>
        </is>
      </c>
      <c r="AY836" t="inlineStr">
        <is>
          <t>2270291050002656</t>
        </is>
      </c>
      <c r="AZ836" t="inlineStr">
        <is>
          <t>BOOK</t>
        </is>
      </c>
      <c r="BB836" t="inlineStr">
        <is>
          <t>9781557986870</t>
        </is>
      </c>
      <c r="BC836" t="inlineStr">
        <is>
          <t>32285004477302</t>
        </is>
      </c>
      <c r="BD836" t="inlineStr">
        <is>
          <t>893240585</t>
        </is>
      </c>
    </row>
    <row r="837">
      <c r="A837" t="inlineStr">
        <is>
          <t>No</t>
        </is>
      </c>
      <c r="B837" t="inlineStr">
        <is>
          <t>RC489.D3 S24</t>
        </is>
      </c>
      <c r="C837" t="inlineStr">
        <is>
          <t>0                      RC 0489000D  3                  S  24</t>
        </is>
      </c>
      <c r="D837" t="inlineStr">
        <is>
          <t>Body ego technique; an educational and therapeutic approach to body image and self identity. Introd. [by] Philip R. A. May. Pref. [by] Stuart S. Turkel. Photos. [by] Ernest E. Reshovsky [and] Leo Salkin. Line drawings [by] Susan Cambigue.</t>
        </is>
      </c>
      <c r="F837" t="inlineStr">
        <is>
          <t>No</t>
        </is>
      </c>
      <c r="G837" t="inlineStr">
        <is>
          <t>1</t>
        </is>
      </c>
      <c r="H837" t="inlineStr">
        <is>
          <t>No</t>
        </is>
      </c>
      <c r="I837" t="inlineStr">
        <is>
          <t>No</t>
        </is>
      </c>
      <c r="J837" t="inlineStr">
        <is>
          <t>0</t>
        </is>
      </c>
      <c r="K837" t="inlineStr">
        <is>
          <t>Salkin, Jeri.</t>
        </is>
      </c>
      <c r="L837" t="inlineStr">
        <is>
          <t>Springfield, Ill., Thomas [1973]</t>
        </is>
      </c>
      <c r="M837" t="inlineStr">
        <is>
          <t>1973</t>
        </is>
      </c>
      <c r="O837" t="inlineStr">
        <is>
          <t>eng</t>
        </is>
      </c>
      <c r="P837" t="inlineStr">
        <is>
          <t>ilu</t>
        </is>
      </c>
      <c r="Q837" t="inlineStr">
        <is>
          <t>American lecture series, publication no. 895. A monograph in the Bannerstone division of American lectures in special education</t>
        </is>
      </c>
      <c r="R837" t="inlineStr">
        <is>
          <t xml:space="preserve">RC </t>
        </is>
      </c>
      <c r="S837" t="n">
        <v>5</v>
      </c>
      <c r="T837" t="n">
        <v>5</v>
      </c>
      <c r="U837" t="inlineStr">
        <is>
          <t>2000-09-25</t>
        </is>
      </c>
      <c r="V837" t="inlineStr">
        <is>
          <t>2000-09-25</t>
        </is>
      </c>
      <c r="W837" t="inlineStr">
        <is>
          <t>1997-08-12</t>
        </is>
      </c>
      <c r="X837" t="inlineStr">
        <is>
          <t>1997-08-12</t>
        </is>
      </c>
      <c r="Y837" t="n">
        <v>379</v>
      </c>
      <c r="Z837" t="n">
        <v>338</v>
      </c>
      <c r="AA837" t="n">
        <v>344</v>
      </c>
      <c r="AB837" t="n">
        <v>2</v>
      </c>
      <c r="AC837" t="n">
        <v>2</v>
      </c>
      <c r="AD837" t="n">
        <v>8</v>
      </c>
      <c r="AE837" t="n">
        <v>8</v>
      </c>
      <c r="AF837" t="n">
        <v>3</v>
      </c>
      <c r="AG837" t="n">
        <v>3</v>
      </c>
      <c r="AH837" t="n">
        <v>1</v>
      </c>
      <c r="AI837" t="n">
        <v>1</v>
      </c>
      <c r="AJ837" t="n">
        <v>5</v>
      </c>
      <c r="AK837" t="n">
        <v>5</v>
      </c>
      <c r="AL837" t="n">
        <v>1</v>
      </c>
      <c r="AM837" t="n">
        <v>1</v>
      </c>
      <c r="AN837" t="n">
        <v>0</v>
      </c>
      <c r="AO837" t="n">
        <v>0</v>
      </c>
      <c r="AP837" t="inlineStr">
        <is>
          <t>No</t>
        </is>
      </c>
      <c r="AQ837" t="inlineStr">
        <is>
          <t>Yes</t>
        </is>
      </c>
      <c r="AR837">
        <f>HYPERLINK("http://catalog.hathitrust.org/Record/009915456","HathiTrust Record")</f>
        <v/>
      </c>
      <c r="AS837">
        <f>HYPERLINK("https://creighton-primo.hosted.exlibrisgroup.com/primo-explore/search?tab=default_tab&amp;search_scope=EVERYTHING&amp;vid=01CRU&amp;lang=en_US&amp;offset=0&amp;query=any,contains,991003288129702656","Catalog Record")</f>
        <v/>
      </c>
      <c r="AT837">
        <f>HYPERLINK("http://www.worldcat.org/oclc/810223","WorldCat Record")</f>
        <v/>
      </c>
      <c r="AU837" t="inlineStr">
        <is>
          <t>229660214:eng</t>
        </is>
      </c>
      <c r="AV837" t="inlineStr">
        <is>
          <t>810223</t>
        </is>
      </c>
      <c r="AW837" t="inlineStr">
        <is>
          <t>991003288129702656</t>
        </is>
      </c>
      <c r="AX837" t="inlineStr">
        <is>
          <t>991003288129702656</t>
        </is>
      </c>
      <c r="AY837" t="inlineStr">
        <is>
          <t>2270879860002656</t>
        </is>
      </c>
      <c r="AZ837" t="inlineStr">
        <is>
          <t>BOOK</t>
        </is>
      </c>
      <c r="BB837" t="inlineStr">
        <is>
          <t>9780398028268</t>
        </is>
      </c>
      <c r="BC837" t="inlineStr">
        <is>
          <t>32285003092110</t>
        </is>
      </c>
      <c r="BD837" t="inlineStr">
        <is>
          <t>893780808</t>
        </is>
      </c>
    </row>
    <row r="838">
      <c r="A838" t="inlineStr">
        <is>
          <t>No</t>
        </is>
      </c>
      <c r="B838" t="inlineStr">
        <is>
          <t>RC489.D3 T48</t>
        </is>
      </c>
      <c r="C838" t="inlineStr">
        <is>
          <t>0                      RC 0489000D  3                  T  48</t>
        </is>
      </c>
      <c r="D838" t="inlineStr">
        <is>
          <t>Therapy in motion / edited by Maureen Needham Costonis.</t>
        </is>
      </c>
      <c r="F838" t="inlineStr">
        <is>
          <t>No</t>
        </is>
      </c>
      <c r="G838" t="inlineStr">
        <is>
          <t>1</t>
        </is>
      </c>
      <c r="H838" t="inlineStr">
        <is>
          <t>No</t>
        </is>
      </c>
      <c r="I838" t="inlineStr">
        <is>
          <t>No</t>
        </is>
      </c>
      <c r="J838" t="inlineStr">
        <is>
          <t>0</t>
        </is>
      </c>
      <c r="L838" t="inlineStr">
        <is>
          <t>Urbana : University of Illinois Press, c1978.</t>
        </is>
      </c>
      <c r="M838" t="inlineStr">
        <is>
          <t>1978</t>
        </is>
      </c>
      <c r="O838" t="inlineStr">
        <is>
          <t>eng</t>
        </is>
      </c>
      <c r="P838" t="inlineStr">
        <is>
          <t>ilu</t>
        </is>
      </c>
      <c r="R838" t="inlineStr">
        <is>
          <t xml:space="preserve">RC </t>
        </is>
      </c>
      <c r="S838" t="n">
        <v>9</v>
      </c>
      <c r="T838" t="n">
        <v>9</v>
      </c>
      <c r="U838" t="inlineStr">
        <is>
          <t>2010-11-28</t>
        </is>
      </c>
      <c r="V838" t="inlineStr">
        <is>
          <t>2010-11-28</t>
        </is>
      </c>
      <c r="W838" t="inlineStr">
        <is>
          <t>1997-08-12</t>
        </is>
      </c>
      <c r="X838" t="inlineStr">
        <is>
          <t>1997-08-12</t>
        </is>
      </c>
      <c r="Y838" t="n">
        <v>414</v>
      </c>
      <c r="Z838" t="n">
        <v>353</v>
      </c>
      <c r="AA838" t="n">
        <v>358</v>
      </c>
      <c r="AB838" t="n">
        <v>3</v>
      </c>
      <c r="AC838" t="n">
        <v>3</v>
      </c>
      <c r="AD838" t="n">
        <v>17</v>
      </c>
      <c r="AE838" t="n">
        <v>18</v>
      </c>
      <c r="AF838" t="n">
        <v>8</v>
      </c>
      <c r="AG838" t="n">
        <v>9</v>
      </c>
      <c r="AH838" t="n">
        <v>6</v>
      </c>
      <c r="AI838" t="n">
        <v>6</v>
      </c>
      <c r="AJ838" t="n">
        <v>6</v>
      </c>
      <c r="AK838" t="n">
        <v>7</v>
      </c>
      <c r="AL838" t="n">
        <v>2</v>
      </c>
      <c r="AM838" t="n">
        <v>2</v>
      </c>
      <c r="AN838" t="n">
        <v>0</v>
      </c>
      <c r="AO838" t="n">
        <v>0</v>
      </c>
      <c r="AP838" t="inlineStr">
        <is>
          <t>No</t>
        </is>
      </c>
      <c r="AQ838" t="inlineStr">
        <is>
          <t>Yes</t>
        </is>
      </c>
      <c r="AR838">
        <f>HYPERLINK("http://catalog.hathitrust.org/Record/000093614","HathiTrust Record")</f>
        <v/>
      </c>
      <c r="AS838">
        <f>HYPERLINK("https://creighton-primo.hosted.exlibrisgroup.com/primo-explore/search?tab=default_tab&amp;search_scope=EVERYTHING&amp;vid=01CRU&amp;lang=en_US&amp;offset=0&amp;query=any,contains,991004492939702656","Catalog Record")</f>
        <v/>
      </c>
      <c r="AT838">
        <f>HYPERLINK("http://www.worldcat.org/oclc/3672141","WorldCat Record")</f>
        <v/>
      </c>
      <c r="AU838" t="inlineStr">
        <is>
          <t>5613247076:eng</t>
        </is>
      </c>
      <c r="AV838" t="inlineStr">
        <is>
          <t>3672141</t>
        </is>
      </c>
      <c r="AW838" t="inlineStr">
        <is>
          <t>991004492939702656</t>
        </is>
      </c>
      <c r="AX838" t="inlineStr">
        <is>
          <t>991004492939702656</t>
        </is>
      </c>
      <c r="AY838" t="inlineStr">
        <is>
          <t>2263448180002656</t>
        </is>
      </c>
      <c r="AZ838" t="inlineStr">
        <is>
          <t>BOOK</t>
        </is>
      </c>
      <c r="BB838" t="inlineStr">
        <is>
          <t>9780252005862</t>
        </is>
      </c>
      <c r="BC838" t="inlineStr">
        <is>
          <t>32285003092136</t>
        </is>
      </c>
      <c r="BD838" t="inlineStr">
        <is>
          <t>893506914</t>
        </is>
      </c>
    </row>
    <row r="839">
      <c r="A839" t="inlineStr">
        <is>
          <t>No</t>
        </is>
      </c>
      <c r="B839" t="inlineStr">
        <is>
          <t>RC489.D45 B68 1983</t>
        </is>
      </c>
      <c r="C839" t="inlineStr">
        <is>
          <t>0                      RC 0489000D  45                 B  68          1983</t>
        </is>
      </c>
      <c r="D839" t="inlineStr">
        <is>
          <t>Flooding and implosive therapy : direct therapeutic exposure in clinical practice / Patrick A. Boudewyns and Robert H. Shipley.</t>
        </is>
      </c>
      <c r="F839" t="inlineStr">
        <is>
          <t>No</t>
        </is>
      </c>
      <c r="G839" t="inlineStr">
        <is>
          <t>1</t>
        </is>
      </c>
      <c r="H839" t="inlineStr">
        <is>
          <t>No</t>
        </is>
      </c>
      <c r="I839" t="inlineStr">
        <is>
          <t>No</t>
        </is>
      </c>
      <c r="J839" t="inlineStr">
        <is>
          <t>0</t>
        </is>
      </c>
      <c r="K839" t="inlineStr">
        <is>
          <t>Boudewyns, Patrick A., 1940-</t>
        </is>
      </c>
      <c r="L839" t="inlineStr">
        <is>
          <t>New York : Plenum Press, c1983.</t>
        </is>
      </c>
      <c r="M839" t="inlineStr">
        <is>
          <t>1983</t>
        </is>
      </c>
      <c r="O839" t="inlineStr">
        <is>
          <t>eng</t>
        </is>
      </c>
      <c r="P839" t="inlineStr">
        <is>
          <t>nyu</t>
        </is>
      </c>
      <c r="R839" t="inlineStr">
        <is>
          <t xml:space="preserve">RC </t>
        </is>
      </c>
      <c r="S839" t="n">
        <v>1</v>
      </c>
      <c r="T839" t="n">
        <v>1</v>
      </c>
      <c r="U839" t="inlineStr">
        <is>
          <t>2002-04-01</t>
        </is>
      </c>
      <c r="V839" t="inlineStr">
        <is>
          <t>2002-04-01</t>
        </is>
      </c>
      <c r="W839" t="inlineStr">
        <is>
          <t>1992-03-20</t>
        </is>
      </c>
      <c r="X839" t="inlineStr">
        <is>
          <t>1992-03-20</t>
        </is>
      </c>
      <c r="Y839" t="n">
        <v>213</v>
      </c>
      <c r="Z839" t="n">
        <v>170</v>
      </c>
      <c r="AA839" t="n">
        <v>195</v>
      </c>
      <c r="AB839" t="n">
        <v>1</v>
      </c>
      <c r="AC839" t="n">
        <v>1</v>
      </c>
      <c r="AD839" t="n">
        <v>10</v>
      </c>
      <c r="AE839" t="n">
        <v>12</v>
      </c>
      <c r="AF839" t="n">
        <v>3</v>
      </c>
      <c r="AG839" t="n">
        <v>5</v>
      </c>
      <c r="AH839" t="n">
        <v>4</v>
      </c>
      <c r="AI839" t="n">
        <v>4</v>
      </c>
      <c r="AJ839" t="n">
        <v>7</v>
      </c>
      <c r="AK839" t="n">
        <v>8</v>
      </c>
      <c r="AL839" t="n">
        <v>0</v>
      </c>
      <c r="AM839" t="n">
        <v>0</v>
      </c>
      <c r="AN839" t="n">
        <v>0</v>
      </c>
      <c r="AO839" t="n">
        <v>0</v>
      </c>
      <c r="AP839" t="inlineStr">
        <is>
          <t>No</t>
        </is>
      </c>
      <c r="AQ839" t="inlineStr">
        <is>
          <t>Yes</t>
        </is>
      </c>
      <c r="AR839">
        <f>HYPERLINK("http://catalog.hathitrust.org/Record/000279861","HathiTrust Record")</f>
        <v/>
      </c>
      <c r="AS839">
        <f>HYPERLINK("https://creighton-primo.hosted.exlibrisgroup.com/primo-explore/search?tab=default_tab&amp;search_scope=EVERYTHING&amp;vid=01CRU&amp;lang=en_US&amp;offset=0&amp;query=any,contains,991000164039702656","Catalog Record")</f>
        <v/>
      </c>
      <c r="AT839">
        <f>HYPERLINK("http://www.worldcat.org/oclc/9281980","WorldCat Record")</f>
        <v/>
      </c>
      <c r="AU839" t="inlineStr">
        <is>
          <t>292902247:eng</t>
        </is>
      </c>
      <c r="AV839" t="inlineStr">
        <is>
          <t>9281980</t>
        </is>
      </c>
      <c r="AW839" t="inlineStr">
        <is>
          <t>991000164039702656</t>
        </is>
      </c>
      <c r="AX839" t="inlineStr">
        <is>
          <t>991000164039702656</t>
        </is>
      </c>
      <c r="AY839" t="inlineStr">
        <is>
          <t>2260361590002656</t>
        </is>
      </c>
      <c r="AZ839" t="inlineStr">
        <is>
          <t>BOOK</t>
        </is>
      </c>
      <c r="BB839" t="inlineStr">
        <is>
          <t>9780306411557</t>
        </is>
      </c>
      <c r="BC839" t="inlineStr">
        <is>
          <t>32285001025336</t>
        </is>
      </c>
      <c r="BD839" t="inlineStr">
        <is>
          <t>893425493</t>
        </is>
      </c>
    </row>
    <row r="840">
      <c r="A840" t="inlineStr">
        <is>
          <t>No</t>
        </is>
      </c>
      <c r="B840" t="inlineStr">
        <is>
          <t>RC489.D46 I94 1986</t>
        </is>
      </c>
      <c r="C840" t="inlineStr">
        <is>
          <t>0                      RC 0489000D  46                 I  94          1986</t>
        </is>
      </c>
      <c r="D840" t="inlineStr">
        <is>
          <t>Developmental therapy / Allen E. Ivey.</t>
        </is>
      </c>
      <c r="F840" t="inlineStr">
        <is>
          <t>No</t>
        </is>
      </c>
      <c r="G840" t="inlineStr">
        <is>
          <t>1</t>
        </is>
      </c>
      <c r="H840" t="inlineStr">
        <is>
          <t>No</t>
        </is>
      </c>
      <c r="I840" t="inlineStr">
        <is>
          <t>No</t>
        </is>
      </c>
      <c r="J840" t="inlineStr">
        <is>
          <t>0</t>
        </is>
      </c>
      <c r="K840" t="inlineStr">
        <is>
          <t>Ivey, Allen E.</t>
        </is>
      </c>
      <c r="L840" t="inlineStr">
        <is>
          <t>San Francisco : Jossey-Bass, c1986.</t>
        </is>
      </c>
      <c r="M840" t="inlineStr">
        <is>
          <t>1986</t>
        </is>
      </c>
      <c r="N840" t="inlineStr">
        <is>
          <t>1st ed.</t>
        </is>
      </c>
      <c r="O840" t="inlineStr">
        <is>
          <t>eng</t>
        </is>
      </c>
      <c r="P840" t="inlineStr">
        <is>
          <t>cau</t>
        </is>
      </c>
      <c r="Q840" t="inlineStr">
        <is>
          <t>The Jossey-Bass social and behavioral science series</t>
        </is>
      </c>
      <c r="R840" t="inlineStr">
        <is>
          <t xml:space="preserve">RC </t>
        </is>
      </c>
      <c r="S840" t="n">
        <v>4</v>
      </c>
      <c r="T840" t="n">
        <v>4</v>
      </c>
      <c r="U840" t="inlineStr">
        <is>
          <t>1995-11-03</t>
        </is>
      </c>
      <c r="V840" t="inlineStr">
        <is>
          <t>1995-11-03</t>
        </is>
      </c>
      <c r="W840" t="inlineStr">
        <is>
          <t>1990-07-20</t>
        </is>
      </c>
      <c r="X840" t="inlineStr">
        <is>
          <t>1990-07-20</t>
        </is>
      </c>
      <c r="Y840" t="n">
        <v>485</v>
      </c>
      <c r="Z840" t="n">
        <v>389</v>
      </c>
      <c r="AA840" t="n">
        <v>403</v>
      </c>
      <c r="AB840" t="n">
        <v>4</v>
      </c>
      <c r="AC840" t="n">
        <v>4</v>
      </c>
      <c r="AD840" t="n">
        <v>20</v>
      </c>
      <c r="AE840" t="n">
        <v>22</v>
      </c>
      <c r="AF840" t="n">
        <v>5</v>
      </c>
      <c r="AG840" t="n">
        <v>6</v>
      </c>
      <c r="AH840" t="n">
        <v>6</v>
      </c>
      <c r="AI840" t="n">
        <v>6</v>
      </c>
      <c r="AJ840" t="n">
        <v>11</v>
      </c>
      <c r="AK840" t="n">
        <v>13</v>
      </c>
      <c r="AL840" t="n">
        <v>3</v>
      </c>
      <c r="AM840" t="n">
        <v>3</v>
      </c>
      <c r="AN840" t="n">
        <v>0</v>
      </c>
      <c r="AO840" t="n">
        <v>0</v>
      </c>
      <c r="AP840" t="inlineStr">
        <is>
          <t>No</t>
        </is>
      </c>
      <c r="AQ840" t="inlineStr">
        <is>
          <t>Yes</t>
        </is>
      </c>
      <c r="AR840">
        <f>HYPERLINK("http://catalog.hathitrust.org/Record/000486386","HathiTrust Record")</f>
        <v/>
      </c>
      <c r="AS840">
        <f>HYPERLINK("https://creighton-primo.hosted.exlibrisgroup.com/primo-explore/search?tab=default_tab&amp;search_scope=EVERYTHING&amp;vid=01CRU&amp;lang=en_US&amp;offset=0&amp;query=any,contains,991000917739702656","Catalog Record")</f>
        <v/>
      </c>
      <c r="AT840">
        <f>HYPERLINK("http://www.worldcat.org/oclc/14187695","WorldCat Record")</f>
        <v/>
      </c>
      <c r="AU840" t="inlineStr">
        <is>
          <t>7762282:eng</t>
        </is>
      </c>
      <c r="AV840" t="inlineStr">
        <is>
          <t>14187695</t>
        </is>
      </c>
      <c r="AW840" t="inlineStr">
        <is>
          <t>991000917739702656</t>
        </is>
      </c>
      <c r="AX840" t="inlineStr">
        <is>
          <t>991000917739702656</t>
        </is>
      </c>
      <c r="AY840" t="inlineStr">
        <is>
          <t>2260434420002656</t>
        </is>
      </c>
      <c r="AZ840" t="inlineStr">
        <is>
          <t>BOOK</t>
        </is>
      </c>
      <c r="BB840" t="inlineStr">
        <is>
          <t>9781555420222</t>
        </is>
      </c>
      <c r="BC840" t="inlineStr">
        <is>
          <t>32285000245992</t>
        </is>
      </c>
      <c r="BD840" t="inlineStr">
        <is>
          <t>893772109</t>
        </is>
      </c>
    </row>
    <row r="841">
      <c r="A841" t="inlineStr">
        <is>
          <t>No</t>
        </is>
      </c>
      <c r="B841" t="inlineStr">
        <is>
          <t>RC489.D74 H55 1996</t>
        </is>
      </c>
      <c r="C841" t="inlineStr">
        <is>
          <t>0                      RC 0489000D  74                 H  55          1996</t>
        </is>
      </c>
      <c r="D841" t="inlineStr">
        <is>
          <t>Working with dreams in psychotherapy / Clara E. Hill.</t>
        </is>
      </c>
      <c r="F841" t="inlineStr">
        <is>
          <t>No</t>
        </is>
      </c>
      <c r="G841" t="inlineStr">
        <is>
          <t>1</t>
        </is>
      </c>
      <c r="H841" t="inlineStr">
        <is>
          <t>No</t>
        </is>
      </c>
      <c r="I841" t="inlineStr">
        <is>
          <t>No</t>
        </is>
      </c>
      <c r="J841" t="inlineStr">
        <is>
          <t>0</t>
        </is>
      </c>
      <c r="K841" t="inlineStr">
        <is>
          <t>Hill, Clara E., 1948-</t>
        </is>
      </c>
      <c r="L841" t="inlineStr">
        <is>
          <t>New York : Guilford Press, c1996.</t>
        </is>
      </c>
      <c r="M841" t="inlineStr">
        <is>
          <t>1996</t>
        </is>
      </c>
      <c r="O841" t="inlineStr">
        <is>
          <t>eng</t>
        </is>
      </c>
      <c r="P841" t="inlineStr">
        <is>
          <t>nyu</t>
        </is>
      </c>
      <c r="Q841" t="inlineStr">
        <is>
          <t>The Practicing professional</t>
        </is>
      </c>
      <c r="R841" t="inlineStr">
        <is>
          <t xml:space="preserve">RC </t>
        </is>
      </c>
      <c r="S841" t="n">
        <v>21</v>
      </c>
      <c r="T841" t="n">
        <v>21</v>
      </c>
      <c r="U841" t="inlineStr">
        <is>
          <t>2001-02-18</t>
        </is>
      </c>
      <c r="V841" t="inlineStr">
        <is>
          <t>2001-02-18</t>
        </is>
      </c>
      <c r="W841" t="inlineStr">
        <is>
          <t>1996-10-15</t>
        </is>
      </c>
      <c r="X841" t="inlineStr">
        <is>
          <t>1996-10-15</t>
        </is>
      </c>
      <c r="Y841" t="n">
        <v>272</v>
      </c>
      <c r="Z841" t="n">
        <v>229</v>
      </c>
      <c r="AA841" t="n">
        <v>229</v>
      </c>
      <c r="AB841" t="n">
        <v>3</v>
      </c>
      <c r="AC841" t="n">
        <v>3</v>
      </c>
      <c r="AD841" t="n">
        <v>17</v>
      </c>
      <c r="AE841" t="n">
        <v>17</v>
      </c>
      <c r="AF841" t="n">
        <v>5</v>
      </c>
      <c r="AG841" t="n">
        <v>5</v>
      </c>
      <c r="AH841" t="n">
        <v>3</v>
      </c>
      <c r="AI841" t="n">
        <v>3</v>
      </c>
      <c r="AJ841" t="n">
        <v>11</v>
      </c>
      <c r="AK841" t="n">
        <v>11</v>
      </c>
      <c r="AL841" t="n">
        <v>2</v>
      </c>
      <c r="AM841" t="n">
        <v>2</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HYPERLINK("https://creighton-primo.hosted.exlibrisgroup.com/primo-explore/search?tab=default_tab&amp;search_scope=EVERYTHING&amp;vid=01CRU&amp;lang=en_US&amp;offset=0&amp;query=any,contains,991002634009702656","Catalog Record")</f>
        <v/>
      </c>
      <c r="AT841">
        <f>HYPERLINK("http://www.worldcat.org/oclc/34515408","WorldCat Record")</f>
        <v/>
      </c>
      <c r="AU841" t="inlineStr">
        <is>
          <t>52744944:eng</t>
        </is>
      </c>
      <c r="AV841" t="inlineStr">
        <is>
          <t>34515408</t>
        </is>
      </c>
      <c r="AW841" t="inlineStr">
        <is>
          <t>991002634009702656</t>
        </is>
      </c>
      <c r="AX841" t="inlineStr">
        <is>
          <t>991002634009702656</t>
        </is>
      </c>
      <c r="AY841" t="inlineStr">
        <is>
          <t>2272073900002656</t>
        </is>
      </c>
      <c r="AZ841" t="inlineStr">
        <is>
          <t>BOOK</t>
        </is>
      </c>
      <c r="BB841" t="inlineStr">
        <is>
          <t>9781572300927</t>
        </is>
      </c>
      <c r="BC841" t="inlineStr">
        <is>
          <t>32285002199106</t>
        </is>
      </c>
      <c r="BD841" t="inlineStr">
        <is>
          <t>893899010</t>
        </is>
      </c>
    </row>
    <row r="842">
      <c r="A842" t="inlineStr">
        <is>
          <t>No</t>
        </is>
      </c>
      <c r="B842" t="inlineStr">
        <is>
          <t>RC489.E24 C33 2006</t>
        </is>
      </c>
      <c r="C842" t="inlineStr">
        <is>
          <t>0                      RC 0489000E  24                 C  33          2006</t>
        </is>
      </c>
      <c r="D842" t="inlineStr">
        <is>
          <t>A casebook of psychotherapy integration / edited by George Stricker and Jerry Gold.</t>
        </is>
      </c>
      <c r="F842" t="inlineStr">
        <is>
          <t>No</t>
        </is>
      </c>
      <c r="G842" t="inlineStr">
        <is>
          <t>1</t>
        </is>
      </c>
      <c r="H842" t="inlineStr">
        <is>
          <t>No</t>
        </is>
      </c>
      <c r="I842" t="inlineStr">
        <is>
          <t>No</t>
        </is>
      </c>
      <c r="J842" t="inlineStr">
        <is>
          <t>0</t>
        </is>
      </c>
      <c r="L842" t="inlineStr">
        <is>
          <t>Washington DC : American Psychological Association, c2006.</t>
        </is>
      </c>
      <c r="M842" t="inlineStr">
        <is>
          <t>2006</t>
        </is>
      </c>
      <c r="N842" t="inlineStr">
        <is>
          <t>1st ed.</t>
        </is>
      </c>
      <c r="O842" t="inlineStr">
        <is>
          <t>eng</t>
        </is>
      </c>
      <c r="P842" t="inlineStr">
        <is>
          <t>dcu</t>
        </is>
      </c>
      <c r="R842" t="inlineStr">
        <is>
          <t xml:space="preserve">RC </t>
        </is>
      </c>
      <c r="S842" t="n">
        <v>5</v>
      </c>
      <c r="T842" t="n">
        <v>5</v>
      </c>
      <c r="U842" t="inlineStr">
        <is>
          <t>2010-06-24</t>
        </is>
      </c>
      <c r="V842" t="inlineStr">
        <is>
          <t>2010-06-24</t>
        </is>
      </c>
      <c r="W842" t="inlineStr">
        <is>
          <t>2007-03-28</t>
        </is>
      </c>
      <c r="X842" t="inlineStr">
        <is>
          <t>2007-03-28</t>
        </is>
      </c>
      <c r="Y842" t="n">
        <v>235</v>
      </c>
      <c r="Z842" t="n">
        <v>179</v>
      </c>
      <c r="AA842" t="n">
        <v>249</v>
      </c>
      <c r="AB842" t="n">
        <v>1</v>
      </c>
      <c r="AC842" t="n">
        <v>2</v>
      </c>
      <c r="AD842" t="n">
        <v>6</v>
      </c>
      <c r="AE842" t="n">
        <v>13</v>
      </c>
      <c r="AF842" t="n">
        <v>2</v>
      </c>
      <c r="AG842" t="n">
        <v>5</v>
      </c>
      <c r="AH842" t="n">
        <v>0</v>
      </c>
      <c r="AI842" t="n">
        <v>0</v>
      </c>
      <c r="AJ842" t="n">
        <v>5</v>
      </c>
      <c r="AK842" t="n">
        <v>9</v>
      </c>
      <c r="AL842" t="n">
        <v>0</v>
      </c>
      <c r="AM842" t="n">
        <v>1</v>
      </c>
      <c r="AN842" t="n">
        <v>0</v>
      </c>
      <c r="AO842" t="n">
        <v>0</v>
      </c>
      <c r="AP842" t="inlineStr">
        <is>
          <t>No</t>
        </is>
      </c>
      <c r="AQ842" t="inlineStr">
        <is>
          <t>Yes</t>
        </is>
      </c>
      <c r="AR842">
        <f>HYPERLINK("http://catalog.hathitrust.org/Record/005233528","HathiTrust Record")</f>
        <v/>
      </c>
      <c r="AS842">
        <f>HYPERLINK("https://creighton-primo.hosted.exlibrisgroup.com/primo-explore/search?tab=default_tab&amp;search_scope=EVERYTHING&amp;vid=01CRU&amp;lang=en_US&amp;offset=0&amp;query=any,contains,991005055129702656","Catalog Record")</f>
        <v/>
      </c>
      <c r="AT842">
        <f>HYPERLINK("http://www.worldcat.org/oclc/61879691","WorldCat Record")</f>
        <v/>
      </c>
      <c r="AU842" t="inlineStr">
        <is>
          <t>350030361:eng</t>
        </is>
      </c>
      <c r="AV842" t="inlineStr">
        <is>
          <t>61879691</t>
        </is>
      </c>
      <c r="AW842" t="inlineStr">
        <is>
          <t>991005055129702656</t>
        </is>
      </c>
      <c r="AX842" t="inlineStr">
        <is>
          <t>991005055129702656</t>
        </is>
      </c>
      <c r="AY842" t="inlineStr">
        <is>
          <t>2256609160002656</t>
        </is>
      </c>
      <c r="AZ842" t="inlineStr">
        <is>
          <t>BOOK</t>
        </is>
      </c>
      <c r="BB842" t="inlineStr">
        <is>
          <t>9781591474050</t>
        </is>
      </c>
      <c r="BC842" t="inlineStr">
        <is>
          <t>32285005283865</t>
        </is>
      </c>
      <c r="BD842" t="inlineStr">
        <is>
          <t>893236202</t>
        </is>
      </c>
    </row>
    <row r="843">
      <c r="A843" t="inlineStr">
        <is>
          <t>No</t>
        </is>
      </c>
      <c r="B843" t="inlineStr">
        <is>
          <t>RC489.E93 W45 1993</t>
        </is>
      </c>
      <c r="C843" t="inlineStr">
        <is>
          <t>0                      RC 0489000E  93                 W  45          1993</t>
        </is>
      </c>
      <c r="D843" t="inlineStr">
        <is>
          <t>The vulnerable self : confronting the ultimate questions / Avery D. Weisman ; foreword by John C. Nemiah.</t>
        </is>
      </c>
      <c r="F843" t="inlineStr">
        <is>
          <t>No</t>
        </is>
      </c>
      <c r="G843" t="inlineStr">
        <is>
          <t>1</t>
        </is>
      </c>
      <c r="H843" t="inlineStr">
        <is>
          <t>No</t>
        </is>
      </c>
      <c r="I843" t="inlineStr">
        <is>
          <t>No</t>
        </is>
      </c>
      <c r="J843" t="inlineStr">
        <is>
          <t>0</t>
        </is>
      </c>
      <c r="K843" t="inlineStr">
        <is>
          <t>Weisman, Avery D.</t>
        </is>
      </c>
      <c r="L843" t="inlineStr">
        <is>
          <t>New York : Insight Books, c1993.</t>
        </is>
      </c>
      <c r="M843" t="inlineStr">
        <is>
          <t>1993</t>
        </is>
      </c>
      <c r="O843" t="inlineStr">
        <is>
          <t>eng</t>
        </is>
      </c>
      <c r="P843" t="inlineStr">
        <is>
          <t>nyu</t>
        </is>
      </c>
      <c r="R843" t="inlineStr">
        <is>
          <t xml:space="preserve">RC </t>
        </is>
      </c>
      <c r="S843" t="n">
        <v>2</v>
      </c>
      <c r="T843" t="n">
        <v>2</v>
      </c>
      <c r="U843" t="inlineStr">
        <is>
          <t>1996-07-09</t>
        </is>
      </c>
      <c r="V843" t="inlineStr">
        <is>
          <t>1996-07-09</t>
        </is>
      </c>
      <c r="W843" t="inlineStr">
        <is>
          <t>1996-06-06</t>
        </is>
      </c>
      <c r="X843" t="inlineStr">
        <is>
          <t>1996-06-06</t>
        </is>
      </c>
      <c r="Y843" t="n">
        <v>210</v>
      </c>
      <c r="Z843" t="n">
        <v>173</v>
      </c>
      <c r="AA843" t="n">
        <v>176</v>
      </c>
      <c r="AB843" t="n">
        <v>1</v>
      </c>
      <c r="AC843" t="n">
        <v>1</v>
      </c>
      <c r="AD843" t="n">
        <v>12</v>
      </c>
      <c r="AE843" t="n">
        <v>12</v>
      </c>
      <c r="AF843" t="n">
        <v>5</v>
      </c>
      <c r="AG843" t="n">
        <v>5</v>
      </c>
      <c r="AH843" t="n">
        <v>3</v>
      </c>
      <c r="AI843" t="n">
        <v>3</v>
      </c>
      <c r="AJ843" t="n">
        <v>8</v>
      </c>
      <c r="AK843" t="n">
        <v>8</v>
      </c>
      <c r="AL843" t="n">
        <v>0</v>
      </c>
      <c r="AM843" t="n">
        <v>0</v>
      </c>
      <c r="AN843" t="n">
        <v>0</v>
      </c>
      <c r="AO843" t="n">
        <v>0</v>
      </c>
      <c r="AP843" t="inlineStr">
        <is>
          <t>No</t>
        </is>
      </c>
      <c r="AQ843" t="inlineStr">
        <is>
          <t>Yes</t>
        </is>
      </c>
      <c r="AR843">
        <f>HYPERLINK("http://catalog.hathitrust.org/Record/002955684","HathiTrust Record")</f>
        <v/>
      </c>
      <c r="AS843">
        <f>HYPERLINK("https://creighton-primo.hosted.exlibrisgroup.com/primo-explore/search?tab=default_tab&amp;search_scope=EVERYTHING&amp;vid=01CRU&amp;lang=en_US&amp;offset=0&amp;query=any,contains,991002203849702656","Catalog Record")</f>
        <v/>
      </c>
      <c r="AT843">
        <f>HYPERLINK("http://www.worldcat.org/oclc/28344378","WorldCat Record")</f>
        <v/>
      </c>
      <c r="AU843" t="inlineStr">
        <is>
          <t>20852450:eng</t>
        </is>
      </c>
      <c r="AV843" t="inlineStr">
        <is>
          <t>28344378</t>
        </is>
      </c>
      <c r="AW843" t="inlineStr">
        <is>
          <t>991002203849702656</t>
        </is>
      </c>
      <c r="AX843" t="inlineStr">
        <is>
          <t>991002203849702656</t>
        </is>
      </c>
      <c r="AY843" t="inlineStr">
        <is>
          <t>2265767420002656</t>
        </is>
      </c>
      <c r="AZ843" t="inlineStr">
        <is>
          <t>BOOK</t>
        </is>
      </c>
      <c r="BB843" t="inlineStr">
        <is>
          <t>9780306445019</t>
        </is>
      </c>
      <c r="BC843" t="inlineStr">
        <is>
          <t>32285002188653</t>
        </is>
      </c>
      <c r="BD843" t="inlineStr">
        <is>
          <t>893262139</t>
        </is>
      </c>
    </row>
    <row r="844">
      <c r="A844" t="inlineStr">
        <is>
          <t>No</t>
        </is>
      </c>
      <c r="B844" t="inlineStr">
        <is>
          <t>RC489.E98 E465 2002</t>
        </is>
      </c>
      <c r="C844" t="inlineStr">
        <is>
          <t>0                      RC 0489000E  98                 E  465         2002</t>
        </is>
      </c>
      <c r="D844" t="inlineStr">
        <is>
          <t>EMDR as an integrative psychotherapy approach : experts of diverse orientations explore the paradigm prism / edited by Francine Shapiro.</t>
        </is>
      </c>
      <c r="F844" t="inlineStr">
        <is>
          <t>No</t>
        </is>
      </c>
      <c r="G844" t="inlineStr">
        <is>
          <t>1</t>
        </is>
      </c>
      <c r="H844" t="inlineStr">
        <is>
          <t>No</t>
        </is>
      </c>
      <c r="I844" t="inlineStr">
        <is>
          <t>No</t>
        </is>
      </c>
      <c r="J844" t="inlineStr">
        <is>
          <t>0</t>
        </is>
      </c>
      <c r="L844" t="inlineStr">
        <is>
          <t>Washington, DC : American Psychological Association, c2002.</t>
        </is>
      </c>
      <c r="M844" t="inlineStr">
        <is>
          <t>2002</t>
        </is>
      </c>
      <c r="N844" t="inlineStr">
        <is>
          <t>1st ed.</t>
        </is>
      </c>
      <c r="O844" t="inlineStr">
        <is>
          <t>eng</t>
        </is>
      </c>
      <c r="P844" t="inlineStr">
        <is>
          <t>dcu</t>
        </is>
      </c>
      <c r="R844" t="inlineStr">
        <is>
          <t xml:space="preserve">RC </t>
        </is>
      </c>
      <c r="S844" t="n">
        <v>2</v>
      </c>
      <c r="T844" t="n">
        <v>2</v>
      </c>
      <c r="U844" t="inlineStr">
        <is>
          <t>2005-12-02</t>
        </is>
      </c>
      <c r="V844" t="inlineStr">
        <is>
          <t>2005-12-02</t>
        </is>
      </c>
      <c r="W844" t="inlineStr">
        <is>
          <t>2004-06-07</t>
        </is>
      </c>
      <c r="X844" t="inlineStr">
        <is>
          <t>2004-06-07</t>
        </is>
      </c>
      <c r="Y844" t="n">
        <v>307</v>
      </c>
      <c r="Z844" t="n">
        <v>250</v>
      </c>
      <c r="AA844" t="n">
        <v>329</v>
      </c>
      <c r="AB844" t="n">
        <v>3</v>
      </c>
      <c r="AC844" t="n">
        <v>4</v>
      </c>
      <c r="AD844" t="n">
        <v>15</v>
      </c>
      <c r="AE844" t="n">
        <v>20</v>
      </c>
      <c r="AF844" t="n">
        <v>6</v>
      </c>
      <c r="AG844" t="n">
        <v>7</v>
      </c>
      <c r="AH844" t="n">
        <v>3</v>
      </c>
      <c r="AI844" t="n">
        <v>3</v>
      </c>
      <c r="AJ844" t="n">
        <v>8</v>
      </c>
      <c r="AK844" t="n">
        <v>11</v>
      </c>
      <c r="AL844" t="n">
        <v>2</v>
      </c>
      <c r="AM844" t="n">
        <v>3</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HYPERLINK("https://creighton-primo.hosted.exlibrisgroup.com/primo-explore/search?tab=default_tab&amp;search_scope=EVERYTHING&amp;vid=01CRU&amp;lang=en_US&amp;offset=0&amp;query=any,contains,991004265459702656","Catalog Record")</f>
        <v/>
      </c>
      <c r="AT844">
        <f>HYPERLINK("http://www.worldcat.org/oclc/48958394","WorldCat Record")</f>
        <v/>
      </c>
      <c r="AU844" t="inlineStr">
        <is>
          <t>1078140406:eng</t>
        </is>
      </c>
      <c r="AV844" t="inlineStr">
        <is>
          <t>48958394</t>
        </is>
      </c>
      <c r="AW844" t="inlineStr">
        <is>
          <t>991004265459702656</t>
        </is>
      </c>
      <c r="AX844" t="inlineStr">
        <is>
          <t>991004265459702656</t>
        </is>
      </c>
      <c r="AY844" t="inlineStr">
        <is>
          <t>2271892440002656</t>
        </is>
      </c>
      <c r="AZ844" t="inlineStr">
        <is>
          <t>BOOK</t>
        </is>
      </c>
      <c r="BB844" t="inlineStr">
        <is>
          <t>9781557989222</t>
        </is>
      </c>
      <c r="BC844" t="inlineStr">
        <is>
          <t>32285004907878</t>
        </is>
      </c>
      <c r="BD844" t="inlineStr">
        <is>
          <t>893417411</t>
        </is>
      </c>
    </row>
    <row r="845">
      <c r="A845" t="inlineStr">
        <is>
          <t>No</t>
        </is>
      </c>
      <c r="B845" t="inlineStr">
        <is>
          <t>RC489.F3 D5413 1986</t>
        </is>
      </c>
      <c r="C845" t="inlineStr">
        <is>
          <t>0                      RC 0489000F  3                  D  5413        1986</t>
        </is>
      </c>
      <c r="D845" t="inlineStr">
        <is>
          <t>Twice-told tales : the psychological use of fairy tales / Hans Dieckmann ; foreword by Bruno Bettelheim ; translated by Brno Bettelheim.</t>
        </is>
      </c>
      <c r="F845" t="inlineStr">
        <is>
          <t>No</t>
        </is>
      </c>
      <c r="G845" t="inlineStr">
        <is>
          <t>1</t>
        </is>
      </c>
      <c r="H845" t="inlineStr">
        <is>
          <t>No</t>
        </is>
      </c>
      <c r="I845" t="inlineStr">
        <is>
          <t>No</t>
        </is>
      </c>
      <c r="J845" t="inlineStr">
        <is>
          <t>0</t>
        </is>
      </c>
      <c r="K845" t="inlineStr">
        <is>
          <t>Dieckmann, Hans.</t>
        </is>
      </c>
      <c r="L845" t="inlineStr">
        <is>
          <t>Wilmette, Ill. : Chiron Publications, 1986.</t>
        </is>
      </c>
      <c r="M845" t="inlineStr">
        <is>
          <t>1986</t>
        </is>
      </c>
      <c r="O845" t="inlineStr">
        <is>
          <t>eng</t>
        </is>
      </c>
      <c r="P845" t="inlineStr">
        <is>
          <t>ilu</t>
        </is>
      </c>
      <c r="R845" t="inlineStr">
        <is>
          <t xml:space="preserve">RC </t>
        </is>
      </c>
      <c r="S845" t="n">
        <v>5</v>
      </c>
      <c r="T845" t="n">
        <v>5</v>
      </c>
      <c r="U845" t="inlineStr">
        <is>
          <t>2003-01-05</t>
        </is>
      </c>
      <c r="V845" t="inlineStr">
        <is>
          <t>2003-01-05</t>
        </is>
      </c>
      <c r="W845" t="inlineStr">
        <is>
          <t>1993-03-23</t>
        </is>
      </c>
      <c r="X845" t="inlineStr">
        <is>
          <t>1993-03-23</t>
        </is>
      </c>
      <c r="Y845" t="n">
        <v>236</v>
      </c>
      <c r="Z845" t="n">
        <v>209</v>
      </c>
      <c r="AA845" t="n">
        <v>209</v>
      </c>
      <c r="AB845" t="n">
        <v>1</v>
      </c>
      <c r="AC845" t="n">
        <v>1</v>
      </c>
      <c r="AD845" t="n">
        <v>5</v>
      </c>
      <c r="AE845" t="n">
        <v>5</v>
      </c>
      <c r="AF845" t="n">
        <v>2</v>
      </c>
      <c r="AG845" t="n">
        <v>2</v>
      </c>
      <c r="AH845" t="n">
        <v>1</v>
      </c>
      <c r="AI845" t="n">
        <v>1</v>
      </c>
      <c r="AJ845" t="n">
        <v>4</v>
      </c>
      <c r="AK845" t="n">
        <v>4</v>
      </c>
      <c r="AL845" t="n">
        <v>0</v>
      </c>
      <c r="AM845" t="n">
        <v>0</v>
      </c>
      <c r="AN845" t="n">
        <v>0</v>
      </c>
      <c r="AO845" t="n">
        <v>0</v>
      </c>
      <c r="AP845" t="inlineStr">
        <is>
          <t>No</t>
        </is>
      </c>
      <c r="AQ845" t="inlineStr">
        <is>
          <t>No</t>
        </is>
      </c>
      <c r="AS845">
        <f>HYPERLINK("https://creighton-primo.hosted.exlibrisgroup.com/primo-explore/search?tab=default_tab&amp;search_scope=EVERYTHING&amp;vid=01CRU&amp;lang=en_US&amp;offset=0&amp;query=any,contains,991000794409702656","Catalog Record")</f>
        <v/>
      </c>
      <c r="AT845">
        <f>HYPERLINK("http://www.worldcat.org/oclc/13184087","WorldCat Record")</f>
        <v/>
      </c>
      <c r="AU845" t="inlineStr">
        <is>
          <t>933909:eng</t>
        </is>
      </c>
      <c r="AV845" t="inlineStr">
        <is>
          <t>13184087</t>
        </is>
      </c>
      <c r="AW845" t="inlineStr">
        <is>
          <t>991000794409702656</t>
        </is>
      </c>
      <c r="AX845" t="inlineStr">
        <is>
          <t>991000794409702656</t>
        </is>
      </c>
      <c r="AY845" t="inlineStr">
        <is>
          <t>2255251550002656</t>
        </is>
      </c>
      <c r="AZ845" t="inlineStr">
        <is>
          <t>BOOK</t>
        </is>
      </c>
      <c r="BB845" t="inlineStr">
        <is>
          <t>9780933029026</t>
        </is>
      </c>
      <c r="BC845" t="inlineStr">
        <is>
          <t>32285001607109</t>
        </is>
      </c>
      <c r="BD845" t="inlineStr">
        <is>
          <t>893790859</t>
        </is>
      </c>
    </row>
    <row r="846">
      <c r="A846" t="inlineStr">
        <is>
          <t>No</t>
        </is>
      </c>
      <c r="B846" t="inlineStr">
        <is>
          <t>RC489.F45 H36 1985</t>
        </is>
      </c>
      <c r="C846" t="inlineStr">
        <is>
          <t>0                      RC 0489000F  45                 H  36          1985</t>
        </is>
      </c>
      <c r="D846" t="inlineStr">
        <is>
          <t>Handbook of feminist therapy : women's issues in psychotherapy / Lynne Bravo Rosewater, Lenore E.A. Walker, editors.</t>
        </is>
      </c>
      <c r="F846" t="inlineStr">
        <is>
          <t>No</t>
        </is>
      </c>
      <c r="G846" t="inlineStr">
        <is>
          <t>1</t>
        </is>
      </c>
      <c r="H846" t="inlineStr">
        <is>
          <t>No</t>
        </is>
      </c>
      <c r="I846" t="inlineStr">
        <is>
          <t>No</t>
        </is>
      </c>
      <c r="J846" t="inlineStr">
        <is>
          <t>0</t>
        </is>
      </c>
      <c r="L846" t="inlineStr">
        <is>
          <t>New York : Springer Pub. Co., c1985.</t>
        </is>
      </c>
      <c r="M846" t="inlineStr">
        <is>
          <t>1985</t>
        </is>
      </c>
      <c r="O846" t="inlineStr">
        <is>
          <t>eng</t>
        </is>
      </c>
      <c r="P846" t="inlineStr">
        <is>
          <t>nyu</t>
        </is>
      </c>
      <c r="R846" t="inlineStr">
        <is>
          <t xml:space="preserve">RC </t>
        </is>
      </c>
      <c r="S846" t="n">
        <v>14</v>
      </c>
      <c r="T846" t="n">
        <v>14</v>
      </c>
      <c r="U846" t="inlineStr">
        <is>
          <t>2002-09-03</t>
        </is>
      </c>
      <c r="V846" t="inlineStr">
        <is>
          <t>2002-09-03</t>
        </is>
      </c>
      <c r="W846" t="inlineStr">
        <is>
          <t>1990-02-09</t>
        </is>
      </c>
      <c r="X846" t="inlineStr">
        <is>
          <t>1990-02-09</t>
        </is>
      </c>
      <c r="Y846" t="n">
        <v>486</v>
      </c>
      <c r="Z846" t="n">
        <v>423</v>
      </c>
      <c r="AA846" t="n">
        <v>439</v>
      </c>
      <c r="AB846" t="n">
        <v>3</v>
      </c>
      <c r="AC846" t="n">
        <v>3</v>
      </c>
      <c r="AD846" t="n">
        <v>16</v>
      </c>
      <c r="AE846" t="n">
        <v>18</v>
      </c>
      <c r="AF846" t="n">
        <v>5</v>
      </c>
      <c r="AG846" t="n">
        <v>6</v>
      </c>
      <c r="AH846" t="n">
        <v>4</v>
      </c>
      <c r="AI846" t="n">
        <v>5</v>
      </c>
      <c r="AJ846" t="n">
        <v>7</v>
      </c>
      <c r="AK846" t="n">
        <v>7</v>
      </c>
      <c r="AL846" t="n">
        <v>2</v>
      </c>
      <c r="AM846" t="n">
        <v>2</v>
      </c>
      <c r="AN846" t="n">
        <v>0</v>
      </c>
      <c r="AO846" t="n">
        <v>0</v>
      </c>
      <c r="AP846" t="inlineStr">
        <is>
          <t>No</t>
        </is>
      </c>
      <c r="AQ846" t="inlineStr">
        <is>
          <t>Yes</t>
        </is>
      </c>
      <c r="AR846">
        <f>HYPERLINK("http://catalog.hathitrust.org/Record/000570357","HathiTrust Record")</f>
        <v/>
      </c>
      <c r="AS846">
        <f>HYPERLINK("https://creighton-primo.hosted.exlibrisgroup.com/primo-explore/search?tab=default_tab&amp;search_scope=EVERYTHING&amp;vid=01CRU&amp;lang=en_US&amp;offset=0&amp;query=any,contains,991000601899702656","Catalog Record")</f>
        <v/>
      </c>
      <c r="AT846">
        <f>HYPERLINK("http://www.worldcat.org/oclc/11842063","WorldCat Record")</f>
        <v/>
      </c>
      <c r="AU846" t="inlineStr">
        <is>
          <t>356145602:eng</t>
        </is>
      </c>
      <c r="AV846" t="inlineStr">
        <is>
          <t>11842063</t>
        </is>
      </c>
      <c r="AW846" t="inlineStr">
        <is>
          <t>991000601899702656</t>
        </is>
      </c>
      <c r="AX846" t="inlineStr">
        <is>
          <t>991000601899702656</t>
        </is>
      </c>
      <c r="AY846" t="inlineStr">
        <is>
          <t>2265019880002656</t>
        </is>
      </c>
      <c r="AZ846" t="inlineStr">
        <is>
          <t>BOOK</t>
        </is>
      </c>
      <c r="BB846" t="inlineStr">
        <is>
          <t>9780826149701</t>
        </is>
      </c>
      <c r="BC846" t="inlineStr">
        <is>
          <t>32285000034701</t>
        </is>
      </c>
      <c r="BD846" t="inlineStr">
        <is>
          <t>893345804</t>
        </is>
      </c>
    </row>
    <row r="847">
      <c r="A847" t="inlineStr">
        <is>
          <t>No</t>
        </is>
      </c>
      <c r="B847" t="inlineStr">
        <is>
          <t>RC489.F45 L35 1990</t>
        </is>
      </c>
      <c r="C847" t="inlineStr">
        <is>
          <t>0                      RC 0489000F  45                 L  35          1990</t>
        </is>
      </c>
      <c r="D847" t="inlineStr">
        <is>
          <t>Healing voices : feminist approaches to therapy with women / Toni Ann Laidlaw, Cheryl Malmo and associates.</t>
        </is>
      </c>
      <c r="F847" t="inlineStr">
        <is>
          <t>No</t>
        </is>
      </c>
      <c r="G847" t="inlineStr">
        <is>
          <t>1</t>
        </is>
      </c>
      <c r="H847" t="inlineStr">
        <is>
          <t>No</t>
        </is>
      </c>
      <c r="I847" t="inlineStr">
        <is>
          <t>No</t>
        </is>
      </c>
      <c r="J847" t="inlineStr">
        <is>
          <t>0</t>
        </is>
      </c>
      <c r="K847" t="inlineStr">
        <is>
          <t>Laidlaw, Toni Ann, 1939-</t>
        </is>
      </c>
      <c r="L847" t="inlineStr">
        <is>
          <t>San Francisco : Jossey-Bass, 1990.</t>
        </is>
      </c>
      <c r="M847" t="inlineStr">
        <is>
          <t>1990</t>
        </is>
      </c>
      <c r="O847" t="inlineStr">
        <is>
          <t>eng</t>
        </is>
      </c>
      <c r="P847" t="inlineStr">
        <is>
          <t>cau</t>
        </is>
      </c>
      <c r="Q847" t="inlineStr">
        <is>
          <t>The Jossey-Bass social and behavioral science series</t>
        </is>
      </c>
      <c r="R847" t="inlineStr">
        <is>
          <t xml:space="preserve">RC </t>
        </is>
      </c>
      <c r="S847" t="n">
        <v>15</v>
      </c>
      <c r="T847" t="n">
        <v>15</v>
      </c>
      <c r="U847" t="inlineStr">
        <is>
          <t>2002-04-09</t>
        </is>
      </c>
      <c r="V847" t="inlineStr">
        <is>
          <t>2002-04-09</t>
        </is>
      </c>
      <c r="W847" t="inlineStr">
        <is>
          <t>1991-04-03</t>
        </is>
      </c>
      <c r="X847" t="inlineStr">
        <is>
          <t>1991-04-03</t>
        </is>
      </c>
      <c r="Y847" t="n">
        <v>561</v>
      </c>
      <c r="Z847" t="n">
        <v>458</v>
      </c>
      <c r="AA847" t="n">
        <v>476</v>
      </c>
      <c r="AB847" t="n">
        <v>6</v>
      </c>
      <c r="AC847" t="n">
        <v>6</v>
      </c>
      <c r="AD847" t="n">
        <v>23</v>
      </c>
      <c r="AE847" t="n">
        <v>25</v>
      </c>
      <c r="AF847" t="n">
        <v>8</v>
      </c>
      <c r="AG847" t="n">
        <v>9</v>
      </c>
      <c r="AH847" t="n">
        <v>4</v>
      </c>
      <c r="AI847" t="n">
        <v>5</v>
      </c>
      <c r="AJ847" t="n">
        <v>11</v>
      </c>
      <c r="AK847" t="n">
        <v>11</v>
      </c>
      <c r="AL847" t="n">
        <v>5</v>
      </c>
      <c r="AM847" t="n">
        <v>5</v>
      </c>
      <c r="AN847" t="n">
        <v>0</v>
      </c>
      <c r="AO847" t="n">
        <v>0</v>
      </c>
      <c r="AP847" t="inlineStr">
        <is>
          <t>No</t>
        </is>
      </c>
      <c r="AQ847" t="inlineStr">
        <is>
          <t>Yes</t>
        </is>
      </c>
      <c r="AR847">
        <f>HYPERLINK("http://catalog.hathitrust.org/Record/001953336","HathiTrust Record")</f>
        <v/>
      </c>
      <c r="AS847">
        <f>HYPERLINK("https://creighton-primo.hosted.exlibrisgroup.com/primo-explore/search?tab=default_tab&amp;search_scope=EVERYTHING&amp;vid=01CRU&amp;lang=en_US&amp;offset=0&amp;query=any,contains,991001617849702656","Catalog Record")</f>
        <v/>
      </c>
      <c r="AT847">
        <f>HYPERLINK("http://www.worldcat.org/oclc/20799477","WorldCat Record")</f>
        <v/>
      </c>
      <c r="AU847" t="inlineStr">
        <is>
          <t>894374437:eng</t>
        </is>
      </c>
      <c r="AV847" t="inlineStr">
        <is>
          <t>20799477</t>
        </is>
      </c>
      <c r="AW847" t="inlineStr">
        <is>
          <t>991001617849702656</t>
        </is>
      </c>
      <c r="AX847" t="inlineStr">
        <is>
          <t>991001617849702656</t>
        </is>
      </c>
      <c r="AY847" t="inlineStr">
        <is>
          <t>2263121240002656</t>
        </is>
      </c>
      <c r="AZ847" t="inlineStr">
        <is>
          <t>BOOK</t>
        </is>
      </c>
      <c r="BB847" t="inlineStr">
        <is>
          <t>9781555422257</t>
        </is>
      </c>
      <c r="BC847" t="inlineStr">
        <is>
          <t>32285000565241</t>
        </is>
      </c>
      <c r="BD847" t="inlineStr">
        <is>
          <t>893503529</t>
        </is>
      </c>
    </row>
    <row r="848">
      <c r="A848" t="inlineStr">
        <is>
          <t>No</t>
        </is>
      </c>
      <c r="B848" t="inlineStr">
        <is>
          <t>RC489.F45 S53 1995</t>
        </is>
      </c>
      <c r="C848" t="inlineStr">
        <is>
          <t>0                      RC 0489000F  45                 S  53          1995</t>
        </is>
      </c>
      <c r="D848" t="inlineStr">
        <is>
          <t>Tending inner gardens : the healing art of feminist psychotherapy / Lesley Irene Shore.</t>
        </is>
      </c>
      <c r="F848" t="inlineStr">
        <is>
          <t>No</t>
        </is>
      </c>
      <c r="G848" t="inlineStr">
        <is>
          <t>1</t>
        </is>
      </c>
      <c r="H848" t="inlineStr">
        <is>
          <t>No</t>
        </is>
      </c>
      <c r="I848" t="inlineStr">
        <is>
          <t>No</t>
        </is>
      </c>
      <c r="J848" t="inlineStr">
        <is>
          <t>0</t>
        </is>
      </c>
      <c r="K848" t="inlineStr">
        <is>
          <t>Shore, Lesley Irene.</t>
        </is>
      </c>
      <c r="L848" t="inlineStr">
        <is>
          <t>New York : Haworth Press, c1995.</t>
        </is>
      </c>
      <c r="M848" t="inlineStr">
        <is>
          <t>1995</t>
        </is>
      </c>
      <c r="O848" t="inlineStr">
        <is>
          <t>eng</t>
        </is>
      </c>
      <c r="P848" t="inlineStr">
        <is>
          <t>nyu</t>
        </is>
      </c>
      <c r="Q848" t="inlineStr">
        <is>
          <t>Haworth innovations in feminist studies</t>
        </is>
      </c>
      <c r="R848" t="inlineStr">
        <is>
          <t xml:space="preserve">RC </t>
        </is>
      </c>
      <c r="S848" t="n">
        <v>3</v>
      </c>
      <c r="T848" t="n">
        <v>3</v>
      </c>
      <c r="U848" t="inlineStr">
        <is>
          <t>2002-04-09</t>
        </is>
      </c>
      <c r="V848" t="inlineStr">
        <is>
          <t>2002-04-09</t>
        </is>
      </c>
      <c r="W848" t="inlineStr">
        <is>
          <t>1996-01-08</t>
        </is>
      </c>
      <c r="X848" t="inlineStr">
        <is>
          <t>1996-01-08</t>
        </is>
      </c>
      <c r="Y848" t="n">
        <v>296</v>
      </c>
      <c r="Z848" t="n">
        <v>256</v>
      </c>
      <c r="AA848" t="n">
        <v>286</v>
      </c>
      <c r="AB848" t="n">
        <v>2</v>
      </c>
      <c r="AC848" t="n">
        <v>2</v>
      </c>
      <c r="AD848" t="n">
        <v>11</v>
      </c>
      <c r="AE848" t="n">
        <v>11</v>
      </c>
      <c r="AF848" t="n">
        <v>2</v>
      </c>
      <c r="AG848" t="n">
        <v>2</v>
      </c>
      <c r="AH848" t="n">
        <v>2</v>
      </c>
      <c r="AI848" t="n">
        <v>2</v>
      </c>
      <c r="AJ848" t="n">
        <v>9</v>
      </c>
      <c r="AK848" t="n">
        <v>9</v>
      </c>
      <c r="AL848" t="n">
        <v>1</v>
      </c>
      <c r="AM848" t="n">
        <v>1</v>
      </c>
      <c r="AN848" t="n">
        <v>0</v>
      </c>
      <c r="AO848" t="n">
        <v>0</v>
      </c>
      <c r="AP848" t="inlineStr">
        <is>
          <t>No</t>
        </is>
      </c>
      <c r="AQ848" t="inlineStr">
        <is>
          <t>Yes</t>
        </is>
      </c>
      <c r="AR848">
        <f>HYPERLINK("http://catalog.hathitrust.org/Record/002955718","HathiTrust Record")</f>
        <v/>
      </c>
      <c r="AS848">
        <f>HYPERLINK("https://creighton-primo.hosted.exlibrisgroup.com/primo-explore/search?tab=default_tab&amp;search_scope=EVERYTHING&amp;vid=01CRU&amp;lang=en_US&amp;offset=0&amp;query=any,contains,991002236339702656","Catalog Record")</f>
        <v/>
      </c>
      <c r="AT848">
        <f>HYPERLINK("http://www.worldcat.org/oclc/28847649","WorldCat Record")</f>
        <v/>
      </c>
      <c r="AU848" t="inlineStr">
        <is>
          <t>1048243:eng</t>
        </is>
      </c>
      <c r="AV848" t="inlineStr">
        <is>
          <t>28847649</t>
        </is>
      </c>
      <c r="AW848" t="inlineStr">
        <is>
          <t>991002236339702656</t>
        </is>
      </c>
      <c r="AX848" t="inlineStr">
        <is>
          <t>991002236339702656</t>
        </is>
      </c>
      <c r="AY848" t="inlineStr">
        <is>
          <t>2262794630002656</t>
        </is>
      </c>
      <c r="AZ848" t="inlineStr">
        <is>
          <t>BOOK</t>
        </is>
      </c>
      <c r="BB848" t="inlineStr">
        <is>
          <t>9781560238560</t>
        </is>
      </c>
      <c r="BC848" t="inlineStr">
        <is>
          <t>32285002115664</t>
        </is>
      </c>
      <c r="BD848" t="inlineStr">
        <is>
          <t>893517046</t>
        </is>
      </c>
    </row>
    <row r="849">
      <c r="A849" t="inlineStr">
        <is>
          <t>No</t>
        </is>
      </c>
      <c r="B849" t="inlineStr">
        <is>
          <t>RC489.F45 S78</t>
        </is>
      </c>
      <c r="C849" t="inlineStr">
        <is>
          <t>0                      RC 0489000F  45                 S  78</t>
        </is>
      </c>
      <c r="D849" t="inlineStr">
        <is>
          <t>Therapy with women : a feminist philosophy of treatment / Susan Sturdivant.</t>
        </is>
      </c>
      <c r="F849" t="inlineStr">
        <is>
          <t>No</t>
        </is>
      </c>
      <c r="G849" t="inlineStr">
        <is>
          <t>1</t>
        </is>
      </c>
      <c r="H849" t="inlineStr">
        <is>
          <t>Yes</t>
        </is>
      </c>
      <c r="I849" t="inlineStr">
        <is>
          <t>No</t>
        </is>
      </c>
      <c r="J849" t="inlineStr">
        <is>
          <t>0</t>
        </is>
      </c>
      <c r="K849" t="inlineStr">
        <is>
          <t>Sturdivant, Susan.</t>
        </is>
      </c>
      <c r="L849" t="inlineStr">
        <is>
          <t>New York : Springer Pub. Co., c1980.</t>
        </is>
      </c>
      <c r="M849" t="inlineStr">
        <is>
          <t>1980</t>
        </is>
      </c>
      <c r="O849" t="inlineStr">
        <is>
          <t>eng</t>
        </is>
      </c>
      <c r="P849" t="inlineStr">
        <is>
          <t>nyu</t>
        </is>
      </c>
      <c r="Q849" t="inlineStr">
        <is>
          <t>Springer series, focus on women ; 2</t>
        </is>
      </c>
      <c r="R849" t="inlineStr">
        <is>
          <t xml:space="preserve">RC </t>
        </is>
      </c>
      <c r="S849" t="n">
        <v>3</v>
      </c>
      <c r="T849" t="n">
        <v>6</v>
      </c>
      <c r="U849" t="inlineStr">
        <is>
          <t>2002-04-09</t>
        </is>
      </c>
      <c r="V849" t="inlineStr">
        <is>
          <t>2002-04-09</t>
        </is>
      </c>
      <c r="W849" t="inlineStr">
        <is>
          <t>1992-02-01</t>
        </is>
      </c>
      <c r="X849" t="inlineStr">
        <is>
          <t>1992-02-01</t>
        </is>
      </c>
      <c r="Y849" t="n">
        <v>520</v>
      </c>
      <c r="Z849" t="n">
        <v>454</v>
      </c>
      <c r="AA849" t="n">
        <v>461</v>
      </c>
      <c r="AB849" t="n">
        <v>4</v>
      </c>
      <c r="AC849" t="n">
        <v>4</v>
      </c>
      <c r="AD849" t="n">
        <v>20</v>
      </c>
      <c r="AE849" t="n">
        <v>20</v>
      </c>
      <c r="AF849" t="n">
        <v>7</v>
      </c>
      <c r="AG849" t="n">
        <v>7</v>
      </c>
      <c r="AH849" t="n">
        <v>4</v>
      </c>
      <c r="AI849" t="n">
        <v>4</v>
      </c>
      <c r="AJ849" t="n">
        <v>11</v>
      </c>
      <c r="AK849" t="n">
        <v>11</v>
      </c>
      <c r="AL849" t="n">
        <v>2</v>
      </c>
      <c r="AM849" t="n">
        <v>2</v>
      </c>
      <c r="AN849" t="n">
        <v>0</v>
      </c>
      <c r="AO849" t="n">
        <v>0</v>
      </c>
      <c r="AP849" t="inlineStr">
        <is>
          <t>No</t>
        </is>
      </c>
      <c r="AQ849" t="inlineStr">
        <is>
          <t>Yes</t>
        </is>
      </c>
      <c r="AR849">
        <f>HYPERLINK("http://catalog.hathitrust.org/Record/000262335","HathiTrust Record")</f>
        <v/>
      </c>
      <c r="AS849">
        <f>HYPERLINK("https://creighton-primo.hosted.exlibrisgroup.com/primo-explore/search?tab=default_tab&amp;search_scope=EVERYTHING&amp;vid=01CRU&amp;lang=en_US&amp;offset=0&amp;query=any,contains,991001801769702656","Catalog Record")</f>
        <v/>
      </c>
      <c r="AT849">
        <f>HYPERLINK("http://www.worldcat.org/oclc/5894185","WorldCat Record")</f>
        <v/>
      </c>
      <c r="AU849" t="inlineStr">
        <is>
          <t>219941620:eng</t>
        </is>
      </c>
      <c r="AV849" t="inlineStr">
        <is>
          <t>5894185</t>
        </is>
      </c>
      <c r="AW849" t="inlineStr">
        <is>
          <t>991001801769702656</t>
        </is>
      </c>
      <c r="AX849" t="inlineStr">
        <is>
          <t>991001801769702656</t>
        </is>
      </c>
      <c r="AY849" t="inlineStr">
        <is>
          <t>2264356610002656</t>
        </is>
      </c>
      <c r="AZ849" t="inlineStr">
        <is>
          <t>BOOK</t>
        </is>
      </c>
      <c r="BB849" t="inlineStr">
        <is>
          <t>9780826128805</t>
        </is>
      </c>
      <c r="BC849" t="inlineStr">
        <is>
          <t>32285000933175</t>
        </is>
      </c>
      <c r="BD849" t="inlineStr">
        <is>
          <t>893420638</t>
        </is>
      </c>
    </row>
    <row r="850">
      <c r="A850" t="inlineStr">
        <is>
          <t>No</t>
        </is>
      </c>
      <c r="B850" t="inlineStr">
        <is>
          <t>RC489.F45 W67 1984</t>
        </is>
      </c>
      <c r="C850" t="inlineStr">
        <is>
          <t>0                      RC 0489000F  45                 W  67          1984</t>
        </is>
      </c>
      <c r="D850" t="inlineStr">
        <is>
          <t>Women therapists working with women : new theory and process of feminist therapy / Claire M. Brody, editor ; foreword by Florence L. Denmark.</t>
        </is>
      </c>
      <c r="F850" t="inlineStr">
        <is>
          <t>No</t>
        </is>
      </c>
      <c r="G850" t="inlineStr">
        <is>
          <t>1</t>
        </is>
      </c>
      <c r="H850" t="inlineStr">
        <is>
          <t>No</t>
        </is>
      </c>
      <c r="I850" t="inlineStr">
        <is>
          <t>No</t>
        </is>
      </c>
      <c r="J850" t="inlineStr">
        <is>
          <t>0</t>
        </is>
      </c>
      <c r="L850" t="inlineStr">
        <is>
          <t>New York : Springer, c1984.</t>
        </is>
      </c>
      <c r="M850" t="inlineStr">
        <is>
          <t>1984</t>
        </is>
      </c>
      <c r="O850" t="inlineStr">
        <is>
          <t>eng</t>
        </is>
      </c>
      <c r="P850" t="inlineStr">
        <is>
          <t>nyu</t>
        </is>
      </c>
      <c r="Q850" t="inlineStr">
        <is>
          <t>Springer series, focus on women ; v. 7</t>
        </is>
      </c>
      <c r="R850" t="inlineStr">
        <is>
          <t xml:space="preserve">RC </t>
        </is>
      </c>
      <c r="S850" t="n">
        <v>4</v>
      </c>
      <c r="T850" t="n">
        <v>4</v>
      </c>
      <c r="U850" t="inlineStr">
        <is>
          <t>2002-04-09</t>
        </is>
      </c>
      <c r="V850" t="inlineStr">
        <is>
          <t>2002-04-09</t>
        </is>
      </c>
      <c r="W850" t="inlineStr">
        <is>
          <t>1992-02-01</t>
        </is>
      </c>
      <c r="X850" t="inlineStr">
        <is>
          <t>1992-02-01</t>
        </is>
      </c>
      <c r="Y850" t="n">
        <v>430</v>
      </c>
      <c r="Z850" t="n">
        <v>363</v>
      </c>
      <c r="AA850" t="n">
        <v>365</v>
      </c>
      <c r="AB850" t="n">
        <v>2</v>
      </c>
      <c r="AC850" t="n">
        <v>2</v>
      </c>
      <c r="AD850" t="n">
        <v>15</v>
      </c>
      <c r="AE850" t="n">
        <v>15</v>
      </c>
      <c r="AF850" t="n">
        <v>2</v>
      </c>
      <c r="AG850" t="n">
        <v>2</v>
      </c>
      <c r="AH850" t="n">
        <v>5</v>
      </c>
      <c r="AI850" t="n">
        <v>5</v>
      </c>
      <c r="AJ850" t="n">
        <v>9</v>
      </c>
      <c r="AK850" t="n">
        <v>9</v>
      </c>
      <c r="AL850" t="n">
        <v>1</v>
      </c>
      <c r="AM850" t="n">
        <v>1</v>
      </c>
      <c r="AN850" t="n">
        <v>0</v>
      </c>
      <c r="AO850" t="n">
        <v>0</v>
      </c>
      <c r="AP850" t="inlineStr">
        <is>
          <t>No</t>
        </is>
      </c>
      <c r="AQ850" t="inlineStr">
        <is>
          <t>Yes</t>
        </is>
      </c>
      <c r="AR850">
        <f>HYPERLINK("http://catalog.hathitrust.org/Record/000561111","HathiTrust Record")</f>
        <v/>
      </c>
      <c r="AS850">
        <f>HYPERLINK("https://creighton-primo.hosted.exlibrisgroup.com/primo-explore/search?tab=default_tab&amp;search_scope=EVERYTHING&amp;vid=01CRU&amp;lang=en_US&amp;offset=0&amp;query=any,contains,991000432999702656","Catalog Record")</f>
        <v/>
      </c>
      <c r="AT850">
        <f>HYPERLINK("http://www.worldcat.org/oclc/10780098","WorldCat Record")</f>
        <v/>
      </c>
      <c r="AU850" t="inlineStr">
        <is>
          <t>909704920:eng</t>
        </is>
      </c>
      <c r="AV850" t="inlineStr">
        <is>
          <t>10780098</t>
        </is>
      </c>
      <c r="AW850" t="inlineStr">
        <is>
          <t>991000432999702656</t>
        </is>
      </c>
      <c r="AX850" t="inlineStr">
        <is>
          <t>991000432999702656</t>
        </is>
      </c>
      <c r="AY850" t="inlineStr">
        <is>
          <t>2255272030002656</t>
        </is>
      </c>
      <c r="AZ850" t="inlineStr">
        <is>
          <t>BOOK</t>
        </is>
      </c>
      <c r="BB850" t="inlineStr">
        <is>
          <t>9780826145505</t>
        </is>
      </c>
      <c r="BC850" t="inlineStr">
        <is>
          <t>32285000933167</t>
        </is>
      </c>
      <c r="BD850" t="inlineStr">
        <is>
          <t>893243238</t>
        </is>
      </c>
    </row>
    <row r="851">
      <c r="A851" t="inlineStr">
        <is>
          <t>No</t>
        </is>
      </c>
      <c r="B851" t="inlineStr">
        <is>
          <t>RC489.F45 W68 1987</t>
        </is>
      </c>
      <c r="C851" t="inlineStr">
        <is>
          <t>0                      RC 0489000F  45                 W  68          1987</t>
        </is>
      </c>
      <c r="D851" t="inlineStr">
        <is>
          <t>Women's therapy groups : paradigms of feminist treatment / Claire M. Brody, editor. Introd. by Hannah Lerman.</t>
        </is>
      </c>
      <c r="F851" t="inlineStr">
        <is>
          <t>No</t>
        </is>
      </c>
      <c r="G851" t="inlineStr">
        <is>
          <t>1</t>
        </is>
      </c>
      <c r="H851" t="inlineStr">
        <is>
          <t>No</t>
        </is>
      </c>
      <c r="I851" t="inlineStr">
        <is>
          <t>No</t>
        </is>
      </c>
      <c r="J851" t="inlineStr">
        <is>
          <t>0</t>
        </is>
      </c>
      <c r="L851" t="inlineStr">
        <is>
          <t>New York : Springer Pub. Co., c1987.</t>
        </is>
      </c>
      <c r="M851" t="inlineStr">
        <is>
          <t>1987</t>
        </is>
      </c>
      <c r="O851" t="inlineStr">
        <is>
          <t>eng</t>
        </is>
      </c>
      <c r="P851" t="inlineStr">
        <is>
          <t>nyu</t>
        </is>
      </c>
      <c r="Q851" t="inlineStr">
        <is>
          <t>Springer series, focus on women ; 10</t>
        </is>
      </c>
      <c r="R851" t="inlineStr">
        <is>
          <t xml:space="preserve">RC </t>
        </is>
      </c>
      <c r="S851" t="n">
        <v>2</v>
      </c>
      <c r="T851" t="n">
        <v>2</v>
      </c>
      <c r="U851" t="inlineStr">
        <is>
          <t>1995-03-01</t>
        </is>
      </c>
      <c r="V851" t="inlineStr">
        <is>
          <t>1995-03-01</t>
        </is>
      </c>
      <c r="W851" t="inlineStr">
        <is>
          <t>1992-02-01</t>
        </is>
      </c>
      <c r="X851" t="inlineStr">
        <is>
          <t>1992-02-01</t>
        </is>
      </c>
      <c r="Y851" t="n">
        <v>388</v>
      </c>
      <c r="Z851" t="n">
        <v>331</v>
      </c>
      <c r="AA851" t="n">
        <v>338</v>
      </c>
      <c r="AB851" t="n">
        <v>1</v>
      </c>
      <c r="AC851" t="n">
        <v>1</v>
      </c>
      <c r="AD851" t="n">
        <v>15</v>
      </c>
      <c r="AE851" t="n">
        <v>15</v>
      </c>
      <c r="AF851" t="n">
        <v>4</v>
      </c>
      <c r="AG851" t="n">
        <v>4</v>
      </c>
      <c r="AH851" t="n">
        <v>5</v>
      </c>
      <c r="AI851" t="n">
        <v>5</v>
      </c>
      <c r="AJ851" t="n">
        <v>10</v>
      </c>
      <c r="AK851" t="n">
        <v>10</v>
      </c>
      <c r="AL851" t="n">
        <v>0</v>
      </c>
      <c r="AM851" t="n">
        <v>0</v>
      </c>
      <c r="AN851" t="n">
        <v>0</v>
      </c>
      <c r="AO851" t="n">
        <v>0</v>
      </c>
      <c r="AP851" t="inlineStr">
        <is>
          <t>No</t>
        </is>
      </c>
      <c r="AQ851" t="inlineStr">
        <is>
          <t>Yes</t>
        </is>
      </c>
      <c r="AR851">
        <f>HYPERLINK("http://catalog.hathitrust.org/Record/000851819","HathiTrust Record")</f>
        <v/>
      </c>
      <c r="AS851">
        <f>HYPERLINK("https://creighton-primo.hosted.exlibrisgroup.com/primo-explore/search?tab=default_tab&amp;search_scope=EVERYTHING&amp;vid=01CRU&amp;lang=en_US&amp;offset=0&amp;query=any,contains,991001014209702656","Catalog Record")</f>
        <v/>
      </c>
      <c r="AT851">
        <f>HYPERLINK("http://www.worldcat.org/oclc/15316295","WorldCat Record")</f>
        <v/>
      </c>
      <c r="AU851" t="inlineStr">
        <is>
          <t>909704919:eng</t>
        </is>
      </c>
      <c r="AV851" t="inlineStr">
        <is>
          <t>15316295</t>
        </is>
      </c>
      <c r="AW851" t="inlineStr">
        <is>
          <t>991001014209702656</t>
        </is>
      </c>
      <c r="AX851" t="inlineStr">
        <is>
          <t>991001014209702656</t>
        </is>
      </c>
      <c r="AY851" t="inlineStr">
        <is>
          <t>2257953560002656</t>
        </is>
      </c>
      <c r="AZ851" t="inlineStr">
        <is>
          <t>BOOK</t>
        </is>
      </c>
      <c r="BB851" t="inlineStr">
        <is>
          <t>9780826155702</t>
        </is>
      </c>
      <c r="BC851" t="inlineStr">
        <is>
          <t>32285000933159</t>
        </is>
      </c>
      <c r="BD851" t="inlineStr">
        <is>
          <t>893522212</t>
        </is>
      </c>
    </row>
    <row r="852">
      <c r="A852" t="inlineStr">
        <is>
          <t>No</t>
        </is>
      </c>
      <c r="B852" t="inlineStr">
        <is>
          <t>RC489.F62 G46 1996</t>
        </is>
      </c>
      <c r="C852" t="inlineStr">
        <is>
          <t>0                      RC 0489000F  62                 G  46          1996</t>
        </is>
      </c>
      <c r="D852" t="inlineStr">
        <is>
          <t>Focusing-oriented psychotherapy : a manual of the experiential method / Eugene T. Gendlin.</t>
        </is>
      </c>
      <c r="F852" t="inlineStr">
        <is>
          <t>No</t>
        </is>
      </c>
      <c r="G852" t="inlineStr">
        <is>
          <t>1</t>
        </is>
      </c>
      <c r="H852" t="inlineStr">
        <is>
          <t>No</t>
        </is>
      </c>
      <c r="I852" t="inlineStr">
        <is>
          <t>No</t>
        </is>
      </c>
      <c r="J852" t="inlineStr">
        <is>
          <t>0</t>
        </is>
      </c>
      <c r="K852" t="inlineStr">
        <is>
          <t>Gendlin, Eugene T., 1926-2017.</t>
        </is>
      </c>
      <c r="L852" t="inlineStr">
        <is>
          <t>New York : Guilford Press, c1996.</t>
        </is>
      </c>
      <c r="M852" t="inlineStr">
        <is>
          <t>1996</t>
        </is>
      </c>
      <c r="O852" t="inlineStr">
        <is>
          <t>eng</t>
        </is>
      </c>
      <c r="P852" t="inlineStr">
        <is>
          <t>nyu</t>
        </is>
      </c>
      <c r="Q852" t="inlineStr">
        <is>
          <t>The practicing professional</t>
        </is>
      </c>
      <c r="R852" t="inlineStr">
        <is>
          <t xml:space="preserve">RC </t>
        </is>
      </c>
      <c r="S852" t="n">
        <v>1</v>
      </c>
      <c r="T852" t="n">
        <v>1</v>
      </c>
      <c r="U852" t="inlineStr">
        <is>
          <t>2008-04-15</t>
        </is>
      </c>
      <c r="V852" t="inlineStr">
        <is>
          <t>2008-04-15</t>
        </is>
      </c>
      <c r="W852" t="inlineStr">
        <is>
          <t>2001-01-17</t>
        </is>
      </c>
      <c r="X852" t="inlineStr">
        <is>
          <t>2001-01-17</t>
        </is>
      </c>
      <c r="Y852" t="n">
        <v>308</v>
      </c>
      <c r="Z852" t="n">
        <v>209</v>
      </c>
      <c r="AA852" t="n">
        <v>233</v>
      </c>
      <c r="AB852" t="n">
        <v>1</v>
      </c>
      <c r="AC852" t="n">
        <v>1</v>
      </c>
      <c r="AD852" t="n">
        <v>9</v>
      </c>
      <c r="AE852" t="n">
        <v>9</v>
      </c>
      <c r="AF852" t="n">
        <v>2</v>
      </c>
      <c r="AG852" t="n">
        <v>2</v>
      </c>
      <c r="AH852" t="n">
        <v>1</v>
      </c>
      <c r="AI852" t="n">
        <v>1</v>
      </c>
      <c r="AJ852" t="n">
        <v>7</v>
      </c>
      <c r="AK852" t="n">
        <v>7</v>
      </c>
      <c r="AL852" t="n">
        <v>0</v>
      </c>
      <c r="AM852" t="n">
        <v>0</v>
      </c>
      <c r="AN852" t="n">
        <v>0</v>
      </c>
      <c r="AO852" t="n">
        <v>0</v>
      </c>
      <c r="AP852" t="inlineStr">
        <is>
          <t>No</t>
        </is>
      </c>
      <c r="AQ852" t="inlineStr">
        <is>
          <t>No</t>
        </is>
      </c>
      <c r="AS852">
        <f>HYPERLINK("https://creighton-primo.hosted.exlibrisgroup.com/primo-explore/search?tab=default_tab&amp;search_scope=EVERYTHING&amp;vid=01CRU&amp;lang=en_US&amp;offset=0&amp;query=any,contains,991003349709702656","Catalog Record")</f>
        <v/>
      </c>
      <c r="AT852">
        <f>HYPERLINK("http://www.worldcat.org/oclc/34121030","WorldCat Record")</f>
        <v/>
      </c>
      <c r="AU852" t="inlineStr">
        <is>
          <t>837053501:eng</t>
        </is>
      </c>
      <c r="AV852" t="inlineStr">
        <is>
          <t>34121030</t>
        </is>
      </c>
      <c r="AW852" t="inlineStr">
        <is>
          <t>991003349709702656</t>
        </is>
      </c>
      <c r="AX852" t="inlineStr">
        <is>
          <t>991003349709702656</t>
        </is>
      </c>
      <c r="AY852" t="inlineStr">
        <is>
          <t>2269204020002656</t>
        </is>
      </c>
      <c r="AZ852" t="inlineStr">
        <is>
          <t>BOOK</t>
        </is>
      </c>
      <c r="BB852" t="inlineStr">
        <is>
          <t>9780898624793</t>
        </is>
      </c>
      <c r="BC852" t="inlineStr">
        <is>
          <t>32285004284609</t>
        </is>
      </c>
      <c r="BD852" t="inlineStr">
        <is>
          <t>893445628</t>
        </is>
      </c>
    </row>
    <row r="853">
      <c r="A853" t="inlineStr">
        <is>
          <t>No</t>
        </is>
      </c>
      <c r="B853" t="inlineStr">
        <is>
          <t>RC489.F67 .E57 2000</t>
        </is>
      </c>
      <c r="C853" t="inlineStr">
        <is>
          <t>0                      RC 0489000F  67                 E  57          2000</t>
        </is>
      </c>
      <c r="D853" t="inlineStr">
        <is>
          <t>Helping clients forgive : an empirical guide for resolving anger and restoring hope / Robert D. Enright and Richard P. Fitzgibbons.</t>
        </is>
      </c>
      <c r="F853" t="inlineStr">
        <is>
          <t>No</t>
        </is>
      </c>
      <c r="G853" t="inlineStr">
        <is>
          <t>1</t>
        </is>
      </c>
      <c r="H853" t="inlineStr">
        <is>
          <t>No</t>
        </is>
      </c>
      <c r="I853" t="inlineStr">
        <is>
          <t>No</t>
        </is>
      </c>
      <c r="J853" t="inlineStr">
        <is>
          <t>0</t>
        </is>
      </c>
      <c r="K853" t="inlineStr">
        <is>
          <t>Enright, Robert D.</t>
        </is>
      </c>
      <c r="L853" t="inlineStr">
        <is>
          <t>Washington, DC : American Psychological Association, 2000.</t>
        </is>
      </c>
      <c r="M853" t="inlineStr">
        <is>
          <t>2000</t>
        </is>
      </c>
      <c r="N853" t="inlineStr">
        <is>
          <t>1st ed.</t>
        </is>
      </c>
      <c r="O853" t="inlineStr">
        <is>
          <t>eng</t>
        </is>
      </c>
      <c r="P853" t="inlineStr">
        <is>
          <t>dcu</t>
        </is>
      </c>
      <c r="R853" t="inlineStr">
        <is>
          <t xml:space="preserve">RC </t>
        </is>
      </c>
      <c r="S853" t="n">
        <v>2</v>
      </c>
      <c r="T853" t="n">
        <v>2</v>
      </c>
      <c r="U853" t="inlineStr">
        <is>
          <t>2006-03-03</t>
        </is>
      </c>
      <c r="V853" t="inlineStr">
        <is>
          <t>2006-03-03</t>
        </is>
      </c>
      <c r="W853" t="inlineStr">
        <is>
          <t>2002-08-12</t>
        </is>
      </c>
      <c r="X853" t="inlineStr">
        <is>
          <t>2002-08-12</t>
        </is>
      </c>
      <c r="Y853" t="n">
        <v>525</v>
      </c>
      <c r="Z853" t="n">
        <v>440</v>
      </c>
      <c r="AA853" t="n">
        <v>509</v>
      </c>
      <c r="AB853" t="n">
        <v>5</v>
      </c>
      <c r="AC853" t="n">
        <v>6</v>
      </c>
      <c r="AD853" t="n">
        <v>22</v>
      </c>
      <c r="AE853" t="n">
        <v>28</v>
      </c>
      <c r="AF853" t="n">
        <v>8</v>
      </c>
      <c r="AG853" t="n">
        <v>10</v>
      </c>
      <c r="AH853" t="n">
        <v>4</v>
      </c>
      <c r="AI853" t="n">
        <v>4</v>
      </c>
      <c r="AJ853" t="n">
        <v>13</v>
      </c>
      <c r="AK853" t="n">
        <v>16</v>
      </c>
      <c r="AL853" t="n">
        <v>4</v>
      </c>
      <c r="AM853" t="n">
        <v>5</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HYPERLINK("https://creighton-primo.hosted.exlibrisgroup.com/primo-explore/search?tab=default_tab&amp;search_scope=EVERYTHING&amp;vid=01CRU&amp;lang=en_US&amp;offset=0&amp;query=any,contains,991003855019702656","Catalog Record")</f>
        <v/>
      </c>
      <c r="AT853">
        <f>HYPERLINK("http://www.worldcat.org/oclc/43656966","WorldCat Record")</f>
        <v/>
      </c>
      <c r="AU853" t="inlineStr">
        <is>
          <t>836955503:eng</t>
        </is>
      </c>
      <c r="AV853" t="inlineStr">
        <is>
          <t>43656966</t>
        </is>
      </c>
      <c r="AW853" t="inlineStr">
        <is>
          <t>991003855019702656</t>
        </is>
      </c>
      <c r="AX853" t="inlineStr">
        <is>
          <t>991003855019702656</t>
        </is>
      </c>
      <c r="AY853" t="inlineStr">
        <is>
          <t>2267755170002656</t>
        </is>
      </c>
      <c r="AZ853" t="inlineStr">
        <is>
          <t>BOOK</t>
        </is>
      </c>
      <c r="BB853" t="inlineStr">
        <is>
          <t>9781557986894</t>
        </is>
      </c>
      <c r="BC853" t="inlineStr">
        <is>
          <t>32285004642574</t>
        </is>
      </c>
      <c r="BD853" t="inlineStr">
        <is>
          <t>893894242</t>
        </is>
      </c>
    </row>
    <row r="854">
      <c r="A854" t="inlineStr">
        <is>
          <t>No</t>
        </is>
      </c>
      <c r="B854" t="inlineStr">
        <is>
          <t>RC489.G4 B49</t>
        </is>
      </c>
      <c r="C854" t="inlineStr">
        <is>
          <t>0                      RC 0489000G  4                  B  49</t>
        </is>
      </c>
      <c r="D854" t="inlineStr">
        <is>
          <t>Beyond the hot seat : Gestalt approaches to group / edited by Bud Feder and Ruth Ronall.</t>
        </is>
      </c>
      <c r="F854" t="inlineStr">
        <is>
          <t>No</t>
        </is>
      </c>
      <c r="G854" t="inlineStr">
        <is>
          <t>1</t>
        </is>
      </c>
      <c r="H854" t="inlineStr">
        <is>
          <t>No</t>
        </is>
      </c>
      <c r="I854" t="inlineStr">
        <is>
          <t>No</t>
        </is>
      </c>
      <c r="J854" t="inlineStr">
        <is>
          <t>0</t>
        </is>
      </c>
      <c r="L854" t="inlineStr">
        <is>
          <t>New York : Brunner/Mazel, c1980.</t>
        </is>
      </c>
      <c r="M854" t="inlineStr">
        <is>
          <t>1980</t>
        </is>
      </c>
      <c r="O854" t="inlineStr">
        <is>
          <t>eng</t>
        </is>
      </c>
      <c r="P854" t="inlineStr">
        <is>
          <t>nyu</t>
        </is>
      </c>
      <c r="R854" t="inlineStr">
        <is>
          <t xml:space="preserve">RC </t>
        </is>
      </c>
      <c r="S854" t="n">
        <v>1</v>
      </c>
      <c r="T854" t="n">
        <v>1</v>
      </c>
      <c r="U854" t="inlineStr">
        <is>
          <t>2001-11-14</t>
        </is>
      </c>
      <c r="V854" t="inlineStr">
        <is>
          <t>2001-11-14</t>
        </is>
      </c>
      <c r="W854" t="inlineStr">
        <is>
          <t>1993-04-12</t>
        </is>
      </c>
      <c r="X854" t="inlineStr">
        <is>
          <t>1993-04-12</t>
        </is>
      </c>
      <c r="Y854" t="n">
        <v>317</v>
      </c>
      <c r="Z854" t="n">
        <v>241</v>
      </c>
      <c r="AA854" t="n">
        <v>252</v>
      </c>
      <c r="AB854" t="n">
        <v>2</v>
      </c>
      <c r="AC854" t="n">
        <v>2</v>
      </c>
      <c r="AD854" t="n">
        <v>8</v>
      </c>
      <c r="AE854" t="n">
        <v>9</v>
      </c>
      <c r="AF854" t="n">
        <v>2</v>
      </c>
      <c r="AG854" t="n">
        <v>3</v>
      </c>
      <c r="AH854" t="n">
        <v>1</v>
      </c>
      <c r="AI854" t="n">
        <v>1</v>
      </c>
      <c r="AJ854" t="n">
        <v>7</v>
      </c>
      <c r="AK854" t="n">
        <v>7</v>
      </c>
      <c r="AL854" t="n">
        <v>1</v>
      </c>
      <c r="AM854" t="n">
        <v>1</v>
      </c>
      <c r="AN854" t="n">
        <v>0</v>
      </c>
      <c r="AO854" t="n">
        <v>0</v>
      </c>
      <c r="AP854" t="inlineStr">
        <is>
          <t>No</t>
        </is>
      </c>
      <c r="AQ854" t="inlineStr">
        <is>
          <t>Yes</t>
        </is>
      </c>
      <c r="AR854">
        <f>HYPERLINK("http://catalog.hathitrust.org/Record/000146023","HathiTrust Record")</f>
        <v/>
      </c>
      <c r="AS854">
        <f>HYPERLINK("https://creighton-primo.hosted.exlibrisgroup.com/primo-explore/search?tab=default_tab&amp;search_scope=EVERYTHING&amp;vid=01CRU&amp;lang=en_US&amp;offset=0&amp;query=any,contains,991004825169702656","Catalog Record")</f>
        <v/>
      </c>
      <c r="AT854">
        <f>HYPERLINK("http://www.worldcat.org/oclc/5353173","WorldCat Record")</f>
        <v/>
      </c>
      <c r="AU854" t="inlineStr">
        <is>
          <t>865283108:eng</t>
        </is>
      </c>
      <c r="AV854" t="inlineStr">
        <is>
          <t>5353173</t>
        </is>
      </c>
      <c r="AW854" t="inlineStr">
        <is>
          <t>991004825169702656</t>
        </is>
      </c>
      <c r="AX854" t="inlineStr">
        <is>
          <t>991004825169702656</t>
        </is>
      </c>
      <c r="AY854" t="inlineStr">
        <is>
          <t>2257536510002656</t>
        </is>
      </c>
      <c r="AZ854" t="inlineStr">
        <is>
          <t>BOOK</t>
        </is>
      </c>
      <c r="BB854" t="inlineStr">
        <is>
          <t>9780876302057</t>
        </is>
      </c>
      <c r="BC854" t="inlineStr">
        <is>
          <t>32285001616753</t>
        </is>
      </c>
      <c r="BD854" t="inlineStr">
        <is>
          <t>893332090</t>
        </is>
      </c>
    </row>
    <row r="855">
      <c r="A855" t="inlineStr">
        <is>
          <t>No</t>
        </is>
      </c>
      <c r="B855" t="inlineStr">
        <is>
          <t>RC489.G4 F3</t>
        </is>
      </c>
      <c r="C855" t="inlineStr">
        <is>
          <t>0                      RC 0489000G  4                  F  3</t>
        </is>
      </c>
      <c r="D855" t="inlineStr">
        <is>
          <t>Gestalt therapy now : theory, techniques, applications / edited by Joen Fagan and Irma Lee Shepherd.</t>
        </is>
      </c>
      <c r="F855" t="inlineStr">
        <is>
          <t>No</t>
        </is>
      </c>
      <c r="G855" t="inlineStr">
        <is>
          <t>1</t>
        </is>
      </c>
      <c r="H855" t="inlineStr">
        <is>
          <t>No</t>
        </is>
      </c>
      <c r="I855" t="inlineStr">
        <is>
          <t>No</t>
        </is>
      </c>
      <c r="J855" t="inlineStr">
        <is>
          <t>0</t>
        </is>
      </c>
      <c r="K855" t="inlineStr">
        <is>
          <t>Fagan, Joen, 1933-</t>
        </is>
      </c>
      <c r="L855" t="inlineStr">
        <is>
          <t>Palo Alto, Calif. : Science and Behavior Books, [1970]</t>
        </is>
      </c>
      <c r="M855" t="inlineStr">
        <is>
          <t>1970</t>
        </is>
      </c>
      <c r="O855" t="inlineStr">
        <is>
          <t>eng</t>
        </is>
      </c>
      <c r="P855" t="inlineStr">
        <is>
          <t>cau</t>
        </is>
      </c>
      <c r="R855" t="inlineStr">
        <is>
          <t xml:space="preserve">RC </t>
        </is>
      </c>
      <c r="S855" t="n">
        <v>8</v>
      </c>
      <c r="T855" t="n">
        <v>8</v>
      </c>
      <c r="U855" t="inlineStr">
        <is>
          <t>2008-03-12</t>
        </is>
      </c>
      <c r="V855" t="inlineStr">
        <is>
          <t>2008-03-12</t>
        </is>
      </c>
      <c r="W855" t="inlineStr">
        <is>
          <t>1990-10-25</t>
        </is>
      </c>
      <c r="X855" t="inlineStr">
        <is>
          <t>1990-10-25</t>
        </is>
      </c>
      <c r="Y855" t="n">
        <v>764</v>
      </c>
      <c r="Z855" t="n">
        <v>659</v>
      </c>
      <c r="AA855" t="n">
        <v>888</v>
      </c>
      <c r="AB855" t="n">
        <v>3</v>
      </c>
      <c r="AC855" t="n">
        <v>5</v>
      </c>
      <c r="AD855" t="n">
        <v>31</v>
      </c>
      <c r="AE855" t="n">
        <v>37</v>
      </c>
      <c r="AF855" t="n">
        <v>16</v>
      </c>
      <c r="AG855" t="n">
        <v>17</v>
      </c>
      <c r="AH855" t="n">
        <v>6</v>
      </c>
      <c r="AI855" t="n">
        <v>8</v>
      </c>
      <c r="AJ855" t="n">
        <v>15</v>
      </c>
      <c r="AK855" t="n">
        <v>17</v>
      </c>
      <c r="AL855" t="n">
        <v>2</v>
      </c>
      <c r="AM855" t="n">
        <v>4</v>
      </c>
      <c r="AN855" t="n">
        <v>0</v>
      </c>
      <c r="AO855" t="n">
        <v>0</v>
      </c>
      <c r="AP855" t="inlineStr">
        <is>
          <t>No</t>
        </is>
      </c>
      <c r="AQ855" t="inlineStr">
        <is>
          <t>Yes</t>
        </is>
      </c>
      <c r="AR855">
        <f>HYPERLINK("http://catalog.hathitrust.org/Record/001564728","HathiTrust Record")</f>
        <v/>
      </c>
      <c r="AS855">
        <f>HYPERLINK("https://creighton-primo.hosted.exlibrisgroup.com/primo-explore/search?tab=default_tab&amp;search_scope=EVERYTHING&amp;vid=01CRU&amp;lang=en_US&amp;offset=0&amp;query=any,contains,991000143669702656","Catalog Record")</f>
        <v/>
      </c>
      <c r="AT855">
        <f>HYPERLINK("http://www.worldcat.org/oclc/58442","WorldCat Record")</f>
        <v/>
      </c>
      <c r="AU855" t="inlineStr">
        <is>
          <t>1090557559:eng</t>
        </is>
      </c>
      <c r="AV855" t="inlineStr">
        <is>
          <t>58442</t>
        </is>
      </c>
      <c r="AW855" t="inlineStr">
        <is>
          <t>991000143669702656</t>
        </is>
      </c>
      <c r="AX855" t="inlineStr">
        <is>
          <t>991000143669702656</t>
        </is>
      </c>
      <c r="AY855" t="inlineStr">
        <is>
          <t>2260061520002656</t>
        </is>
      </c>
      <c r="AZ855" t="inlineStr">
        <is>
          <t>BOOK</t>
        </is>
      </c>
      <c r="BB855" t="inlineStr">
        <is>
          <t>9780831400231</t>
        </is>
      </c>
      <c r="BC855" t="inlineStr">
        <is>
          <t>32285000353986</t>
        </is>
      </c>
      <c r="BD855" t="inlineStr">
        <is>
          <t>893777728</t>
        </is>
      </c>
    </row>
    <row r="856">
      <c r="A856" t="inlineStr">
        <is>
          <t>No</t>
        </is>
      </c>
      <c r="B856" t="inlineStr">
        <is>
          <t>RC489.G4 L37</t>
        </is>
      </c>
      <c r="C856" t="inlineStr">
        <is>
          <t>0                      RC 0489000G  4                  L  37</t>
        </is>
      </c>
      <c r="D856" t="inlineStr">
        <is>
          <t>The Gestalt therapy book : a holistic guide to the theory, principles, and techniques of Gestalt therapy developed by Frederick S. Perls and others.</t>
        </is>
      </c>
      <c r="F856" t="inlineStr">
        <is>
          <t>No</t>
        </is>
      </c>
      <c r="G856" t="inlineStr">
        <is>
          <t>1</t>
        </is>
      </c>
      <c r="H856" t="inlineStr">
        <is>
          <t>No</t>
        </is>
      </c>
      <c r="I856" t="inlineStr">
        <is>
          <t>No</t>
        </is>
      </c>
      <c r="J856" t="inlineStr">
        <is>
          <t>0</t>
        </is>
      </c>
      <c r="K856" t="inlineStr">
        <is>
          <t>Latner, Joel.</t>
        </is>
      </c>
      <c r="L856" t="inlineStr">
        <is>
          <t>New York : Julian Press, [1973]</t>
        </is>
      </c>
      <c r="M856" t="inlineStr">
        <is>
          <t>1973</t>
        </is>
      </c>
      <c r="O856" t="inlineStr">
        <is>
          <t>eng</t>
        </is>
      </c>
      <c r="P856" t="inlineStr">
        <is>
          <t>nyu</t>
        </is>
      </c>
      <c r="R856" t="inlineStr">
        <is>
          <t xml:space="preserve">RC </t>
        </is>
      </c>
      <c r="S856" t="n">
        <v>6</v>
      </c>
      <c r="T856" t="n">
        <v>6</v>
      </c>
      <c r="U856" t="inlineStr">
        <is>
          <t>1994-11-05</t>
        </is>
      </c>
      <c r="V856" t="inlineStr">
        <is>
          <t>1994-11-05</t>
        </is>
      </c>
      <c r="W856" t="inlineStr">
        <is>
          <t>1991-09-27</t>
        </is>
      </c>
      <c r="X856" t="inlineStr">
        <is>
          <t>1991-09-27</t>
        </is>
      </c>
      <c r="Y856" t="n">
        <v>439</v>
      </c>
      <c r="Z856" t="n">
        <v>387</v>
      </c>
      <c r="AA856" t="n">
        <v>545</v>
      </c>
      <c r="AB856" t="n">
        <v>3</v>
      </c>
      <c r="AC856" t="n">
        <v>6</v>
      </c>
      <c r="AD856" t="n">
        <v>13</v>
      </c>
      <c r="AE856" t="n">
        <v>22</v>
      </c>
      <c r="AF856" t="n">
        <v>4</v>
      </c>
      <c r="AG856" t="n">
        <v>7</v>
      </c>
      <c r="AH856" t="n">
        <v>3</v>
      </c>
      <c r="AI856" t="n">
        <v>4</v>
      </c>
      <c r="AJ856" t="n">
        <v>8</v>
      </c>
      <c r="AK856" t="n">
        <v>11</v>
      </c>
      <c r="AL856" t="n">
        <v>2</v>
      </c>
      <c r="AM856" t="n">
        <v>5</v>
      </c>
      <c r="AN856" t="n">
        <v>0</v>
      </c>
      <c r="AO856" t="n">
        <v>0</v>
      </c>
      <c r="AP856" t="inlineStr">
        <is>
          <t>No</t>
        </is>
      </c>
      <c r="AQ856" t="inlineStr">
        <is>
          <t>Yes</t>
        </is>
      </c>
      <c r="AR856">
        <f>HYPERLINK("http://catalog.hathitrust.org/Record/001564730","HathiTrust Record")</f>
        <v/>
      </c>
      <c r="AS856">
        <f>HYPERLINK("https://creighton-primo.hosted.exlibrisgroup.com/primo-explore/search?tab=default_tab&amp;search_scope=EVERYTHING&amp;vid=01CRU&amp;lang=en_US&amp;offset=0&amp;query=any,contains,991003273169702656","Catalog Record")</f>
        <v/>
      </c>
      <c r="AT856">
        <f>HYPERLINK("http://www.worldcat.org/oclc/797987","WorldCat Record")</f>
        <v/>
      </c>
      <c r="AU856" t="inlineStr">
        <is>
          <t>1773651:eng</t>
        </is>
      </c>
      <c r="AV856" t="inlineStr">
        <is>
          <t>797987</t>
        </is>
      </c>
      <c r="AW856" t="inlineStr">
        <is>
          <t>991003273169702656</t>
        </is>
      </c>
      <c r="AX856" t="inlineStr">
        <is>
          <t>991003273169702656</t>
        </is>
      </c>
      <c r="AY856" t="inlineStr">
        <is>
          <t>2261017620002656</t>
        </is>
      </c>
      <c r="AZ856" t="inlineStr">
        <is>
          <t>BOOK</t>
        </is>
      </c>
      <c r="BC856" t="inlineStr">
        <is>
          <t>32285000760164</t>
        </is>
      </c>
      <c r="BD856" t="inlineStr">
        <is>
          <t>893617177</t>
        </is>
      </c>
    </row>
    <row r="857">
      <c r="A857" t="inlineStr">
        <is>
          <t>No</t>
        </is>
      </c>
      <c r="B857" t="inlineStr">
        <is>
          <t>RC489.G4 R68 1975</t>
        </is>
      </c>
      <c r="C857" t="inlineStr">
        <is>
          <t>0                      RC 0489000G  4                  R  68          1975</t>
        </is>
      </c>
      <c r="D857" t="inlineStr">
        <is>
          <t>Opening doors : what happens in Gestalt therapy / Daniel Rosenblatt.</t>
        </is>
      </c>
      <c r="F857" t="inlineStr">
        <is>
          <t>No</t>
        </is>
      </c>
      <c r="G857" t="inlineStr">
        <is>
          <t>1</t>
        </is>
      </c>
      <c r="H857" t="inlineStr">
        <is>
          <t>No</t>
        </is>
      </c>
      <c r="I857" t="inlineStr">
        <is>
          <t>No</t>
        </is>
      </c>
      <c r="J857" t="inlineStr">
        <is>
          <t>0</t>
        </is>
      </c>
      <c r="K857" t="inlineStr">
        <is>
          <t>Rosenblatt, Daniel.</t>
        </is>
      </c>
      <c r="L857" t="inlineStr">
        <is>
          <t>New York : Harper &amp; Row, c1975.</t>
        </is>
      </c>
      <c r="M857" t="inlineStr">
        <is>
          <t>1975</t>
        </is>
      </c>
      <c r="N857" t="inlineStr">
        <is>
          <t>1st ed.</t>
        </is>
      </c>
      <c r="O857" t="inlineStr">
        <is>
          <t>eng</t>
        </is>
      </c>
      <c r="P857" t="inlineStr">
        <is>
          <t>nyu</t>
        </is>
      </c>
      <c r="R857" t="inlineStr">
        <is>
          <t xml:space="preserve">RC </t>
        </is>
      </c>
      <c r="S857" t="n">
        <v>4</v>
      </c>
      <c r="T857" t="n">
        <v>4</v>
      </c>
      <c r="U857" t="inlineStr">
        <is>
          <t>1994-11-05</t>
        </is>
      </c>
      <c r="V857" t="inlineStr">
        <is>
          <t>1994-11-05</t>
        </is>
      </c>
      <c r="W857" t="inlineStr">
        <is>
          <t>1990-10-25</t>
        </is>
      </c>
      <c r="X857" t="inlineStr">
        <is>
          <t>1990-10-25</t>
        </is>
      </c>
      <c r="Y857" t="n">
        <v>576</v>
      </c>
      <c r="Z857" t="n">
        <v>529</v>
      </c>
      <c r="AA857" t="n">
        <v>566</v>
      </c>
      <c r="AB857" t="n">
        <v>5</v>
      </c>
      <c r="AC857" t="n">
        <v>5</v>
      </c>
      <c r="AD857" t="n">
        <v>20</v>
      </c>
      <c r="AE857" t="n">
        <v>23</v>
      </c>
      <c r="AF857" t="n">
        <v>10</v>
      </c>
      <c r="AG857" t="n">
        <v>11</v>
      </c>
      <c r="AH857" t="n">
        <v>1</v>
      </c>
      <c r="AI857" t="n">
        <v>2</v>
      </c>
      <c r="AJ857" t="n">
        <v>11</v>
      </c>
      <c r="AK857" t="n">
        <v>12</v>
      </c>
      <c r="AL857" t="n">
        <v>3</v>
      </c>
      <c r="AM857" t="n">
        <v>3</v>
      </c>
      <c r="AN857" t="n">
        <v>0</v>
      </c>
      <c r="AO857" t="n">
        <v>0</v>
      </c>
      <c r="AP857" t="inlineStr">
        <is>
          <t>No</t>
        </is>
      </c>
      <c r="AQ857" t="inlineStr">
        <is>
          <t>Yes</t>
        </is>
      </c>
      <c r="AR857">
        <f>HYPERLINK("http://catalog.hathitrust.org/Record/000044135","HathiTrust Record")</f>
        <v/>
      </c>
      <c r="AS857">
        <f>HYPERLINK("https://creighton-primo.hosted.exlibrisgroup.com/primo-explore/search?tab=default_tab&amp;search_scope=EVERYTHING&amp;vid=01CRU&amp;lang=en_US&amp;offset=0&amp;query=any,contains,991003865129702656","Catalog Record")</f>
        <v/>
      </c>
      <c r="AT857">
        <f>HYPERLINK("http://www.worldcat.org/oclc/1676146","WorldCat Record")</f>
        <v/>
      </c>
      <c r="AU857" t="inlineStr">
        <is>
          <t>2513452:eng</t>
        </is>
      </c>
      <c r="AV857" t="inlineStr">
        <is>
          <t>1676146</t>
        </is>
      </c>
      <c r="AW857" t="inlineStr">
        <is>
          <t>991003865129702656</t>
        </is>
      </c>
      <c r="AX857" t="inlineStr">
        <is>
          <t>991003865129702656</t>
        </is>
      </c>
      <c r="AY857" t="inlineStr">
        <is>
          <t>2267698960002656</t>
        </is>
      </c>
      <c r="AZ857" t="inlineStr">
        <is>
          <t>BOOK</t>
        </is>
      </c>
      <c r="BB857" t="inlineStr">
        <is>
          <t>9780060136536</t>
        </is>
      </c>
      <c r="BC857" t="inlineStr">
        <is>
          <t>32285000353994</t>
        </is>
      </c>
      <c r="BD857" t="inlineStr">
        <is>
          <t>893868971</t>
        </is>
      </c>
    </row>
    <row r="858">
      <c r="A858" t="inlineStr">
        <is>
          <t>No</t>
        </is>
      </c>
      <c r="B858" t="inlineStr">
        <is>
          <t>RC489.G4 S54</t>
        </is>
      </c>
      <c r="C858" t="inlineStr">
        <is>
          <t>0                      RC 0489000G  4                  S  54</t>
        </is>
      </c>
      <c r="D858" t="inlineStr">
        <is>
          <t>Gestalt therapy mini-lectures / James S. Simkin ; edited by Abraham Levitsky and Zoe Snyder.</t>
        </is>
      </c>
      <c r="F858" t="inlineStr">
        <is>
          <t>No</t>
        </is>
      </c>
      <c r="G858" t="inlineStr">
        <is>
          <t>1</t>
        </is>
      </c>
      <c r="H858" t="inlineStr">
        <is>
          <t>No</t>
        </is>
      </c>
      <c r="I858" t="inlineStr">
        <is>
          <t>No</t>
        </is>
      </c>
      <c r="J858" t="inlineStr">
        <is>
          <t>0</t>
        </is>
      </c>
      <c r="K858" t="inlineStr">
        <is>
          <t>Simkin, James S. (James Solomon), 1919-</t>
        </is>
      </c>
      <c r="L858" t="inlineStr">
        <is>
          <t>Millbrae, Calif. : Celestial Arts, c1976.</t>
        </is>
      </c>
      <c r="M858" t="inlineStr">
        <is>
          <t>1976</t>
        </is>
      </c>
      <c r="O858" t="inlineStr">
        <is>
          <t>eng</t>
        </is>
      </c>
      <c r="P858" t="inlineStr">
        <is>
          <t>cau</t>
        </is>
      </c>
      <c r="R858" t="inlineStr">
        <is>
          <t xml:space="preserve">RC </t>
        </is>
      </c>
      <c r="S858" t="n">
        <v>2</v>
      </c>
      <c r="T858" t="n">
        <v>2</v>
      </c>
      <c r="U858" t="inlineStr">
        <is>
          <t>1996-12-01</t>
        </is>
      </c>
      <c r="V858" t="inlineStr">
        <is>
          <t>1996-12-01</t>
        </is>
      </c>
      <c r="W858" t="inlineStr">
        <is>
          <t>1993-12-01</t>
        </is>
      </c>
      <c r="X858" t="inlineStr">
        <is>
          <t>1993-12-01</t>
        </is>
      </c>
      <c r="Y858" t="n">
        <v>199</v>
      </c>
      <c r="Z858" t="n">
        <v>167</v>
      </c>
      <c r="AA858" t="n">
        <v>183</v>
      </c>
      <c r="AB858" t="n">
        <v>2</v>
      </c>
      <c r="AC858" t="n">
        <v>2</v>
      </c>
      <c r="AD858" t="n">
        <v>4</v>
      </c>
      <c r="AE858" t="n">
        <v>4</v>
      </c>
      <c r="AF858" t="n">
        <v>0</v>
      </c>
      <c r="AG858" t="n">
        <v>0</v>
      </c>
      <c r="AH858" t="n">
        <v>1</v>
      </c>
      <c r="AI858" t="n">
        <v>1</v>
      </c>
      <c r="AJ858" t="n">
        <v>3</v>
      </c>
      <c r="AK858" t="n">
        <v>3</v>
      </c>
      <c r="AL858" t="n">
        <v>1</v>
      </c>
      <c r="AM858" t="n">
        <v>1</v>
      </c>
      <c r="AN858" t="n">
        <v>0</v>
      </c>
      <c r="AO858" t="n">
        <v>0</v>
      </c>
      <c r="AP858" t="inlineStr">
        <is>
          <t>No</t>
        </is>
      </c>
      <c r="AQ858" t="inlineStr">
        <is>
          <t>Yes</t>
        </is>
      </c>
      <c r="AR858">
        <f>HYPERLINK("http://catalog.hathitrust.org/Record/000084014","HathiTrust Record")</f>
        <v/>
      </c>
      <c r="AS858">
        <f>HYPERLINK("https://creighton-primo.hosted.exlibrisgroup.com/primo-explore/search?tab=default_tab&amp;search_scope=EVERYTHING&amp;vid=01CRU&amp;lang=en_US&amp;offset=0&amp;query=any,contains,991004148929702656","Catalog Record")</f>
        <v/>
      </c>
      <c r="AT858">
        <f>HYPERLINK("http://www.worldcat.org/oclc/2521197","WorldCat Record")</f>
        <v/>
      </c>
      <c r="AU858" t="inlineStr">
        <is>
          <t>5352586:eng</t>
        </is>
      </c>
      <c r="AV858" t="inlineStr">
        <is>
          <t>2521197</t>
        </is>
      </c>
      <c r="AW858" t="inlineStr">
        <is>
          <t>991004148929702656</t>
        </is>
      </c>
      <c r="AX858" t="inlineStr">
        <is>
          <t>991004148929702656</t>
        </is>
      </c>
      <c r="AY858" t="inlineStr">
        <is>
          <t>2269172930002656</t>
        </is>
      </c>
      <c r="AZ858" t="inlineStr">
        <is>
          <t>BOOK</t>
        </is>
      </c>
      <c r="BB858" t="inlineStr">
        <is>
          <t>9780890871706</t>
        </is>
      </c>
      <c r="BC858" t="inlineStr">
        <is>
          <t>32285001814978</t>
        </is>
      </c>
      <c r="BD858" t="inlineStr">
        <is>
          <t>893687427</t>
        </is>
      </c>
    </row>
    <row r="859">
      <c r="A859" t="inlineStr">
        <is>
          <t>No</t>
        </is>
      </c>
      <c r="B859" t="inlineStr">
        <is>
          <t>RC489.G4 V36 1980</t>
        </is>
      </c>
      <c r="C859" t="inlineStr">
        <is>
          <t>0                      RC 0489000G  4                  V  36          1980</t>
        </is>
      </c>
      <c r="D859" t="inlineStr">
        <is>
          <t>Gestalt therapy, an introduction / Vernon Van De Riet, Margaret P. Korb, John Jeffrey Gorrell.</t>
        </is>
      </c>
      <c r="F859" t="inlineStr">
        <is>
          <t>No</t>
        </is>
      </c>
      <c r="G859" t="inlineStr">
        <is>
          <t>1</t>
        </is>
      </c>
      <c r="H859" t="inlineStr">
        <is>
          <t>No</t>
        </is>
      </c>
      <c r="I859" t="inlineStr">
        <is>
          <t>No</t>
        </is>
      </c>
      <c r="J859" t="inlineStr">
        <is>
          <t>0</t>
        </is>
      </c>
      <c r="K859" t="inlineStr">
        <is>
          <t>Van De Riet, Vernon, 1935-</t>
        </is>
      </c>
      <c r="L859" t="inlineStr">
        <is>
          <t>New York : Pergamon Press, c1980.</t>
        </is>
      </c>
      <c r="M859" t="inlineStr">
        <is>
          <t>1980</t>
        </is>
      </c>
      <c r="O859" t="inlineStr">
        <is>
          <t>eng</t>
        </is>
      </c>
      <c r="P859" t="inlineStr">
        <is>
          <t>nyu</t>
        </is>
      </c>
      <c r="Q859" t="inlineStr">
        <is>
          <t>Pergamon general psychology series ; 92</t>
        </is>
      </c>
      <c r="R859" t="inlineStr">
        <is>
          <t xml:space="preserve">RC </t>
        </is>
      </c>
      <c r="S859" t="n">
        <v>7</v>
      </c>
      <c r="T859" t="n">
        <v>7</v>
      </c>
      <c r="U859" t="inlineStr">
        <is>
          <t>2001-03-31</t>
        </is>
      </c>
      <c r="V859" t="inlineStr">
        <is>
          <t>2001-03-31</t>
        </is>
      </c>
      <c r="W859" t="inlineStr">
        <is>
          <t>1990-04-06</t>
        </is>
      </c>
      <c r="X859" t="inlineStr">
        <is>
          <t>1990-04-06</t>
        </is>
      </c>
      <c r="Y859" t="n">
        <v>514</v>
      </c>
      <c r="Z859" t="n">
        <v>415</v>
      </c>
      <c r="AA859" t="n">
        <v>416</v>
      </c>
      <c r="AB859" t="n">
        <v>3</v>
      </c>
      <c r="AC859" t="n">
        <v>3</v>
      </c>
      <c r="AD859" t="n">
        <v>20</v>
      </c>
      <c r="AE859" t="n">
        <v>20</v>
      </c>
      <c r="AF859" t="n">
        <v>8</v>
      </c>
      <c r="AG859" t="n">
        <v>8</v>
      </c>
      <c r="AH859" t="n">
        <v>4</v>
      </c>
      <c r="AI859" t="n">
        <v>4</v>
      </c>
      <c r="AJ859" t="n">
        <v>11</v>
      </c>
      <c r="AK859" t="n">
        <v>11</v>
      </c>
      <c r="AL859" t="n">
        <v>2</v>
      </c>
      <c r="AM859" t="n">
        <v>2</v>
      </c>
      <c r="AN859" t="n">
        <v>0</v>
      </c>
      <c r="AO859" t="n">
        <v>0</v>
      </c>
      <c r="AP859" t="inlineStr">
        <is>
          <t>No</t>
        </is>
      </c>
      <c r="AQ859" t="inlineStr">
        <is>
          <t>Yes</t>
        </is>
      </c>
      <c r="AR859">
        <f>HYPERLINK("http://catalog.hathitrust.org/Record/101933092","HathiTrust Record")</f>
        <v/>
      </c>
      <c r="AS859">
        <f>HYPERLINK("https://creighton-primo.hosted.exlibrisgroup.com/primo-explore/search?tab=default_tab&amp;search_scope=EVERYTHING&amp;vid=01CRU&amp;lang=en_US&amp;offset=0&amp;query=any,contains,991004930449702656","Catalog Record")</f>
        <v/>
      </c>
      <c r="AT859">
        <f>HYPERLINK("http://www.worldcat.org/oclc/6092562","WorldCat Record")</f>
        <v/>
      </c>
      <c r="AU859" t="inlineStr">
        <is>
          <t>407698:eng</t>
        </is>
      </c>
      <c r="AV859" t="inlineStr">
        <is>
          <t>6092562</t>
        </is>
      </c>
      <c r="AW859" t="inlineStr">
        <is>
          <t>991004930449702656</t>
        </is>
      </c>
      <c r="AX859" t="inlineStr">
        <is>
          <t>991004930449702656</t>
        </is>
      </c>
      <c r="AY859" t="inlineStr">
        <is>
          <t>2263403560002656</t>
        </is>
      </c>
      <c r="AZ859" t="inlineStr">
        <is>
          <t>BOOK</t>
        </is>
      </c>
      <c r="BB859" t="inlineStr">
        <is>
          <t>9780080255866</t>
        </is>
      </c>
      <c r="BC859" t="inlineStr">
        <is>
          <t>32285000112036</t>
        </is>
      </c>
      <c r="BD859" t="inlineStr">
        <is>
          <t>893520184</t>
        </is>
      </c>
    </row>
    <row r="860">
      <c r="A860" t="inlineStr">
        <is>
          <t>No</t>
        </is>
      </c>
      <c r="B860" t="inlineStr">
        <is>
          <t>RC489.G4 Z56 1978</t>
        </is>
      </c>
      <c r="C860" t="inlineStr">
        <is>
          <t>0                      RC 0489000G  4                  Z  56          1978</t>
        </is>
      </c>
      <c r="D860" t="inlineStr">
        <is>
          <t>Creative process in Gestalt therapy / Joseph Zinker. --</t>
        </is>
      </c>
      <c r="F860" t="inlineStr">
        <is>
          <t>No</t>
        </is>
      </c>
      <c r="G860" t="inlineStr">
        <is>
          <t>1</t>
        </is>
      </c>
      <c r="H860" t="inlineStr">
        <is>
          <t>No</t>
        </is>
      </c>
      <c r="I860" t="inlineStr">
        <is>
          <t>No</t>
        </is>
      </c>
      <c r="J860" t="inlineStr">
        <is>
          <t>0</t>
        </is>
      </c>
      <c r="K860" t="inlineStr">
        <is>
          <t>Zinker, Joseph C. (Joseph Chaim)</t>
        </is>
      </c>
      <c r="L860" t="inlineStr">
        <is>
          <t>New York : Vintage Books, 1978.</t>
        </is>
      </c>
      <c r="M860" t="inlineStr">
        <is>
          <t>1978</t>
        </is>
      </c>
      <c r="O860" t="inlineStr">
        <is>
          <t>eng</t>
        </is>
      </c>
      <c r="P860" t="inlineStr">
        <is>
          <t>nyu</t>
        </is>
      </c>
      <c r="R860" t="inlineStr">
        <is>
          <t xml:space="preserve">RC </t>
        </is>
      </c>
      <c r="S860" t="n">
        <v>4</v>
      </c>
      <c r="T860" t="n">
        <v>4</v>
      </c>
      <c r="U860" t="inlineStr">
        <is>
          <t>2000-04-01</t>
        </is>
      </c>
      <c r="V860" t="inlineStr">
        <is>
          <t>2000-04-01</t>
        </is>
      </c>
      <c r="W860" t="inlineStr">
        <is>
          <t>1993-03-09</t>
        </is>
      </c>
      <c r="X860" t="inlineStr">
        <is>
          <t>1993-03-09</t>
        </is>
      </c>
      <c r="Y860" t="n">
        <v>192</v>
      </c>
      <c r="Z860" t="n">
        <v>159</v>
      </c>
      <c r="AA860" t="n">
        <v>503</v>
      </c>
      <c r="AB860" t="n">
        <v>2</v>
      </c>
      <c r="AC860" t="n">
        <v>3</v>
      </c>
      <c r="AD860" t="n">
        <v>6</v>
      </c>
      <c r="AE860" t="n">
        <v>22</v>
      </c>
      <c r="AF860" t="n">
        <v>4</v>
      </c>
      <c r="AG860" t="n">
        <v>9</v>
      </c>
      <c r="AH860" t="n">
        <v>0</v>
      </c>
      <c r="AI860" t="n">
        <v>4</v>
      </c>
      <c r="AJ860" t="n">
        <v>3</v>
      </c>
      <c r="AK860" t="n">
        <v>15</v>
      </c>
      <c r="AL860" t="n">
        <v>1</v>
      </c>
      <c r="AM860" t="n">
        <v>2</v>
      </c>
      <c r="AN860" t="n">
        <v>0</v>
      </c>
      <c r="AO860" t="n">
        <v>0</v>
      </c>
      <c r="AP860" t="inlineStr">
        <is>
          <t>No</t>
        </is>
      </c>
      <c r="AQ860" t="inlineStr">
        <is>
          <t>No</t>
        </is>
      </c>
      <c r="AS860">
        <f>HYPERLINK("https://creighton-primo.hosted.exlibrisgroup.com/primo-explore/search?tab=default_tab&amp;search_scope=EVERYTHING&amp;vid=01CRU&amp;lang=en_US&amp;offset=0&amp;query=any,contains,991004507739702656","Catalog Record")</f>
        <v/>
      </c>
      <c r="AT860">
        <f>HYPERLINK("http://www.worldcat.org/oclc/3748209","WorldCat Record")</f>
        <v/>
      </c>
      <c r="AU860" t="inlineStr">
        <is>
          <t>464406:eng</t>
        </is>
      </c>
      <c r="AV860" t="inlineStr">
        <is>
          <t>3748209</t>
        </is>
      </c>
      <c r="AW860" t="inlineStr">
        <is>
          <t>991004507739702656</t>
        </is>
      </c>
      <c r="AX860" t="inlineStr">
        <is>
          <t>991004507739702656</t>
        </is>
      </c>
      <c r="AY860" t="inlineStr">
        <is>
          <t>2269228420002656</t>
        </is>
      </c>
      <c r="AZ860" t="inlineStr">
        <is>
          <t>BOOK</t>
        </is>
      </c>
      <c r="BB860" t="inlineStr">
        <is>
          <t>9780394725673</t>
        </is>
      </c>
      <c r="BC860" t="inlineStr">
        <is>
          <t>32285001498129</t>
        </is>
      </c>
      <c r="BD860" t="inlineStr">
        <is>
          <t>893888799</t>
        </is>
      </c>
    </row>
    <row r="861">
      <c r="A861" t="inlineStr">
        <is>
          <t>No</t>
        </is>
      </c>
      <c r="B861" t="inlineStr">
        <is>
          <t>RC489.L6 F33 1980</t>
        </is>
      </c>
      <c r="C861" t="inlineStr">
        <is>
          <t>0                      RC 0489000L  6                  F  33          1980</t>
        </is>
      </c>
      <c r="D861" t="inlineStr">
        <is>
          <t>The pursuit of meaning : Viktor Frankl, logotherapy, and life / Joseph B. Fabry.</t>
        </is>
      </c>
      <c r="F861" t="inlineStr">
        <is>
          <t>No</t>
        </is>
      </c>
      <c r="G861" t="inlineStr">
        <is>
          <t>1</t>
        </is>
      </c>
      <c r="H861" t="inlineStr">
        <is>
          <t>No</t>
        </is>
      </c>
      <c r="I861" t="inlineStr">
        <is>
          <t>No</t>
        </is>
      </c>
      <c r="J861" t="inlineStr">
        <is>
          <t>0</t>
        </is>
      </c>
      <c r="K861" t="inlineStr">
        <is>
          <t>Fabry, Joseph B.</t>
        </is>
      </c>
      <c r="L861" t="inlineStr">
        <is>
          <t>San Francisco : Harper &amp; Row, c1980.</t>
        </is>
      </c>
      <c r="M861" t="inlineStr">
        <is>
          <t>1980</t>
        </is>
      </c>
      <c r="N861" t="inlineStr">
        <is>
          <t>Rev. ed.</t>
        </is>
      </c>
      <c r="O861" t="inlineStr">
        <is>
          <t>eng</t>
        </is>
      </c>
      <c r="P861" t="inlineStr">
        <is>
          <t>cau</t>
        </is>
      </c>
      <c r="R861" t="inlineStr">
        <is>
          <t xml:space="preserve">RC </t>
        </is>
      </c>
      <c r="S861" t="n">
        <v>6</v>
      </c>
      <c r="T861" t="n">
        <v>6</v>
      </c>
      <c r="U861" t="inlineStr">
        <is>
          <t>2007-03-27</t>
        </is>
      </c>
      <c r="V861" t="inlineStr">
        <is>
          <t>2007-03-27</t>
        </is>
      </c>
      <c r="W861" t="inlineStr">
        <is>
          <t>1991-12-16</t>
        </is>
      </c>
      <c r="X861" t="inlineStr">
        <is>
          <t>1991-12-16</t>
        </is>
      </c>
      <c r="Y861" t="n">
        <v>134</v>
      </c>
      <c r="Z861" t="n">
        <v>114</v>
      </c>
      <c r="AA861" t="n">
        <v>157</v>
      </c>
      <c r="AB861" t="n">
        <v>1</v>
      </c>
      <c r="AC861" t="n">
        <v>2</v>
      </c>
      <c r="AD861" t="n">
        <v>3</v>
      </c>
      <c r="AE861" t="n">
        <v>4</v>
      </c>
      <c r="AF861" t="n">
        <v>0</v>
      </c>
      <c r="AG861" t="n">
        <v>0</v>
      </c>
      <c r="AH861" t="n">
        <v>1</v>
      </c>
      <c r="AI861" t="n">
        <v>1</v>
      </c>
      <c r="AJ861" t="n">
        <v>2</v>
      </c>
      <c r="AK861" t="n">
        <v>2</v>
      </c>
      <c r="AL861" t="n">
        <v>0</v>
      </c>
      <c r="AM861" t="n">
        <v>1</v>
      </c>
      <c r="AN861" t="n">
        <v>0</v>
      </c>
      <c r="AO861" t="n">
        <v>0</v>
      </c>
      <c r="AP861" t="inlineStr">
        <is>
          <t>No</t>
        </is>
      </c>
      <c r="AQ861" t="inlineStr">
        <is>
          <t>No</t>
        </is>
      </c>
      <c r="AS861">
        <f>HYPERLINK("https://creighton-primo.hosted.exlibrisgroup.com/primo-explore/search?tab=default_tab&amp;search_scope=EVERYTHING&amp;vid=01CRU&amp;lang=en_US&amp;offset=0&amp;query=any,contains,991004841309702656","Catalog Record")</f>
        <v/>
      </c>
      <c r="AT861">
        <f>HYPERLINK("http://www.worldcat.org/oclc/5498840","WorldCat Record")</f>
        <v/>
      </c>
      <c r="AU861" t="inlineStr">
        <is>
          <t>3901030884:eng</t>
        </is>
      </c>
      <c r="AV861" t="inlineStr">
        <is>
          <t>5498840</t>
        </is>
      </c>
      <c r="AW861" t="inlineStr">
        <is>
          <t>991004841309702656</t>
        </is>
      </c>
      <c r="AX861" t="inlineStr">
        <is>
          <t>991004841309702656</t>
        </is>
      </c>
      <c r="AY861" t="inlineStr">
        <is>
          <t>2263826240002656</t>
        </is>
      </c>
      <c r="AZ861" t="inlineStr">
        <is>
          <t>BOOK</t>
        </is>
      </c>
      <c r="BB861" t="inlineStr">
        <is>
          <t>9780062503022</t>
        </is>
      </c>
      <c r="BC861" t="inlineStr">
        <is>
          <t>32285000880541</t>
        </is>
      </c>
      <c r="BD861" t="inlineStr">
        <is>
          <t>893776501</t>
        </is>
      </c>
    </row>
    <row r="862">
      <c r="A862" t="inlineStr">
        <is>
          <t>No</t>
        </is>
      </c>
      <c r="B862" t="inlineStr">
        <is>
          <t>RC489.L6 F734 1993</t>
        </is>
      </c>
      <c r="C862" t="inlineStr">
        <is>
          <t>0                      RC 0489000L  6                  F  734         1993</t>
        </is>
      </c>
      <c r="D862" t="inlineStr">
        <is>
          <t>Viktor E. Frankl : life with meaning / William Blair Gould.</t>
        </is>
      </c>
      <c r="F862" t="inlineStr">
        <is>
          <t>No</t>
        </is>
      </c>
      <c r="G862" t="inlineStr">
        <is>
          <t>1</t>
        </is>
      </c>
      <c r="H862" t="inlineStr">
        <is>
          <t>No</t>
        </is>
      </c>
      <c r="I862" t="inlineStr">
        <is>
          <t>No</t>
        </is>
      </c>
      <c r="J862" t="inlineStr">
        <is>
          <t>0</t>
        </is>
      </c>
      <c r="K862" t="inlineStr">
        <is>
          <t>Gould, William Blair.</t>
        </is>
      </c>
      <c r="L862" t="inlineStr">
        <is>
          <t>Pacific Grove, Calif. : Brooks/Cole Pub., c1993.</t>
        </is>
      </c>
      <c r="M862" t="inlineStr">
        <is>
          <t>1993</t>
        </is>
      </c>
      <c r="O862" t="inlineStr">
        <is>
          <t>eng</t>
        </is>
      </c>
      <c r="P862" t="inlineStr">
        <is>
          <t>cau</t>
        </is>
      </c>
      <c r="R862" t="inlineStr">
        <is>
          <t xml:space="preserve">RC </t>
        </is>
      </c>
      <c r="S862" t="n">
        <v>7</v>
      </c>
      <c r="T862" t="n">
        <v>7</v>
      </c>
      <c r="U862" t="inlineStr">
        <is>
          <t>2007-03-27</t>
        </is>
      </c>
      <c r="V862" t="inlineStr">
        <is>
          <t>2007-03-27</t>
        </is>
      </c>
      <c r="W862" t="inlineStr">
        <is>
          <t>1994-05-17</t>
        </is>
      </c>
      <c r="X862" t="inlineStr">
        <is>
          <t>1994-05-17</t>
        </is>
      </c>
      <c r="Y862" t="n">
        <v>308</v>
      </c>
      <c r="Z862" t="n">
        <v>243</v>
      </c>
      <c r="AA862" t="n">
        <v>245</v>
      </c>
      <c r="AB862" t="n">
        <v>3</v>
      </c>
      <c r="AC862" t="n">
        <v>3</v>
      </c>
      <c r="AD862" t="n">
        <v>15</v>
      </c>
      <c r="AE862" t="n">
        <v>15</v>
      </c>
      <c r="AF862" t="n">
        <v>7</v>
      </c>
      <c r="AG862" t="n">
        <v>7</v>
      </c>
      <c r="AH862" t="n">
        <v>3</v>
      </c>
      <c r="AI862" t="n">
        <v>3</v>
      </c>
      <c r="AJ862" t="n">
        <v>8</v>
      </c>
      <c r="AK862" t="n">
        <v>8</v>
      </c>
      <c r="AL862" t="n">
        <v>2</v>
      </c>
      <c r="AM862" t="n">
        <v>2</v>
      </c>
      <c r="AN862" t="n">
        <v>0</v>
      </c>
      <c r="AO862" t="n">
        <v>0</v>
      </c>
      <c r="AP862" t="inlineStr">
        <is>
          <t>No</t>
        </is>
      </c>
      <c r="AQ862" t="inlineStr">
        <is>
          <t>Yes</t>
        </is>
      </c>
      <c r="AR862">
        <f>HYPERLINK("http://catalog.hathitrust.org/Record/002736422","HathiTrust Record")</f>
        <v/>
      </c>
      <c r="AS862">
        <f>HYPERLINK("https://creighton-primo.hosted.exlibrisgroup.com/primo-explore/search?tab=default_tab&amp;search_scope=EVERYTHING&amp;vid=01CRU&amp;lang=en_US&amp;offset=0&amp;query=any,contains,991002032329702656","Catalog Record")</f>
        <v/>
      </c>
      <c r="AT862">
        <f>HYPERLINK("http://www.worldcat.org/oclc/25873669","WorldCat Record")</f>
        <v/>
      </c>
      <c r="AU862" t="inlineStr">
        <is>
          <t>328496094:eng</t>
        </is>
      </c>
      <c r="AV862" t="inlineStr">
        <is>
          <t>25873669</t>
        </is>
      </c>
      <c r="AW862" t="inlineStr">
        <is>
          <t>991002032329702656</t>
        </is>
      </c>
      <c r="AX862" t="inlineStr">
        <is>
          <t>991002032329702656</t>
        </is>
      </c>
      <c r="AY862" t="inlineStr">
        <is>
          <t>2269665180002656</t>
        </is>
      </c>
      <c r="AZ862" t="inlineStr">
        <is>
          <t>BOOK</t>
        </is>
      </c>
      <c r="BB862" t="inlineStr">
        <is>
          <t>9780534194703</t>
        </is>
      </c>
      <c r="BC862" t="inlineStr">
        <is>
          <t>32285001896777</t>
        </is>
      </c>
      <c r="BD862" t="inlineStr">
        <is>
          <t>893510210</t>
        </is>
      </c>
    </row>
    <row r="863">
      <c r="A863" t="inlineStr">
        <is>
          <t>No</t>
        </is>
      </c>
      <c r="B863" t="inlineStr">
        <is>
          <t>RC489.M43 M43 1984</t>
        </is>
      </c>
      <c r="C863" t="inlineStr">
        <is>
          <t>0                      RC 0489000M  43                 M  43          1984</t>
        </is>
      </c>
      <c r="D863" t="inlineStr">
        <is>
          <t>Meditation, classic and contemporary perspectives / Deane H. Shapiro, Jr., Roger N. Walsh, editors.</t>
        </is>
      </c>
      <c r="F863" t="inlineStr">
        <is>
          <t>No</t>
        </is>
      </c>
      <c r="G863" t="inlineStr">
        <is>
          <t>1</t>
        </is>
      </c>
      <c r="H863" t="inlineStr">
        <is>
          <t>No</t>
        </is>
      </c>
      <c r="I863" t="inlineStr">
        <is>
          <t>No</t>
        </is>
      </c>
      <c r="J863" t="inlineStr">
        <is>
          <t>0</t>
        </is>
      </c>
      <c r="L863" t="inlineStr">
        <is>
          <t>New York : Aldine Pub. Co., c1984.</t>
        </is>
      </c>
      <c r="M863" t="inlineStr">
        <is>
          <t>1984</t>
        </is>
      </c>
      <c r="O863" t="inlineStr">
        <is>
          <t>eng</t>
        </is>
      </c>
      <c r="P863" t="inlineStr">
        <is>
          <t>nyu</t>
        </is>
      </c>
      <c r="R863" t="inlineStr">
        <is>
          <t xml:space="preserve">RC </t>
        </is>
      </c>
      <c r="S863" t="n">
        <v>3</v>
      </c>
      <c r="T863" t="n">
        <v>3</v>
      </c>
      <c r="U863" t="inlineStr">
        <is>
          <t>2002-04-21</t>
        </is>
      </c>
      <c r="V863" t="inlineStr">
        <is>
          <t>2002-04-21</t>
        </is>
      </c>
      <c r="W863" t="inlineStr">
        <is>
          <t>1993-03-23</t>
        </is>
      </c>
      <c r="X863" t="inlineStr">
        <is>
          <t>1993-03-23</t>
        </is>
      </c>
      <c r="Y863" t="n">
        <v>544</v>
      </c>
      <c r="Z863" t="n">
        <v>446</v>
      </c>
      <c r="AA863" t="n">
        <v>488</v>
      </c>
      <c r="AB863" t="n">
        <v>3</v>
      </c>
      <c r="AC863" t="n">
        <v>4</v>
      </c>
      <c r="AD863" t="n">
        <v>24</v>
      </c>
      <c r="AE863" t="n">
        <v>26</v>
      </c>
      <c r="AF863" t="n">
        <v>12</v>
      </c>
      <c r="AG863" t="n">
        <v>12</v>
      </c>
      <c r="AH863" t="n">
        <v>7</v>
      </c>
      <c r="AI863" t="n">
        <v>8</v>
      </c>
      <c r="AJ863" t="n">
        <v>11</v>
      </c>
      <c r="AK863" t="n">
        <v>11</v>
      </c>
      <c r="AL863" t="n">
        <v>2</v>
      </c>
      <c r="AM863" t="n">
        <v>3</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HYPERLINK("https://creighton-primo.hosted.exlibrisgroup.com/primo-explore/search?tab=default_tab&amp;search_scope=EVERYTHING&amp;vid=01CRU&amp;lang=en_US&amp;offset=0&amp;query=any,contains,991000357599702656","Catalog Record")</f>
        <v/>
      </c>
      <c r="AT863">
        <f>HYPERLINK("http://www.worldcat.org/oclc/10348378","WorldCat Record")</f>
        <v/>
      </c>
      <c r="AU863" t="inlineStr">
        <is>
          <t>3372111994:eng</t>
        </is>
      </c>
      <c r="AV863" t="inlineStr">
        <is>
          <t>10348378</t>
        </is>
      </c>
      <c r="AW863" t="inlineStr">
        <is>
          <t>991000357599702656</t>
        </is>
      </c>
      <c r="AX863" t="inlineStr">
        <is>
          <t>991000357599702656</t>
        </is>
      </c>
      <c r="AY863" t="inlineStr">
        <is>
          <t>2263591010002656</t>
        </is>
      </c>
      <c r="AZ863" t="inlineStr">
        <is>
          <t>BOOK</t>
        </is>
      </c>
      <c r="BB863" t="inlineStr">
        <is>
          <t>9780202251363</t>
        </is>
      </c>
      <c r="BC863" t="inlineStr">
        <is>
          <t>32285001607125</t>
        </is>
      </c>
      <c r="BD863" t="inlineStr">
        <is>
          <t>893683331</t>
        </is>
      </c>
    </row>
    <row r="864">
      <c r="A864" t="inlineStr">
        <is>
          <t>No</t>
        </is>
      </c>
      <c r="B864" t="inlineStr">
        <is>
          <t>RC489.P46 C66 1995</t>
        </is>
      </c>
      <c r="C864" t="inlineStr">
        <is>
          <t>0                      RC 0489000P  46                 C  66          1995</t>
        </is>
      </c>
      <c r="D864" t="inlineStr">
        <is>
          <t>Constructivism in psychotherapy / edited by Robert A. Neimeyer and Michael J. Mahoney.</t>
        </is>
      </c>
      <c r="F864" t="inlineStr">
        <is>
          <t>No</t>
        </is>
      </c>
      <c r="G864" t="inlineStr">
        <is>
          <t>1</t>
        </is>
      </c>
      <c r="H864" t="inlineStr">
        <is>
          <t>No</t>
        </is>
      </c>
      <c r="I864" t="inlineStr">
        <is>
          <t>No</t>
        </is>
      </c>
      <c r="J864" t="inlineStr">
        <is>
          <t>0</t>
        </is>
      </c>
      <c r="L864" t="inlineStr">
        <is>
          <t>Washington, DC : American Psychological Association, c1995.</t>
        </is>
      </c>
      <c r="M864" t="inlineStr">
        <is>
          <t>1995</t>
        </is>
      </c>
      <c r="N864" t="inlineStr">
        <is>
          <t>1st ed.</t>
        </is>
      </c>
      <c r="O864" t="inlineStr">
        <is>
          <t>eng</t>
        </is>
      </c>
      <c r="P864" t="inlineStr">
        <is>
          <t>dcu</t>
        </is>
      </c>
      <c r="R864" t="inlineStr">
        <is>
          <t xml:space="preserve">RC </t>
        </is>
      </c>
      <c r="S864" t="n">
        <v>6</v>
      </c>
      <c r="T864" t="n">
        <v>6</v>
      </c>
      <c r="U864" t="inlineStr">
        <is>
          <t>2000-08-11</t>
        </is>
      </c>
      <c r="V864" t="inlineStr">
        <is>
          <t>2000-08-11</t>
        </is>
      </c>
      <c r="W864" t="inlineStr">
        <is>
          <t>1995-10-30</t>
        </is>
      </c>
      <c r="X864" t="inlineStr">
        <is>
          <t>1995-10-30</t>
        </is>
      </c>
      <c r="Y864" t="n">
        <v>341</v>
      </c>
      <c r="Z864" t="n">
        <v>265</v>
      </c>
      <c r="AA864" t="n">
        <v>341</v>
      </c>
      <c r="AB864" t="n">
        <v>2</v>
      </c>
      <c r="AC864" t="n">
        <v>3</v>
      </c>
      <c r="AD864" t="n">
        <v>17</v>
      </c>
      <c r="AE864" t="n">
        <v>20</v>
      </c>
      <c r="AF864" t="n">
        <v>6</v>
      </c>
      <c r="AG864" t="n">
        <v>7</v>
      </c>
      <c r="AH864" t="n">
        <v>3</v>
      </c>
      <c r="AI864" t="n">
        <v>3</v>
      </c>
      <c r="AJ864" t="n">
        <v>11</v>
      </c>
      <c r="AK864" t="n">
        <v>12</v>
      </c>
      <c r="AL864" t="n">
        <v>1</v>
      </c>
      <c r="AM864" t="n">
        <v>2</v>
      </c>
      <c r="AN864" t="n">
        <v>0</v>
      </c>
      <c r="AO864" t="n">
        <v>0</v>
      </c>
      <c r="AP864" t="inlineStr">
        <is>
          <t>No</t>
        </is>
      </c>
      <c r="AQ864" t="inlineStr">
        <is>
          <t>No</t>
        </is>
      </c>
      <c r="AS864">
        <f>HYPERLINK("https://creighton-primo.hosted.exlibrisgroup.com/primo-explore/search?tab=default_tab&amp;search_scope=EVERYTHING&amp;vid=01CRU&amp;lang=en_US&amp;offset=0&amp;query=any,contains,991002420919702656","Catalog Record")</f>
        <v/>
      </c>
      <c r="AT864">
        <f>HYPERLINK("http://www.worldcat.org/oclc/31518985","WorldCat Record")</f>
        <v/>
      </c>
      <c r="AU864" t="inlineStr">
        <is>
          <t>1060377473:eng</t>
        </is>
      </c>
      <c r="AV864" t="inlineStr">
        <is>
          <t>31518985</t>
        </is>
      </c>
      <c r="AW864" t="inlineStr">
        <is>
          <t>991002420919702656</t>
        </is>
      </c>
      <c r="AX864" t="inlineStr">
        <is>
          <t>991002420919702656</t>
        </is>
      </c>
      <c r="AY864" t="inlineStr">
        <is>
          <t>2267155510002656</t>
        </is>
      </c>
      <c r="AZ864" t="inlineStr">
        <is>
          <t>BOOK</t>
        </is>
      </c>
      <c r="BB864" t="inlineStr">
        <is>
          <t>9781557982797</t>
        </is>
      </c>
      <c r="BC864" t="inlineStr">
        <is>
          <t>32285002069572</t>
        </is>
      </c>
      <c r="BD864" t="inlineStr">
        <is>
          <t>893704056</t>
        </is>
      </c>
    </row>
    <row r="865">
      <c r="A865" t="inlineStr">
        <is>
          <t>No</t>
        </is>
      </c>
      <c r="B865" t="inlineStr">
        <is>
          <t>RC489.P68 O33 1989</t>
        </is>
      </c>
      <c r="C865" t="inlineStr">
        <is>
          <t>0                      RC 0489000P  68                 O  33          1989</t>
        </is>
      </c>
      <c r="D865" t="inlineStr">
        <is>
          <t>In search of solutions : a new direction in psychotherapy / William Hudson O'Hanlon, Michele Weiner-Davis.</t>
        </is>
      </c>
      <c r="F865" t="inlineStr">
        <is>
          <t>No</t>
        </is>
      </c>
      <c r="G865" t="inlineStr">
        <is>
          <t>1</t>
        </is>
      </c>
      <c r="H865" t="inlineStr">
        <is>
          <t>No</t>
        </is>
      </c>
      <c r="I865" t="inlineStr">
        <is>
          <t>No</t>
        </is>
      </c>
      <c r="J865" t="inlineStr">
        <is>
          <t>0</t>
        </is>
      </c>
      <c r="K865" t="inlineStr">
        <is>
          <t>O'Hanlon, Bill, 1952-</t>
        </is>
      </c>
      <c r="L865" t="inlineStr">
        <is>
          <t>New York : Norton, c1989.</t>
        </is>
      </c>
      <c r="M865" t="inlineStr">
        <is>
          <t>1989</t>
        </is>
      </c>
      <c r="N865" t="inlineStr">
        <is>
          <t>1st ed.</t>
        </is>
      </c>
      <c r="O865" t="inlineStr">
        <is>
          <t>eng</t>
        </is>
      </c>
      <c r="P865" t="inlineStr">
        <is>
          <t>nyu</t>
        </is>
      </c>
      <c r="R865" t="inlineStr">
        <is>
          <t xml:space="preserve">RC </t>
        </is>
      </c>
      <c r="S865" t="n">
        <v>11</v>
      </c>
      <c r="T865" t="n">
        <v>11</v>
      </c>
      <c r="U865" t="inlineStr">
        <is>
          <t>1996-02-02</t>
        </is>
      </c>
      <c r="V865" t="inlineStr">
        <is>
          <t>1996-02-02</t>
        </is>
      </c>
      <c r="W865" t="inlineStr">
        <is>
          <t>1991-03-11</t>
        </is>
      </c>
      <c r="X865" t="inlineStr">
        <is>
          <t>1991-03-11</t>
        </is>
      </c>
      <c r="Y865" t="n">
        <v>416</v>
      </c>
      <c r="Z865" t="n">
        <v>310</v>
      </c>
      <c r="AA865" t="n">
        <v>392</v>
      </c>
      <c r="AB865" t="n">
        <v>4</v>
      </c>
      <c r="AC865" t="n">
        <v>6</v>
      </c>
      <c r="AD865" t="n">
        <v>19</v>
      </c>
      <c r="AE865" t="n">
        <v>23</v>
      </c>
      <c r="AF865" t="n">
        <v>9</v>
      </c>
      <c r="AG865" t="n">
        <v>11</v>
      </c>
      <c r="AH865" t="n">
        <v>2</v>
      </c>
      <c r="AI865" t="n">
        <v>2</v>
      </c>
      <c r="AJ865" t="n">
        <v>11</v>
      </c>
      <c r="AK865" t="n">
        <v>13</v>
      </c>
      <c r="AL865" t="n">
        <v>2</v>
      </c>
      <c r="AM865" t="n">
        <v>4</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HYPERLINK("https://creighton-primo.hosted.exlibrisgroup.com/primo-explore/search?tab=default_tab&amp;search_scope=EVERYTHING&amp;vid=01CRU&amp;lang=en_US&amp;offset=0&amp;query=any,contains,991001307189702656","Catalog Record")</f>
        <v/>
      </c>
      <c r="AT865">
        <f>HYPERLINK("http://www.worldcat.org/oclc/18106756","WorldCat Record")</f>
        <v/>
      </c>
      <c r="AU865" t="inlineStr">
        <is>
          <t>796426543:eng</t>
        </is>
      </c>
      <c r="AV865" t="inlineStr">
        <is>
          <t>18106756</t>
        </is>
      </c>
      <c r="AW865" t="inlineStr">
        <is>
          <t>991001307189702656</t>
        </is>
      </c>
      <c r="AX865" t="inlineStr">
        <is>
          <t>991001307189702656</t>
        </is>
      </c>
      <c r="AY865" t="inlineStr">
        <is>
          <t>2257674340002656</t>
        </is>
      </c>
      <c r="AZ865" t="inlineStr">
        <is>
          <t>BOOK</t>
        </is>
      </c>
      <c r="BB865" t="inlineStr">
        <is>
          <t>9780393700619</t>
        </is>
      </c>
      <c r="BC865" t="inlineStr">
        <is>
          <t>32285000511088</t>
        </is>
      </c>
      <c r="BD865" t="inlineStr">
        <is>
          <t>893772501</t>
        </is>
      </c>
    </row>
    <row r="866">
      <c r="A866" t="inlineStr">
        <is>
          <t>No</t>
        </is>
      </c>
      <c r="B866" t="inlineStr">
        <is>
          <t>RC489.P7 G72</t>
        </is>
      </c>
      <c r="C866" t="inlineStr">
        <is>
          <t>0                      RC 0489000P  7                  G  72</t>
        </is>
      </c>
      <c r="D866" t="inlineStr">
        <is>
          <t>Psychodrama : theory and therapy / edited by Ira A. Greenberg.</t>
        </is>
      </c>
      <c r="F866" t="inlineStr">
        <is>
          <t>No</t>
        </is>
      </c>
      <c r="G866" t="inlineStr">
        <is>
          <t>1</t>
        </is>
      </c>
      <c r="H866" t="inlineStr">
        <is>
          <t>No</t>
        </is>
      </c>
      <c r="I866" t="inlineStr">
        <is>
          <t>No</t>
        </is>
      </c>
      <c r="J866" t="inlineStr">
        <is>
          <t>0</t>
        </is>
      </c>
      <c r="K866" t="inlineStr">
        <is>
          <t>Greenberg, Ira A., 1924-, compiler.</t>
        </is>
      </c>
      <c r="L866" t="inlineStr">
        <is>
          <t>New York : Behavioral Publications, 1974.</t>
        </is>
      </c>
      <c r="M866" t="inlineStr">
        <is>
          <t>1974</t>
        </is>
      </c>
      <c r="O866" t="inlineStr">
        <is>
          <t>eng</t>
        </is>
      </c>
      <c r="P866" t="inlineStr">
        <is>
          <t>nyu</t>
        </is>
      </c>
      <c r="R866" t="inlineStr">
        <is>
          <t xml:space="preserve">RC </t>
        </is>
      </c>
      <c r="S866" t="n">
        <v>4</v>
      </c>
      <c r="T866" t="n">
        <v>4</v>
      </c>
      <c r="U866" t="inlineStr">
        <is>
          <t>2007-03-20</t>
        </is>
      </c>
      <c r="V866" t="inlineStr">
        <is>
          <t>2007-03-20</t>
        </is>
      </c>
      <c r="W866" t="inlineStr">
        <is>
          <t>1990-04-10</t>
        </is>
      </c>
      <c r="X866" t="inlineStr">
        <is>
          <t>1990-04-10</t>
        </is>
      </c>
      <c r="Y866" t="n">
        <v>548</v>
      </c>
      <c r="Z866" t="n">
        <v>480</v>
      </c>
      <c r="AA866" t="n">
        <v>487</v>
      </c>
      <c r="AB866" t="n">
        <v>3</v>
      </c>
      <c r="AC866" t="n">
        <v>3</v>
      </c>
      <c r="AD866" t="n">
        <v>21</v>
      </c>
      <c r="AE866" t="n">
        <v>21</v>
      </c>
      <c r="AF866" t="n">
        <v>8</v>
      </c>
      <c r="AG866" t="n">
        <v>8</v>
      </c>
      <c r="AH866" t="n">
        <v>5</v>
      </c>
      <c r="AI866" t="n">
        <v>5</v>
      </c>
      <c r="AJ866" t="n">
        <v>10</v>
      </c>
      <c r="AK866" t="n">
        <v>10</v>
      </c>
      <c r="AL866" t="n">
        <v>2</v>
      </c>
      <c r="AM866" t="n">
        <v>2</v>
      </c>
      <c r="AN866" t="n">
        <v>0</v>
      </c>
      <c r="AO866" t="n">
        <v>0</v>
      </c>
      <c r="AP866" t="inlineStr">
        <is>
          <t>No</t>
        </is>
      </c>
      <c r="AQ866" t="inlineStr">
        <is>
          <t>Yes</t>
        </is>
      </c>
      <c r="AR866">
        <f>HYPERLINK("http://catalog.hathitrust.org/Record/000011060","HathiTrust Record")</f>
        <v/>
      </c>
      <c r="AS866">
        <f>HYPERLINK("https://creighton-primo.hosted.exlibrisgroup.com/primo-explore/search?tab=default_tab&amp;search_scope=EVERYTHING&amp;vid=01CRU&amp;lang=en_US&amp;offset=0&amp;query=any,contains,991003229869702656","Catalog Record")</f>
        <v/>
      </c>
      <c r="AT866">
        <f>HYPERLINK("http://www.worldcat.org/oclc/754570","WorldCat Record")</f>
        <v/>
      </c>
      <c r="AU866" t="inlineStr">
        <is>
          <t>796476872:eng</t>
        </is>
      </c>
      <c r="AV866" t="inlineStr">
        <is>
          <t>754570</t>
        </is>
      </c>
      <c r="AW866" t="inlineStr">
        <is>
          <t>991003229869702656</t>
        </is>
      </c>
      <c r="AX866" t="inlineStr">
        <is>
          <t>991003229869702656</t>
        </is>
      </c>
      <c r="AY866" t="inlineStr">
        <is>
          <t>2267620360002656</t>
        </is>
      </c>
      <c r="AZ866" t="inlineStr">
        <is>
          <t>BOOK</t>
        </is>
      </c>
      <c r="BB866" t="inlineStr">
        <is>
          <t>9780877051107</t>
        </is>
      </c>
      <c r="BC866" t="inlineStr">
        <is>
          <t>32285000104538</t>
        </is>
      </c>
      <c r="BD866" t="inlineStr">
        <is>
          <t>893422323</t>
        </is>
      </c>
    </row>
    <row r="867">
      <c r="A867" t="inlineStr">
        <is>
          <t>No</t>
        </is>
      </c>
      <c r="B867" t="inlineStr">
        <is>
          <t>RC489.P7 K3</t>
        </is>
      </c>
      <c r="C867" t="inlineStr">
        <is>
          <t>0                      RC 0489000P  7                  K  3</t>
        </is>
      </c>
      <c r="D867" t="inlineStr">
        <is>
          <t>Psychodrama explained / with an introd. by J. L. Moreno.</t>
        </is>
      </c>
      <c r="F867" t="inlineStr">
        <is>
          <t>No</t>
        </is>
      </c>
      <c r="G867" t="inlineStr">
        <is>
          <t>1</t>
        </is>
      </c>
      <c r="H867" t="inlineStr">
        <is>
          <t>No</t>
        </is>
      </c>
      <c r="I867" t="inlineStr">
        <is>
          <t>No</t>
        </is>
      </c>
      <c r="J867" t="inlineStr">
        <is>
          <t>0</t>
        </is>
      </c>
      <c r="K867" t="inlineStr">
        <is>
          <t>Kahn, Samuel, 1898-1981.</t>
        </is>
      </c>
      <c r="L867" t="inlineStr">
        <is>
          <t>New York : Philosophical Library, [1964]</t>
        </is>
      </c>
      <c r="M867" t="inlineStr">
        <is>
          <t>1964</t>
        </is>
      </c>
      <c r="O867" t="inlineStr">
        <is>
          <t>eng</t>
        </is>
      </c>
      <c r="P867" t="inlineStr">
        <is>
          <t>nyu</t>
        </is>
      </c>
      <c r="R867" t="inlineStr">
        <is>
          <t xml:space="preserve">RC </t>
        </is>
      </c>
      <c r="S867" t="n">
        <v>3</v>
      </c>
      <c r="T867" t="n">
        <v>3</v>
      </c>
      <c r="U867" t="inlineStr">
        <is>
          <t>1994-10-24</t>
        </is>
      </c>
      <c r="V867" t="inlineStr">
        <is>
          <t>1994-10-24</t>
        </is>
      </c>
      <c r="W867" t="inlineStr">
        <is>
          <t>1990-04-10</t>
        </is>
      </c>
      <c r="X867" t="inlineStr">
        <is>
          <t>1990-04-10</t>
        </is>
      </c>
      <c r="Y867" t="n">
        <v>192</v>
      </c>
      <c r="Z867" t="n">
        <v>166</v>
      </c>
      <c r="AA867" t="n">
        <v>173</v>
      </c>
      <c r="AB867" t="n">
        <v>3</v>
      </c>
      <c r="AC867" t="n">
        <v>3</v>
      </c>
      <c r="AD867" t="n">
        <v>7</v>
      </c>
      <c r="AE867" t="n">
        <v>7</v>
      </c>
      <c r="AF867" t="n">
        <v>1</v>
      </c>
      <c r="AG867" t="n">
        <v>1</v>
      </c>
      <c r="AH867" t="n">
        <v>2</v>
      </c>
      <c r="AI867" t="n">
        <v>2</v>
      </c>
      <c r="AJ867" t="n">
        <v>2</v>
      </c>
      <c r="AK867" t="n">
        <v>2</v>
      </c>
      <c r="AL867" t="n">
        <v>2</v>
      </c>
      <c r="AM867" t="n">
        <v>2</v>
      </c>
      <c r="AN867" t="n">
        <v>0</v>
      </c>
      <c r="AO867" t="n">
        <v>0</v>
      </c>
      <c r="AP867" t="inlineStr">
        <is>
          <t>No</t>
        </is>
      </c>
      <c r="AQ867" t="inlineStr">
        <is>
          <t>Yes</t>
        </is>
      </c>
      <c r="AR867">
        <f>HYPERLINK("http://catalog.hathitrust.org/Record/001564743","HathiTrust Record")</f>
        <v/>
      </c>
      <c r="AS867">
        <f>HYPERLINK("https://creighton-primo.hosted.exlibrisgroup.com/primo-explore/search?tab=default_tab&amp;search_scope=EVERYTHING&amp;vid=01CRU&amp;lang=en_US&amp;offset=0&amp;query=any,contains,991002717109702656","Catalog Record")</f>
        <v/>
      </c>
      <c r="AT867">
        <f>HYPERLINK("http://www.worldcat.org/oclc/411572","WorldCat Record")</f>
        <v/>
      </c>
      <c r="AU867" t="inlineStr">
        <is>
          <t>1458630:eng</t>
        </is>
      </c>
      <c r="AV867" t="inlineStr">
        <is>
          <t>411572</t>
        </is>
      </c>
      <c r="AW867" t="inlineStr">
        <is>
          <t>991002717109702656</t>
        </is>
      </c>
      <c r="AX867" t="inlineStr">
        <is>
          <t>991002717109702656</t>
        </is>
      </c>
      <c r="AY867" t="inlineStr">
        <is>
          <t>2265099980002656</t>
        </is>
      </c>
      <c r="AZ867" t="inlineStr">
        <is>
          <t>BOOK</t>
        </is>
      </c>
      <c r="BC867" t="inlineStr">
        <is>
          <t>32285000104520</t>
        </is>
      </c>
      <c r="BD867" t="inlineStr">
        <is>
          <t>893523965</t>
        </is>
      </c>
    </row>
    <row r="868">
      <c r="A868" t="inlineStr">
        <is>
          <t>No</t>
        </is>
      </c>
      <c r="B868" t="inlineStr">
        <is>
          <t>RC489.P7 L35 1993</t>
        </is>
      </c>
      <c r="C868" t="inlineStr">
        <is>
          <t>0                      RC 0489000P  7                  L  35          1993</t>
        </is>
      </c>
      <c r="D868" t="inlineStr">
        <is>
          <t>Persona and performance : the meaning of role in drama, therapy, and everyday life / Robert J. Landy.</t>
        </is>
      </c>
      <c r="F868" t="inlineStr">
        <is>
          <t>No</t>
        </is>
      </c>
      <c r="G868" t="inlineStr">
        <is>
          <t>1</t>
        </is>
      </c>
      <c r="H868" t="inlineStr">
        <is>
          <t>No</t>
        </is>
      </c>
      <c r="I868" t="inlineStr">
        <is>
          <t>No</t>
        </is>
      </c>
      <c r="J868" t="inlineStr">
        <is>
          <t>0</t>
        </is>
      </c>
      <c r="K868" t="inlineStr">
        <is>
          <t>Landy, Robert J.</t>
        </is>
      </c>
      <c r="L868" t="inlineStr">
        <is>
          <t>New York : Guilford Press, c1993.</t>
        </is>
      </c>
      <c r="M868" t="inlineStr">
        <is>
          <t>1993</t>
        </is>
      </c>
      <c r="O868" t="inlineStr">
        <is>
          <t>eng</t>
        </is>
      </c>
      <c r="P868" t="inlineStr">
        <is>
          <t>nyu</t>
        </is>
      </c>
      <c r="R868" t="inlineStr">
        <is>
          <t xml:space="preserve">RC </t>
        </is>
      </c>
      <c r="S868" t="n">
        <v>2</v>
      </c>
      <c r="T868" t="n">
        <v>2</v>
      </c>
      <c r="U868" t="inlineStr">
        <is>
          <t>2000-11-17</t>
        </is>
      </c>
      <c r="V868" t="inlineStr">
        <is>
          <t>2000-11-17</t>
        </is>
      </c>
      <c r="W868" t="inlineStr">
        <is>
          <t>1996-10-15</t>
        </is>
      </c>
      <c r="X868" t="inlineStr">
        <is>
          <t>1996-10-15</t>
        </is>
      </c>
      <c r="Y868" t="n">
        <v>300</v>
      </c>
      <c r="Z868" t="n">
        <v>246</v>
      </c>
      <c r="AA868" t="n">
        <v>251</v>
      </c>
      <c r="AB868" t="n">
        <v>2</v>
      </c>
      <c r="AC868" t="n">
        <v>2</v>
      </c>
      <c r="AD868" t="n">
        <v>15</v>
      </c>
      <c r="AE868" t="n">
        <v>15</v>
      </c>
      <c r="AF868" t="n">
        <v>4</v>
      </c>
      <c r="AG868" t="n">
        <v>4</v>
      </c>
      <c r="AH868" t="n">
        <v>3</v>
      </c>
      <c r="AI868" t="n">
        <v>3</v>
      </c>
      <c r="AJ868" t="n">
        <v>9</v>
      </c>
      <c r="AK868" t="n">
        <v>9</v>
      </c>
      <c r="AL868" t="n">
        <v>1</v>
      </c>
      <c r="AM868" t="n">
        <v>1</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HYPERLINK("https://creighton-primo.hosted.exlibrisgroup.com/primo-explore/search?tab=default_tab&amp;search_scope=EVERYTHING&amp;vid=01CRU&amp;lang=en_US&amp;offset=0&amp;query=any,contains,991002197429702656","Catalog Record")</f>
        <v/>
      </c>
      <c r="AT868">
        <f>HYPERLINK("http://www.worldcat.org/oclc/28256306","WorldCat Record")</f>
        <v/>
      </c>
      <c r="AU868" t="inlineStr">
        <is>
          <t>14981938:eng</t>
        </is>
      </c>
      <c r="AV868" t="inlineStr">
        <is>
          <t>28256306</t>
        </is>
      </c>
      <c r="AW868" t="inlineStr">
        <is>
          <t>991002197429702656</t>
        </is>
      </c>
      <c r="AX868" t="inlineStr">
        <is>
          <t>991002197429702656</t>
        </is>
      </c>
      <c r="AY868" t="inlineStr">
        <is>
          <t>2261653500002656</t>
        </is>
      </c>
      <c r="AZ868" t="inlineStr">
        <is>
          <t>BOOK</t>
        </is>
      </c>
      <c r="BB868" t="inlineStr">
        <is>
          <t>9780898620238</t>
        </is>
      </c>
      <c r="BC868" t="inlineStr">
        <is>
          <t>32285002199122</t>
        </is>
      </c>
      <c r="BD868" t="inlineStr">
        <is>
          <t>893232669</t>
        </is>
      </c>
    </row>
    <row r="869">
      <c r="A869" t="inlineStr">
        <is>
          <t>No</t>
        </is>
      </c>
      <c r="B869" t="inlineStr">
        <is>
          <t>RC489.P7 L36 2006</t>
        </is>
      </c>
      <c r="C869" t="inlineStr">
        <is>
          <t>0                      RC 0489000P  7                  L  36          2006</t>
        </is>
      </c>
      <c r="D869" t="inlineStr">
        <is>
          <t>An introduction to dramatherapy / Dorothy Langley.</t>
        </is>
      </c>
      <c r="F869" t="inlineStr">
        <is>
          <t>No</t>
        </is>
      </c>
      <c r="G869" t="inlineStr">
        <is>
          <t>1</t>
        </is>
      </c>
      <c r="H869" t="inlineStr">
        <is>
          <t>No</t>
        </is>
      </c>
      <c r="I869" t="inlineStr">
        <is>
          <t>No</t>
        </is>
      </c>
      <c r="J869" t="inlineStr">
        <is>
          <t>0</t>
        </is>
      </c>
      <c r="K869" t="inlineStr">
        <is>
          <t>Langley, Dorothy M.</t>
        </is>
      </c>
      <c r="L869" t="inlineStr">
        <is>
          <t>London ; Thousand Oaks, Calif. : Sage Publications, 2006.</t>
        </is>
      </c>
      <c r="M869" t="inlineStr">
        <is>
          <t>2006</t>
        </is>
      </c>
      <c r="O869" t="inlineStr">
        <is>
          <t>eng</t>
        </is>
      </c>
      <c r="P869" t="inlineStr">
        <is>
          <t>enk</t>
        </is>
      </c>
      <c r="Q869" t="inlineStr">
        <is>
          <t>Creative therapies in practice</t>
        </is>
      </c>
      <c r="R869" t="inlineStr">
        <is>
          <t xml:space="preserve">RC </t>
        </is>
      </c>
      <c r="S869" t="n">
        <v>1</v>
      </c>
      <c r="T869" t="n">
        <v>1</v>
      </c>
      <c r="U869" t="inlineStr">
        <is>
          <t>2008-12-08</t>
        </is>
      </c>
      <c r="V869" t="inlineStr">
        <is>
          <t>2008-12-08</t>
        </is>
      </c>
      <c r="W869" t="inlineStr">
        <is>
          <t>2008-12-08</t>
        </is>
      </c>
      <c r="X869" t="inlineStr">
        <is>
          <t>2008-12-08</t>
        </is>
      </c>
      <c r="Y869" t="n">
        <v>357</v>
      </c>
      <c r="Z869" t="n">
        <v>253</v>
      </c>
      <c r="AA869" t="n">
        <v>654</v>
      </c>
      <c r="AB869" t="n">
        <v>2</v>
      </c>
      <c r="AC869" t="n">
        <v>4</v>
      </c>
      <c r="AD869" t="n">
        <v>11</v>
      </c>
      <c r="AE869" t="n">
        <v>18</v>
      </c>
      <c r="AF869" t="n">
        <v>5</v>
      </c>
      <c r="AG869" t="n">
        <v>6</v>
      </c>
      <c r="AH869" t="n">
        <v>1</v>
      </c>
      <c r="AI869" t="n">
        <v>4</v>
      </c>
      <c r="AJ869" t="n">
        <v>5</v>
      </c>
      <c r="AK869" t="n">
        <v>8</v>
      </c>
      <c r="AL869" t="n">
        <v>1</v>
      </c>
      <c r="AM869" t="n">
        <v>3</v>
      </c>
      <c r="AN869" t="n">
        <v>0</v>
      </c>
      <c r="AO869" t="n">
        <v>0</v>
      </c>
      <c r="AP869" t="inlineStr">
        <is>
          <t>No</t>
        </is>
      </c>
      <c r="AQ869" t="inlineStr">
        <is>
          <t>Yes</t>
        </is>
      </c>
      <c r="AR869">
        <f>HYPERLINK("http://catalog.hathitrust.org/Record/005414471","HathiTrust Record")</f>
        <v/>
      </c>
      <c r="AS869">
        <f>HYPERLINK("https://creighton-primo.hosted.exlibrisgroup.com/primo-explore/search?tab=default_tab&amp;search_scope=EVERYTHING&amp;vid=01CRU&amp;lang=en_US&amp;offset=0&amp;query=any,contains,991005273589702656","Catalog Record")</f>
        <v/>
      </c>
      <c r="AT869">
        <f>HYPERLINK("http://www.worldcat.org/oclc/67872084","WorldCat Record")</f>
        <v/>
      </c>
      <c r="AU869" t="inlineStr">
        <is>
          <t>51297321:eng</t>
        </is>
      </c>
      <c r="AV869" t="inlineStr">
        <is>
          <t>67872084</t>
        </is>
      </c>
      <c r="AW869" t="inlineStr">
        <is>
          <t>991005273589702656</t>
        </is>
      </c>
      <c r="AX869" t="inlineStr">
        <is>
          <t>991005273589702656</t>
        </is>
      </c>
      <c r="AY869" t="inlineStr">
        <is>
          <t>2267307390002656</t>
        </is>
      </c>
      <c r="AZ869" t="inlineStr">
        <is>
          <t>BOOK</t>
        </is>
      </c>
      <c r="BB869" t="inlineStr">
        <is>
          <t>9780761959762</t>
        </is>
      </c>
      <c r="BC869" t="inlineStr">
        <is>
          <t>32285005471486</t>
        </is>
      </c>
      <c r="BD869" t="inlineStr">
        <is>
          <t>893533477</t>
        </is>
      </c>
    </row>
    <row r="870">
      <c r="A870" t="inlineStr">
        <is>
          <t>No</t>
        </is>
      </c>
      <c r="B870" t="inlineStr">
        <is>
          <t>RC489.P7 Y3</t>
        </is>
      </c>
      <c r="C870" t="inlineStr">
        <is>
          <t>0                      RC 0489000P  7                  Y  3</t>
        </is>
      </c>
      <c r="D870" t="inlineStr">
        <is>
          <t>Psychodrama : resolving emotional problems through role-playing / Lewis Yablonsky.</t>
        </is>
      </c>
      <c r="F870" t="inlineStr">
        <is>
          <t>No</t>
        </is>
      </c>
      <c r="G870" t="inlineStr">
        <is>
          <t>1</t>
        </is>
      </c>
      <c r="H870" t="inlineStr">
        <is>
          <t>No</t>
        </is>
      </c>
      <c r="I870" t="inlineStr">
        <is>
          <t>No</t>
        </is>
      </c>
      <c r="J870" t="inlineStr">
        <is>
          <t>0</t>
        </is>
      </c>
      <c r="K870" t="inlineStr">
        <is>
          <t>Yablonsky, Lewis.</t>
        </is>
      </c>
      <c r="L870" t="inlineStr">
        <is>
          <t>New York : Basic Books, c1976.</t>
        </is>
      </c>
      <c r="M870" t="inlineStr">
        <is>
          <t>1976</t>
        </is>
      </c>
      <c r="O870" t="inlineStr">
        <is>
          <t>eng</t>
        </is>
      </c>
      <c r="P870" t="inlineStr">
        <is>
          <t>nyu</t>
        </is>
      </c>
      <c r="R870" t="inlineStr">
        <is>
          <t xml:space="preserve">RC </t>
        </is>
      </c>
      <c r="S870" t="n">
        <v>4</v>
      </c>
      <c r="T870" t="n">
        <v>4</v>
      </c>
      <c r="U870" t="inlineStr">
        <is>
          <t>1993-12-21</t>
        </is>
      </c>
      <c r="V870" t="inlineStr">
        <is>
          <t>1993-12-21</t>
        </is>
      </c>
      <c r="W870" t="inlineStr">
        <is>
          <t>1990-04-10</t>
        </is>
      </c>
      <c r="X870" t="inlineStr">
        <is>
          <t>1990-04-10</t>
        </is>
      </c>
      <c r="Y870" t="n">
        <v>619</v>
      </c>
      <c r="Z870" t="n">
        <v>543</v>
      </c>
      <c r="AA870" t="n">
        <v>616</v>
      </c>
      <c r="AB870" t="n">
        <v>4</v>
      </c>
      <c r="AC870" t="n">
        <v>4</v>
      </c>
      <c r="AD870" t="n">
        <v>21</v>
      </c>
      <c r="AE870" t="n">
        <v>23</v>
      </c>
      <c r="AF870" t="n">
        <v>8</v>
      </c>
      <c r="AG870" t="n">
        <v>9</v>
      </c>
      <c r="AH870" t="n">
        <v>5</v>
      </c>
      <c r="AI870" t="n">
        <v>6</v>
      </c>
      <c r="AJ870" t="n">
        <v>10</v>
      </c>
      <c r="AK870" t="n">
        <v>11</v>
      </c>
      <c r="AL870" t="n">
        <v>2</v>
      </c>
      <c r="AM870" t="n">
        <v>2</v>
      </c>
      <c r="AN870" t="n">
        <v>0</v>
      </c>
      <c r="AO870" t="n">
        <v>0</v>
      </c>
      <c r="AP870" t="inlineStr">
        <is>
          <t>No</t>
        </is>
      </c>
      <c r="AQ870" t="inlineStr">
        <is>
          <t>Yes</t>
        </is>
      </c>
      <c r="AR870">
        <f>HYPERLINK("http://catalog.hathitrust.org/Record/000709458","HathiTrust Record")</f>
        <v/>
      </c>
      <c r="AS870">
        <f>HYPERLINK("https://creighton-primo.hosted.exlibrisgroup.com/primo-explore/search?tab=default_tab&amp;search_scope=EVERYTHING&amp;vid=01CRU&amp;lang=en_US&amp;offset=0&amp;query=any,contains,991003981119702656","Catalog Record")</f>
        <v/>
      </c>
      <c r="AT870">
        <f>HYPERLINK("http://www.worldcat.org/oclc/2020114","WorldCat Record")</f>
        <v/>
      </c>
      <c r="AU870" t="inlineStr">
        <is>
          <t>396724:eng</t>
        </is>
      </c>
      <c r="AV870" t="inlineStr">
        <is>
          <t>2020114</t>
        </is>
      </c>
      <c r="AW870" t="inlineStr">
        <is>
          <t>991003981119702656</t>
        </is>
      </c>
      <c r="AX870" t="inlineStr">
        <is>
          <t>991003981119702656</t>
        </is>
      </c>
      <c r="AY870" t="inlineStr">
        <is>
          <t>2271454370002656</t>
        </is>
      </c>
      <c r="AZ870" t="inlineStr">
        <is>
          <t>BOOK</t>
        </is>
      </c>
      <c r="BB870" t="inlineStr">
        <is>
          <t>9780465066391</t>
        </is>
      </c>
      <c r="BC870" t="inlineStr">
        <is>
          <t>32285000104512</t>
        </is>
      </c>
      <c r="BD870" t="inlineStr">
        <is>
          <t>893599281</t>
        </is>
      </c>
    </row>
    <row r="871">
      <c r="A871" t="inlineStr">
        <is>
          <t>No</t>
        </is>
      </c>
      <c r="B871" t="inlineStr">
        <is>
          <t>RC489.P76 H37 1987</t>
        </is>
      </c>
      <c r="C871" t="inlineStr">
        <is>
          <t>0                      RC 0489000P  76                 H  37          1987</t>
        </is>
      </c>
      <c r="D871" t="inlineStr">
        <is>
          <t>A psychology with a soul : psychosynthesis in evolutionary context / Jean Hardy.</t>
        </is>
      </c>
      <c r="F871" t="inlineStr">
        <is>
          <t>No</t>
        </is>
      </c>
      <c r="G871" t="inlineStr">
        <is>
          <t>1</t>
        </is>
      </c>
      <c r="H871" t="inlineStr">
        <is>
          <t>No</t>
        </is>
      </c>
      <c r="I871" t="inlineStr">
        <is>
          <t>No</t>
        </is>
      </c>
      <c r="J871" t="inlineStr">
        <is>
          <t>0</t>
        </is>
      </c>
      <c r="K871" t="inlineStr">
        <is>
          <t>Hardy, Jean.</t>
        </is>
      </c>
      <c r="L871" t="inlineStr">
        <is>
          <t>London ; New York : Routledge &amp; Kegan Paul, 1987.</t>
        </is>
      </c>
      <c r="M871" t="inlineStr">
        <is>
          <t>1987</t>
        </is>
      </c>
      <c r="O871" t="inlineStr">
        <is>
          <t>eng</t>
        </is>
      </c>
      <c r="P871" t="inlineStr">
        <is>
          <t>enk</t>
        </is>
      </c>
      <c r="R871" t="inlineStr">
        <is>
          <t xml:space="preserve">RC </t>
        </is>
      </c>
      <c r="S871" t="n">
        <v>2</v>
      </c>
      <c r="T871" t="n">
        <v>2</v>
      </c>
      <c r="U871" t="inlineStr">
        <is>
          <t>1997-12-02</t>
        </is>
      </c>
      <c r="V871" t="inlineStr">
        <is>
          <t>1997-12-02</t>
        </is>
      </c>
      <c r="W871" t="inlineStr">
        <is>
          <t>1990-03-29</t>
        </is>
      </c>
      <c r="X871" t="inlineStr">
        <is>
          <t>1990-03-29</t>
        </is>
      </c>
      <c r="Y871" t="n">
        <v>156</v>
      </c>
      <c r="Z871" t="n">
        <v>117</v>
      </c>
      <c r="AA871" t="n">
        <v>179</v>
      </c>
      <c r="AB871" t="n">
        <v>1</v>
      </c>
      <c r="AC871" t="n">
        <v>1</v>
      </c>
      <c r="AD871" t="n">
        <v>5</v>
      </c>
      <c r="AE871" t="n">
        <v>6</v>
      </c>
      <c r="AF871" t="n">
        <v>1</v>
      </c>
      <c r="AG871" t="n">
        <v>1</v>
      </c>
      <c r="AH871" t="n">
        <v>1</v>
      </c>
      <c r="AI871" t="n">
        <v>1</v>
      </c>
      <c r="AJ871" t="n">
        <v>5</v>
      </c>
      <c r="AK871" t="n">
        <v>6</v>
      </c>
      <c r="AL871" t="n">
        <v>0</v>
      </c>
      <c r="AM871" t="n">
        <v>0</v>
      </c>
      <c r="AN871" t="n">
        <v>0</v>
      </c>
      <c r="AO871" t="n">
        <v>0</v>
      </c>
      <c r="AP871" t="inlineStr">
        <is>
          <t>No</t>
        </is>
      </c>
      <c r="AQ871" t="inlineStr">
        <is>
          <t>No</t>
        </is>
      </c>
      <c r="AS871">
        <f>HYPERLINK("https://creighton-primo.hosted.exlibrisgroup.com/primo-explore/search?tab=default_tab&amp;search_scope=EVERYTHING&amp;vid=01CRU&amp;lang=en_US&amp;offset=0&amp;query=any,contains,991000928989702656","Catalog Record")</f>
        <v/>
      </c>
      <c r="AT871">
        <f>HYPERLINK("http://www.worldcat.org/oclc/14243164","WorldCat Record")</f>
        <v/>
      </c>
      <c r="AU871" t="inlineStr">
        <is>
          <t>836672873:eng</t>
        </is>
      </c>
      <c r="AV871" t="inlineStr">
        <is>
          <t>14243164</t>
        </is>
      </c>
      <c r="AW871" t="inlineStr">
        <is>
          <t>991000928989702656</t>
        </is>
      </c>
      <c r="AX871" t="inlineStr">
        <is>
          <t>991000928989702656</t>
        </is>
      </c>
      <c r="AY871" t="inlineStr">
        <is>
          <t>2267021800002656</t>
        </is>
      </c>
      <c r="AZ871" t="inlineStr">
        <is>
          <t>BOOK</t>
        </is>
      </c>
      <c r="BB871" t="inlineStr">
        <is>
          <t>9780710211224</t>
        </is>
      </c>
      <c r="BC871" t="inlineStr">
        <is>
          <t>32285000106806</t>
        </is>
      </c>
      <c r="BD871" t="inlineStr">
        <is>
          <t>893897349</t>
        </is>
      </c>
    </row>
    <row r="872">
      <c r="A872" t="inlineStr">
        <is>
          <t>No</t>
        </is>
      </c>
      <c r="B872" t="inlineStr">
        <is>
          <t>RC489.R3 B37</t>
        </is>
      </c>
      <c r="C872" t="inlineStr">
        <is>
          <t>0                      RC 0489000R  3                  B  37</t>
        </is>
      </c>
      <c r="D872" t="inlineStr">
        <is>
          <t>Rational emotive therapy in practice / James A. Bard.</t>
        </is>
      </c>
      <c r="F872" t="inlineStr">
        <is>
          <t>No</t>
        </is>
      </c>
      <c r="G872" t="inlineStr">
        <is>
          <t>1</t>
        </is>
      </c>
      <c r="H872" t="inlineStr">
        <is>
          <t>No</t>
        </is>
      </c>
      <c r="I872" t="inlineStr">
        <is>
          <t>No</t>
        </is>
      </c>
      <c r="J872" t="inlineStr">
        <is>
          <t>0</t>
        </is>
      </c>
      <c r="K872" t="inlineStr">
        <is>
          <t>Bard, James A.</t>
        </is>
      </c>
      <c r="L872" t="inlineStr">
        <is>
          <t>Champaign, Ill. : Research Press, c1980.</t>
        </is>
      </c>
      <c r="M872" t="inlineStr">
        <is>
          <t>1980</t>
        </is>
      </c>
      <c r="O872" t="inlineStr">
        <is>
          <t>eng</t>
        </is>
      </c>
      <c r="P872" t="inlineStr">
        <is>
          <t>ilu</t>
        </is>
      </c>
      <c r="R872" t="inlineStr">
        <is>
          <t xml:space="preserve">RC </t>
        </is>
      </c>
      <c r="S872" t="n">
        <v>18</v>
      </c>
      <c r="T872" t="n">
        <v>18</v>
      </c>
      <c r="U872" t="inlineStr">
        <is>
          <t>1996-05-02</t>
        </is>
      </c>
      <c r="V872" t="inlineStr">
        <is>
          <t>1996-05-02</t>
        </is>
      </c>
      <c r="W872" t="inlineStr">
        <is>
          <t>1990-06-29</t>
        </is>
      </c>
      <c r="X872" t="inlineStr">
        <is>
          <t>1990-06-29</t>
        </is>
      </c>
      <c r="Y872" t="n">
        <v>171</v>
      </c>
      <c r="Z872" t="n">
        <v>148</v>
      </c>
      <c r="AA872" t="n">
        <v>151</v>
      </c>
      <c r="AB872" t="n">
        <v>2</v>
      </c>
      <c r="AC872" t="n">
        <v>2</v>
      </c>
      <c r="AD872" t="n">
        <v>7</v>
      </c>
      <c r="AE872" t="n">
        <v>7</v>
      </c>
      <c r="AF872" t="n">
        <v>4</v>
      </c>
      <c r="AG872" t="n">
        <v>4</v>
      </c>
      <c r="AH872" t="n">
        <v>1</v>
      </c>
      <c r="AI872" t="n">
        <v>1</v>
      </c>
      <c r="AJ872" t="n">
        <v>5</v>
      </c>
      <c r="AK872" t="n">
        <v>5</v>
      </c>
      <c r="AL872" t="n">
        <v>1</v>
      </c>
      <c r="AM872" t="n">
        <v>1</v>
      </c>
      <c r="AN872" t="n">
        <v>0</v>
      </c>
      <c r="AO872" t="n">
        <v>0</v>
      </c>
      <c r="AP872" t="inlineStr">
        <is>
          <t>No</t>
        </is>
      </c>
      <c r="AQ872" t="inlineStr">
        <is>
          <t>Yes</t>
        </is>
      </c>
      <c r="AR872">
        <f>HYPERLINK("http://catalog.hathitrust.org/Record/000103448","HathiTrust Record")</f>
        <v/>
      </c>
      <c r="AS872">
        <f>HYPERLINK("https://creighton-primo.hosted.exlibrisgroup.com/primo-explore/search?tab=default_tab&amp;search_scope=EVERYTHING&amp;vid=01CRU&amp;lang=en_US&amp;offset=0&amp;query=any,contains,991005064409702656","Catalog Record")</f>
        <v/>
      </c>
      <c r="AT872">
        <f>HYPERLINK("http://www.worldcat.org/oclc/6943109","WorldCat Record")</f>
        <v/>
      </c>
      <c r="AU872" t="inlineStr">
        <is>
          <t>25159752:eng</t>
        </is>
      </c>
      <c r="AV872" t="inlineStr">
        <is>
          <t>6943109</t>
        </is>
      </c>
      <c r="AW872" t="inlineStr">
        <is>
          <t>991005064409702656</t>
        </is>
      </c>
      <c r="AX872" t="inlineStr">
        <is>
          <t>991005064409702656</t>
        </is>
      </c>
      <c r="AY872" t="inlineStr">
        <is>
          <t>2257138780002656</t>
        </is>
      </c>
      <c r="AZ872" t="inlineStr">
        <is>
          <t>BOOK</t>
        </is>
      </c>
      <c r="BB872" t="inlineStr">
        <is>
          <t>9780878222131</t>
        </is>
      </c>
      <c r="BC872" t="inlineStr">
        <is>
          <t>32285000217546</t>
        </is>
      </c>
      <c r="BD872" t="inlineStr">
        <is>
          <t>893326102</t>
        </is>
      </c>
    </row>
    <row r="873">
      <c r="A873" t="inlineStr">
        <is>
          <t>No</t>
        </is>
      </c>
      <c r="B873" t="inlineStr">
        <is>
          <t>RC489.R3 E43</t>
        </is>
      </c>
      <c r="C873" t="inlineStr">
        <is>
          <t>0                      RC 0489000R  3                  E  43</t>
        </is>
      </c>
      <c r="D873" t="inlineStr">
        <is>
          <t>Brief psychotherapy in medical and health practice / Albert Ellis and Eliot Abrahms.</t>
        </is>
      </c>
      <c r="F873" t="inlineStr">
        <is>
          <t>No</t>
        </is>
      </c>
      <c r="G873" t="inlineStr">
        <is>
          <t>1</t>
        </is>
      </c>
      <c r="H873" t="inlineStr">
        <is>
          <t>No</t>
        </is>
      </c>
      <c r="I873" t="inlineStr">
        <is>
          <t>No</t>
        </is>
      </c>
      <c r="J873" t="inlineStr">
        <is>
          <t>0</t>
        </is>
      </c>
      <c r="K873" t="inlineStr">
        <is>
          <t>Ellis, Albert, 1913-2007.</t>
        </is>
      </c>
      <c r="L873" t="inlineStr">
        <is>
          <t>New York : Springer Pub. Co., c1978.</t>
        </is>
      </c>
      <c r="M873" t="inlineStr">
        <is>
          <t>1978</t>
        </is>
      </c>
      <c r="O873" t="inlineStr">
        <is>
          <t>eng</t>
        </is>
      </c>
      <c r="P873" t="inlineStr">
        <is>
          <t>nyu</t>
        </is>
      </c>
      <c r="R873" t="inlineStr">
        <is>
          <t xml:space="preserve">RC </t>
        </is>
      </c>
      <c r="S873" t="n">
        <v>11</v>
      </c>
      <c r="T873" t="n">
        <v>11</v>
      </c>
      <c r="U873" t="inlineStr">
        <is>
          <t>1996-01-15</t>
        </is>
      </c>
      <c r="V873" t="inlineStr">
        <is>
          <t>1996-01-15</t>
        </is>
      </c>
      <c r="W873" t="inlineStr">
        <is>
          <t>1990-07-11</t>
        </is>
      </c>
      <c r="X873" t="inlineStr">
        <is>
          <t>1990-07-11</t>
        </is>
      </c>
      <c r="Y873" t="n">
        <v>223</v>
      </c>
      <c r="Z873" t="n">
        <v>194</v>
      </c>
      <c r="AA873" t="n">
        <v>196</v>
      </c>
      <c r="AB873" t="n">
        <v>3</v>
      </c>
      <c r="AC873" t="n">
        <v>3</v>
      </c>
      <c r="AD873" t="n">
        <v>7</v>
      </c>
      <c r="AE873" t="n">
        <v>7</v>
      </c>
      <c r="AF873" t="n">
        <v>2</v>
      </c>
      <c r="AG873" t="n">
        <v>2</v>
      </c>
      <c r="AH873" t="n">
        <v>1</v>
      </c>
      <c r="AI873" t="n">
        <v>1</v>
      </c>
      <c r="AJ873" t="n">
        <v>3</v>
      </c>
      <c r="AK873" t="n">
        <v>3</v>
      </c>
      <c r="AL873" t="n">
        <v>2</v>
      </c>
      <c r="AM873" t="n">
        <v>2</v>
      </c>
      <c r="AN873" t="n">
        <v>0</v>
      </c>
      <c r="AO873" t="n">
        <v>0</v>
      </c>
      <c r="AP873" t="inlineStr">
        <is>
          <t>No</t>
        </is>
      </c>
      <c r="AQ873" t="inlineStr">
        <is>
          <t>Yes</t>
        </is>
      </c>
      <c r="AR873">
        <f>HYPERLINK("http://catalog.hathitrust.org/Record/000216053","HathiTrust Record")</f>
        <v/>
      </c>
      <c r="AS873">
        <f>HYPERLINK("https://creighton-primo.hosted.exlibrisgroup.com/primo-explore/search?tab=default_tab&amp;search_scope=EVERYTHING&amp;vid=01CRU&amp;lang=en_US&amp;offset=0&amp;query=any,contains,991005318119702656","Catalog Record")</f>
        <v/>
      </c>
      <c r="AT873">
        <f>HYPERLINK("http://www.worldcat.org/oclc/4194507","WorldCat Record")</f>
        <v/>
      </c>
      <c r="AU873" t="inlineStr">
        <is>
          <t>1781735028:eng</t>
        </is>
      </c>
      <c r="AV873" t="inlineStr">
        <is>
          <t>4194507</t>
        </is>
      </c>
      <c r="AW873" t="inlineStr">
        <is>
          <t>991005318119702656</t>
        </is>
      </c>
      <c r="AX873" t="inlineStr">
        <is>
          <t>991005318119702656</t>
        </is>
      </c>
      <c r="AY873" t="inlineStr">
        <is>
          <t>2262453780002656</t>
        </is>
      </c>
      <c r="AZ873" t="inlineStr">
        <is>
          <t>BOOK</t>
        </is>
      </c>
      <c r="BB873" t="inlineStr">
        <is>
          <t>9780826126405</t>
        </is>
      </c>
      <c r="BC873" t="inlineStr">
        <is>
          <t>32285000235621</t>
        </is>
      </c>
      <c r="BD873" t="inlineStr">
        <is>
          <t>893870886</t>
        </is>
      </c>
    </row>
    <row r="874">
      <c r="A874" t="inlineStr">
        <is>
          <t>No</t>
        </is>
      </c>
      <c r="B874" t="inlineStr">
        <is>
          <t>RC489.R3 E444 1975</t>
        </is>
      </c>
      <c r="C874" t="inlineStr">
        <is>
          <t>0                      RC 0489000R  3                  E  444         1975</t>
        </is>
      </c>
      <c r="D874" t="inlineStr">
        <is>
          <t>A new guide to rational living / Albert Ellis and Robert A. Harper.</t>
        </is>
      </c>
      <c r="F874" t="inlineStr">
        <is>
          <t>No</t>
        </is>
      </c>
      <c r="G874" t="inlineStr">
        <is>
          <t>1</t>
        </is>
      </c>
      <c r="H874" t="inlineStr">
        <is>
          <t>No</t>
        </is>
      </c>
      <c r="I874" t="inlineStr">
        <is>
          <t>No</t>
        </is>
      </c>
      <c r="J874" t="inlineStr">
        <is>
          <t>0</t>
        </is>
      </c>
      <c r="K874" t="inlineStr">
        <is>
          <t>Ellis, Albert, 1913-2007.</t>
        </is>
      </c>
      <c r="L874" t="inlineStr">
        <is>
          <t>Englewood Cliffs, N.J. : Prentice-Hall, [1975]</t>
        </is>
      </c>
      <c r="M874" t="inlineStr">
        <is>
          <t>1975</t>
        </is>
      </c>
      <c r="O874" t="inlineStr">
        <is>
          <t>eng</t>
        </is>
      </c>
      <c r="P874" t="inlineStr">
        <is>
          <t>nju</t>
        </is>
      </c>
      <c r="R874" t="inlineStr">
        <is>
          <t xml:space="preserve">RC </t>
        </is>
      </c>
      <c r="S874" t="n">
        <v>2</v>
      </c>
      <c r="T874" t="n">
        <v>2</v>
      </c>
      <c r="U874" t="inlineStr">
        <is>
          <t>1993-11-12</t>
        </is>
      </c>
      <c r="V874" t="inlineStr">
        <is>
          <t>1993-11-12</t>
        </is>
      </c>
      <c r="W874" t="inlineStr">
        <is>
          <t>1992-07-20</t>
        </is>
      </c>
      <c r="X874" t="inlineStr">
        <is>
          <t>1992-07-20</t>
        </is>
      </c>
      <c r="Y874" t="n">
        <v>721</v>
      </c>
      <c r="Z874" t="n">
        <v>632</v>
      </c>
      <c r="AA874" t="n">
        <v>962</v>
      </c>
      <c r="AB874" t="n">
        <v>9</v>
      </c>
      <c r="AC874" t="n">
        <v>13</v>
      </c>
      <c r="AD874" t="n">
        <v>26</v>
      </c>
      <c r="AE874" t="n">
        <v>33</v>
      </c>
      <c r="AF874" t="n">
        <v>11</v>
      </c>
      <c r="AG874" t="n">
        <v>15</v>
      </c>
      <c r="AH874" t="n">
        <v>1</v>
      </c>
      <c r="AI874" t="n">
        <v>4</v>
      </c>
      <c r="AJ874" t="n">
        <v>12</v>
      </c>
      <c r="AK874" t="n">
        <v>12</v>
      </c>
      <c r="AL874" t="n">
        <v>7</v>
      </c>
      <c r="AM874" t="n">
        <v>8</v>
      </c>
      <c r="AN874" t="n">
        <v>0</v>
      </c>
      <c r="AO874" t="n">
        <v>0</v>
      </c>
      <c r="AP874" t="inlineStr">
        <is>
          <t>No</t>
        </is>
      </c>
      <c r="AQ874" t="inlineStr">
        <is>
          <t>Yes</t>
        </is>
      </c>
      <c r="AR874">
        <f>HYPERLINK("http://catalog.hathitrust.org/Record/000020780","HathiTrust Record")</f>
        <v/>
      </c>
      <c r="AS874">
        <f>HYPERLINK("https://creighton-primo.hosted.exlibrisgroup.com/primo-explore/search?tab=default_tab&amp;search_scope=EVERYTHING&amp;vid=01CRU&amp;lang=en_US&amp;offset=0&amp;query=any,contains,991003628319702656","Catalog Record")</f>
        <v/>
      </c>
      <c r="AT874">
        <f>HYPERLINK("http://www.worldcat.org/oclc/1218545","WorldCat Record")</f>
        <v/>
      </c>
      <c r="AU874" t="inlineStr">
        <is>
          <t>105185761:eng</t>
        </is>
      </c>
      <c r="AV874" t="inlineStr">
        <is>
          <t>1218545</t>
        </is>
      </c>
      <c r="AW874" t="inlineStr">
        <is>
          <t>991003628319702656</t>
        </is>
      </c>
      <c r="AX874" t="inlineStr">
        <is>
          <t>991003628319702656</t>
        </is>
      </c>
      <c r="AY874" t="inlineStr">
        <is>
          <t>2271741080002656</t>
        </is>
      </c>
      <c r="AZ874" t="inlineStr">
        <is>
          <t>BOOK</t>
        </is>
      </c>
      <c r="BB874" t="inlineStr">
        <is>
          <t>9780136149095</t>
        </is>
      </c>
      <c r="BC874" t="inlineStr">
        <is>
          <t>32285001211704</t>
        </is>
      </c>
      <c r="BD874" t="inlineStr">
        <is>
          <t>893793835</t>
        </is>
      </c>
    </row>
    <row r="875">
      <c r="A875" t="inlineStr">
        <is>
          <t>No</t>
        </is>
      </c>
      <c r="B875" t="inlineStr">
        <is>
          <t>RC489.R3 H36</t>
        </is>
      </c>
      <c r="C875" t="inlineStr">
        <is>
          <t>0                      RC 0489000R  3                  H  36</t>
        </is>
      </c>
      <c r="D875" t="inlineStr">
        <is>
          <t>Handbook of rational-emotive therapy / Albert Ellis and Russell Grieger, with contributors.</t>
        </is>
      </c>
      <c r="E875" t="inlineStr">
        <is>
          <t>V.1</t>
        </is>
      </c>
      <c r="F875" t="inlineStr">
        <is>
          <t>No</t>
        </is>
      </c>
      <c r="G875" t="inlineStr">
        <is>
          <t>1</t>
        </is>
      </c>
      <c r="H875" t="inlineStr">
        <is>
          <t>No</t>
        </is>
      </c>
      <c r="I875" t="inlineStr">
        <is>
          <t>No</t>
        </is>
      </c>
      <c r="J875" t="inlineStr">
        <is>
          <t>0</t>
        </is>
      </c>
      <c r="L875" t="inlineStr">
        <is>
          <t>New York : Springer Pub. Co., c1977-&lt;c1986 &gt;</t>
        </is>
      </c>
      <c r="M875" t="inlineStr">
        <is>
          <t>1977</t>
        </is>
      </c>
      <c r="O875" t="inlineStr">
        <is>
          <t>eng</t>
        </is>
      </c>
      <c r="P875" t="inlineStr">
        <is>
          <t>nyu</t>
        </is>
      </c>
      <c r="R875" t="inlineStr">
        <is>
          <t xml:space="preserve">RC </t>
        </is>
      </c>
      <c r="S875" t="n">
        <v>29</v>
      </c>
      <c r="T875" t="n">
        <v>29</v>
      </c>
      <c r="U875" t="inlineStr">
        <is>
          <t>2006-10-06</t>
        </is>
      </c>
      <c r="V875" t="inlineStr">
        <is>
          <t>2006-10-06</t>
        </is>
      </c>
      <c r="W875" t="inlineStr">
        <is>
          <t>1990-07-16</t>
        </is>
      </c>
      <c r="X875" t="inlineStr">
        <is>
          <t>1990-07-16</t>
        </is>
      </c>
      <c r="Y875" t="n">
        <v>799</v>
      </c>
      <c r="Z875" t="n">
        <v>687</v>
      </c>
      <c r="AA875" t="n">
        <v>704</v>
      </c>
      <c r="AB875" t="n">
        <v>8</v>
      </c>
      <c r="AC875" t="n">
        <v>8</v>
      </c>
      <c r="AD875" t="n">
        <v>34</v>
      </c>
      <c r="AE875" t="n">
        <v>34</v>
      </c>
      <c r="AF875" t="n">
        <v>14</v>
      </c>
      <c r="AG875" t="n">
        <v>14</v>
      </c>
      <c r="AH875" t="n">
        <v>6</v>
      </c>
      <c r="AI875" t="n">
        <v>6</v>
      </c>
      <c r="AJ875" t="n">
        <v>13</v>
      </c>
      <c r="AK875" t="n">
        <v>13</v>
      </c>
      <c r="AL875" t="n">
        <v>7</v>
      </c>
      <c r="AM875" t="n">
        <v>7</v>
      </c>
      <c r="AN875" t="n">
        <v>0</v>
      </c>
      <c r="AO875" t="n">
        <v>0</v>
      </c>
      <c r="AP875" t="inlineStr">
        <is>
          <t>No</t>
        </is>
      </c>
      <c r="AQ875" t="inlineStr">
        <is>
          <t>Yes</t>
        </is>
      </c>
      <c r="AR875">
        <f>HYPERLINK("http://catalog.hathitrust.org/Record/000294598","HathiTrust Record")</f>
        <v/>
      </c>
      <c r="AS875">
        <f>HYPERLINK("https://creighton-primo.hosted.exlibrisgroup.com/primo-explore/search?tab=default_tab&amp;search_scope=EVERYTHING&amp;vid=01CRU&amp;lang=en_US&amp;offset=0&amp;query=any,contains,991004373069702656","Catalog Record")</f>
        <v/>
      </c>
      <c r="AT875">
        <f>HYPERLINK("http://www.worldcat.org/oclc/3202592","WorldCat Record")</f>
        <v/>
      </c>
      <c r="AU875" t="inlineStr">
        <is>
          <t>3901527682:eng</t>
        </is>
      </c>
      <c r="AV875" t="inlineStr">
        <is>
          <t>3202592</t>
        </is>
      </c>
      <c r="AW875" t="inlineStr">
        <is>
          <t>991004373069702656</t>
        </is>
      </c>
      <c r="AX875" t="inlineStr">
        <is>
          <t>991004373069702656</t>
        </is>
      </c>
      <c r="AY875" t="inlineStr">
        <is>
          <t>2270344110002656</t>
        </is>
      </c>
      <c r="AZ875" t="inlineStr">
        <is>
          <t>BOOK</t>
        </is>
      </c>
      <c r="BB875" t="inlineStr">
        <is>
          <t>9780826122001</t>
        </is>
      </c>
      <c r="BC875" t="inlineStr">
        <is>
          <t>32285000231166</t>
        </is>
      </c>
      <c r="BD875" t="inlineStr">
        <is>
          <t>893624651</t>
        </is>
      </c>
    </row>
    <row r="876">
      <c r="A876" t="inlineStr">
        <is>
          <t>No</t>
        </is>
      </c>
      <c r="B876" t="inlineStr">
        <is>
          <t>RC489.R3 I57 1989</t>
        </is>
      </c>
      <c r="C876" t="inlineStr">
        <is>
          <t>0                      RC 0489000R  3                  I  57          1989</t>
        </is>
      </c>
      <c r="D876" t="inlineStr">
        <is>
          <t>Inside rational-emotive therapy : a critical appraisal of the theory and therapy of Albert Ellis / edited by Michael E. Bernard, Raymond DiGiuseppe.</t>
        </is>
      </c>
      <c r="F876" t="inlineStr">
        <is>
          <t>No</t>
        </is>
      </c>
      <c r="G876" t="inlineStr">
        <is>
          <t>1</t>
        </is>
      </c>
      <c r="H876" t="inlineStr">
        <is>
          <t>No</t>
        </is>
      </c>
      <c r="I876" t="inlineStr">
        <is>
          <t>No</t>
        </is>
      </c>
      <c r="J876" t="inlineStr">
        <is>
          <t>0</t>
        </is>
      </c>
      <c r="L876" t="inlineStr">
        <is>
          <t>San Diego : Academic Press, 1989.</t>
        </is>
      </c>
      <c r="M876" t="inlineStr">
        <is>
          <t>1989</t>
        </is>
      </c>
      <c r="O876" t="inlineStr">
        <is>
          <t>eng</t>
        </is>
      </c>
      <c r="P876" t="inlineStr">
        <is>
          <t>cau</t>
        </is>
      </c>
      <c r="Q876" t="inlineStr">
        <is>
          <t>Personality, psychopathology, and psychotherapy ; 38</t>
        </is>
      </c>
      <c r="R876" t="inlineStr">
        <is>
          <t xml:space="preserve">RC </t>
        </is>
      </c>
      <c r="S876" t="n">
        <v>19</v>
      </c>
      <c r="T876" t="n">
        <v>19</v>
      </c>
      <c r="U876" t="inlineStr">
        <is>
          <t>2010-11-12</t>
        </is>
      </c>
      <c r="V876" t="inlineStr">
        <is>
          <t>2010-11-12</t>
        </is>
      </c>
      <c r="W876" t="inlineStr">
        <is>
          <t>1991-06-06</t>
        </is>
      </c>
      <c r="X876" t="inlineStr">
        <is>
          <t>1991-06-06</t>
        </is>
      </c>
      <c r="Y876" t="n">
        <v>194</v>
      </c>
      <c r="Z876" t="n">
        <v>168</v>
      </c>
      <c r="AA876" t="n">
        <v>199</v>
      </c>
      <c r="AB876" t="n">
        <v>3</v>
      </c>
      <c r="AC876" t="n">
        <v>3</v>
      </c>
      <c r="AD876" t="n">
        <v>13</v>
      </c>
      <c r="AE876" t="n">
        <v>14</v>
      </c>
      <c r="AF876" t="n">
        <v>3</v>
      </c>
      <c r="AG876" t="n">
        <v>3</v>
      </c>
      <c r="AH876" t="n">
        <v>3</v>
      </c>
      <c r="AI876" t="n">
        <v>4</v>
      </c>
      <c r="AJ876" t="n">
        <v>6</v>
      </c>
      <c r="AK876" t="n">
        <v>7</v>
      </c>
      <c r="AL876" t="n">
        <v>2</v>
      </c>
      <c r="AM876" t="n">
        <v>2</v>
      </c>
      <c r="AN876" t="n">
        <v>0</v>
      </c>
      <c r="AO876" t="n">
        <v>0</v>
      </c>
      <c r="AP876" t="inlineStr">
        <is>
          <t>No</t>
        </is>
      </c>
      <c r="AQ876" t="inlineStr">
        <is>
          <t>No</t>
        </is>
      </c>
      <c r="AS876">
        <f>HYPERLINK("https://creighton-primo.hosted.exlibrisgroup.com/primo-explore/search?tab=default_tab&amp;search_scope=EVERYTHING&amp;vid=01CRU&amp;lang=en_US&amp;offset=0&amp;query=any,contains,991001266059702656","Catalog Record")</f>
        <v/>
      </c>
      <c r="AT876">
        <f>HYPERLINK("http://www.worldcat.org/oclc/17805670","WorldCat Record")</f>
        <v/>
      </c>
      <c r="AU876" t="inlineStr">
        <is>
          <t>836863556:eng</t>
        </is>
      </c>
      <c r="AV876" t="inlineStr">
        <is>
          <t>17805670</t>
        </is>
      </c>
      <c r="AW876" t="inlineStr">
        <is>
          <t>991001266059702656</t>
        </is>
      </c>
      <c r="AX876" t="inlineStr">
        <is>
          <t>991001266059702656</t>
        </is>
      </c>
      <c r="AY876" t="inlineStr">
        <is>
          <t>2265990600002656</t>
        </is>
      </c>
      <c r="AZ876" t="inlineStr">
        <is>
          <t>BOOK</t>
        </is>
      </c>
      <c r="BB876" t="inlineStr">
        <is>
          <t>9780120928750</t>
        </is>
      </c>
      <c r="BC876" t="inlineStr">
        <is>
          <t>32285000593680</t>
        </is>
      </c>
      <c r="BD876" t="inlineStr">
        <is>
          <t>893516064</t>
        </is>
      </c>
    </row>
    <row r="877">
      <c r="A877" t="inlineStr">
        <is>
          <t>No</t>
        </is>
      </c>
      <c r="B877" t="inlineStr">
        <is>
          <t>RC489.R3 T67</t>
        </is>
      </c>
      <c r="C877" t="inlineStr">
        <is>
          <t>0                      RC 0489000R  3                  T  67</t>
        </is>
      </c>
      <c r="D877" t="inlineStr">
        <is>
          <t>Youth : toward personal growth : a rational-emotive approach / [by] Donald J. Tosi.</t>
        </is>
      </c>
      <c r="F877" t="inlineStr">
        <is>
          <t>No</t>
        </is>
      </c>
      <c r="G877" t="inlineStr">
        <is>
          <t>1</t>
        </is>
      </c>
      <c r="H877" t="inlineStr">
        <is>
          <t>No</t>
        </is>
      </c>
      <c r="I877" t="inlineStr">
        <is>
          <t>No</t>
        </is>
      </c>
      <c r="J877" t="inlineStr">
        <is>
          <t>0</t>
        </is>
      </c>
      <c r="K877" t="inlineStr">
        <is>
          <t>Tosi, Donald J.</t>
        </is>
      </c>
      <c r="L877" t="inlineStr">
        <is>
          <t>Columbus, Ohio : Merrill, [1974]</t>
        </is>
      </c>
      <c r="M877" t="inlineStr">
        <is>
          <t>1974</t>
        </is>
      </c>
      <c r="O877" t="inlineStr">
        <is>
          <t>eng</t>
        </is>
      </c>
      <c r="P877" t="inlineStr">
        <is>
          <t>ohu</t>
        </is>
      </c>
      <c r="Q877" t="inlineStr">
        <is>
          <t>Counseling youth series</t>
        </is>
      </c>
      <c r="R877" t="inlineStr">
        <is>
          <t xml:space="preserve">RC </t>
        </is>
      </c>
      <c r="S877" t="n">
        <v>4</v>
      </c>
      <c r="T877" t="n">
        <v>4</v>
      </c>
      <c r="U877" t="inlineStr">
        <is>
          <t>1994-12-04</t>
        </is>
      </c>
      <c r="V877" t="inlineStr">
        <is>
          <t>1994-12-04</t>
        </is>
      </c>
      <c r="W877" t="inlineStr">
        <is>
          <t>1993-12-01</t>
        </is>
      </c>
      <c r="X877" t="inlineStr">
        <is>
          <t>1993-12-01</t>
        </is>
      </c>
      <c r="Y877" t="n">
        <v>213</v>
      </c>
      <c r="Z877" t="n">
        <v>183</v>
      </c>
      <c r="AA877" t="n">
        <v>185</v>
      </c>
      <c r="AB877" t="n">
        <v>4</v>
      </c>
      <c r="AC877" t="n">
        <v>4</v>
      </c>
      <c r="AD877" t="n">
        <v>11</v>
      </c>
      <c r="AE877" t="n">
        <v>11</v>
      </c>
      <c r="AF877" t="n">
        <v>2</v>
      </c>
      <c r="AG877" t="n">
        <v>2</v>
      </c>
      <c r="AH877" t="n">
        <v>2</v>
      </c>
      <c r="AI877" t="n">
        <v>2</v>
      </c>
      <c r="AJ877" t="n">
        <v>5</v>
      </c>
      <c r="AK877" t="n">
        <v>5</v>
      </c>
      <c r="AL877" t="n">
        <v>3</v>
      </c>
      <c r="AM877" t="n">
        <v>3</v>
      </c>
      <c r="AN877" t="n">
        <v>0</v>
      </c>
      <c r="AO877" t="n">
        <v>0</v>
      </c>
      <c r="AP877" t="inlineStr">
        <is>
          <t>No</t>
        </is>
      </c>
      <c r="AQ877" t="inlineStr">
        <is>
          <t>Yes</t>
        </is>
      </c>
      <c r="AR877">
        <f>HYPERLINK("http://catalog.hathitrust.org/Record/001564750","HathiTrust Record")</f>
        <v/>
      </c>
      <c r="AS877">
        <f>HYPERLINK("https://creighton-primo.hosted.exlibrisgroup.com/primo-explore/search?tab=default_tab&amp;search_scope=EVERYTHING&amp;vid=01CRU&amp;lang=en_US&amp;offset=0&amp;query=any,contains,991003311649702656","Catalog Record")</f>
        <v/>
      </c>
      <c r="AT877">
        <f>HYPERLINK("http://www.worldcat.org/oclc/834970","WorldCat Record")</f>
        <v/>
      </c>
      <c r="AU877" t="inlineStr">
        <is>
          <t>279675910:eng</t>
        </is>
      </c>
      <c r="AV877" t="inlineStr">
        <is>
          <t>834970</t>
        </is>
      </c>
      <c r="AW877" t="inlineStr">
        <is>
          <t>991003311649702656</t>
        </is>
      </c>
      <c r="AX877" t="inlineStr">
        <is>
          <t>991003311649702656</t>
        </is>
      </c>
      <c r="AY877" t="inlineStr">
        <is>
          <t>2267453980002656</t>
        </is>
      </c>
      <c r="AZ877" t="inlineStr">
        <is>
          <t>BOOK</t>
        </is>
      </c>
      <c r="BB877" t="inlineStr">
        <is>
          <t>9780675088770</t>
        </is>
      </c>
      <c r="BC877" t="inlineStr">
        <is>
          <t>32285001814960</t>
        </is>
      </c>
      <c r="BD877" t="inlineStr">
        <is>
          <t>893342451</t>
        </is>
      </c>
    </row>
    <row r="878">
      <c r="A878" t="inlineStr">
        <is>
          <t>No</t>
        </is>
      </c>
      <c r="B878" t="inlineStr">
        <is>
          <t>RC489.R3 W34</t>
        </is>
      </c>
      <c r="C878" t="inlineStr">
        <is>
          <t>0                      RC 0489000R  3                  W  34</t>
        </is>
      </c>
      <c r="D878" t="inlineStr">
        <is>
          <t>A practitioner's guide to rational-emotive therapy / Susan R. Walen, Raymond DiGiuseppe, Richard L. Wessler.</t>
        </is>
      </c>
      <c r="F878" t="inlineStr">
        <is>
          <t>No</t>
        </is>
      </c>
      <c r="G878" t="inlineStr">
        <is>
          <t>1</t>
        </is>
      </c>
      <c r="H878" t="inlineStr">
        <is>
          <t>No</t>
        </is>
      </c>
      <c r="I878" t="inlineStr">
        <is>
          <t>No</t>
        </is>
      </c>
      <c r="J878" t="inlineStr">
        <is>
          <t>0</t>
        </is>
      </c>
      <c r="K878" t="inlineStr">
        <is>
          <t>Walen, Susan R.</t>
        </is>
      </c>
      <c r="L878" t="inlineStr">
        <is>
          <t>New York : Oxford University Press, 1980.</t>
        </is>
      </c>
      <c r="M878" t="inlineStr">
        <is>
          <t>1980</t>
        </is>
      </c>
      <c r="O878" t="inlineStr">
        <is>
          <t>eng</t>
        </is>
      </c>
      <c r="P878" t="inlineStr">
        <is>
          <t>nyu</t>
        </is>
      </c>
      <c r="R878" t="inlineStr">
        <is>
          <t xml:space="preserve">RC </t>
        </is>
      </c>
      <c r="S878" t="n">
        <v>16</v>
      </c>
      <c r="T878" t="n">
        <v>16</v>
      </c>
      <c r="U878" t="inlineStr">
        <is>
          <t>1998-06-21</t>
        </is>
      </c>
      <c r="V878" t="inlineStr">
        <is>
          <t>1998-06-21</t>
        </is>
      </c>
      <c r="W878" t="inlineStr">
        <is>
          <t>1992-04-28</t>
        </is>
      </c>
      <c r="X878" t="inlineStr">
        <is>
          <t>1992-04-28</t>
        </is>
      </c>
      <c r="Y878" t="n">
        <v>300</v>
      </c>
      <c r="Z878" t="n">
        <v>219</v>
      </c>
      <c r="AA878" t="n">
        <v>378</v>
      </c>
      <c r="AB878" t="n">
        <v>2</v>
      </c>
      <c r="AC878" t="n">
        <v>2</v>
      </c>
      <c r="AD878" t="n">
        <v>11</v>
      </c>
      <c r="AE878" t="n">
        <v>16</v>
      </c>
      <c r="AF878" t="n">
        <v>2</v>
      </c>
      <c r="AG878" t="n">
        <v>5</v>
      </c>
      <c r="AH878" t="n">
        <v>4</v>
      </c>
      <c r="AI878" t="n">
        <v>6</v>
      </c>
      <c r="AJ878" t="n">
        <v>7</v>
      </c>
      <c r="AK878" t="n">
        <v>9</v>
      </c>
      <c r="AL878" t="n">
        <v>1</v>
      </c>
      <c r="AM878" t="n">
        <v>1</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HYPERLINK("https://creighton-primo.hosted.exlibrisgroup.com/primo-explore/search?tab=default_tab&amp;search_scope=EVERYTHING&amp;vid=01CRU&amp;lang=en_US&amp;offset=0&amp;query=any,contains,991004778809702656","Catalog Record")</f>
        <v/>
      </c>
      <c r="AT878">
        <f>HYPERLINK("http://www.worldcat.org/oclc/5101953","WorldCat Record")</f>
        <v/>
      </c>
      <c r="AU878" t="inlineStr">
        <is>
          <t>15265086:eng</t>
        </is>
      </c>
      <c r="AV878" t="inlineStr">
        <is>
          <t>5101953</t>
        </is>
      </c>
      <c r="AW878" t="inlineStr">
        <is>
          <t>991004778809702656</t>
        </is>
      </c>
      <c r="AX878" t="inlineStr">
        <is>
          <t>991004778809702656</t>
        </is>
      </c>
      <c r="AY878" t="inlineStr">
        <is>
          <t>2259005750002656</t>
        </is>
      </c>
      <c r="AZ878" t="inlineStr">
        <is>
          <t>BOOK</t>
        </is>
      </c>
      <c r="BB878" t="inlineStr">
        <is>
          <t>9780195026672</t>
        </is>
      </c>
      <c r="BC878" t="inlineStr">
        <is>
          <t>32285001102465</t>
        </is>
      </c>
      <c r="BD878" t="inlineStr">
        <is>
          <t>893776426</t>
        </is>
      </c>
    </row>
    <row r="879">
      <c r="A879" t="inlineStr">
        <is>
          <t>No</t>
        </is>
      </c>
      <c r="B879" t="inlineStr">
        <is>
          <t>RC489.R3 W47</t>
        </is>
      </c>
      <c r="C879" t="inlineStr">
        <is>
          <t>0                      RC 0489000R  3                  W  47</t>
        </is>
      </c>
      <c r="D879" t="inlineStr">
        <is>
          <t>The principles and practice of rational-emotive therapy / Ruth A. Wessler, Richard L. Wessler.</t>
        </is>
      </c>
      <c r="F879" t="inlineStr">
        <is>
          <t>No</t>
        </is>
      </c>
      <c r="G879" t="inlineStr">
        <is>
          <t>1</t>
        </is>
      </c>
      <c r="H879" t="inlineStr">
        <is>
          <t>No</t>
        </is>
      </c>
      <c r="I879" t="inlineStr">
        <is>
          <t>No</t>
        </is>
      </c>
      <c r="J879" t="inlineStr">
        <is>
          <t>0</t>
        </is>
      </c>
      <c r="K879" t="inlineStr">
        <is>
          <t>Wessler, Ruth, 1938-</t>
        </is>
      </c>
      <c r="L879" t="inlineStr">
        <is>
          <t>San Francisco : Jossey-Bass, 1980.</t>
        </is>
      </c>
      <c r="M879" t="inlineStr">
        <is>
          <t>1980</t>
        </is>
      </c>
      <c r="O879" t="inlineStr">
        <is>
          <t>eng</t>
        </is>
      </c>
      <c r="P879" t="inlineStr">
        <is>
          <t>cau</t>
        </is>
      </c>
      <c r="R879" t="inlineStr">
        <is>
          <t xml:space="preserve">RC </t>
        </is>
      </c>
      <c r="S879" t="n">
        <v>16</v>
      </c>
      <c r="T879" t="n">
        <v>16</v>
      </c>
      <c r="U879" t="inlineStr">
        <is>
          <t>1996-05-02</t>
        </is>
      </c>
      <c r="V879" t="inlineStr">
        <is>
          <t>1996-05-02</t>
        </is>
      </c>
      <c r="W879" t="inlineStr">
        <is>
          <t>1990-07-11</t>
        </is>
      </c>
      <c r="X879" t="inlineStr">
        <is>
          <t>1990-07-11</t>
        </is>
      </c>
      <c r="Y879" t="n">
        <v>431</v>
      </c>
      <c r="Z879" t="n">
        <v>325</v>
      </c>
      <c r="AA879" t="n">
        <v>327</v>
      </c>
      <c r="AB879" t="n">
        <v>2</v>
      </c>
      <c r="AC879" t="n">
        <v>2</v>
      </c>
      <c r="AD879" t="n">
        <v>16</v>
      </c>
      <c r="AE879" t="n">
        <v>16</v>
      </c>
      <c r="AF879" t="n">
        <v>6</v>
      </c>
      <c r="AG879" t="n">
        <v>6</v>
      </c>
      <c r="AH879" t="n">
        <v>6</v>
      </c>
      <c r="AI879" t="n">
        <v>6</v>
      </c>
      <c r="AJ879" t="n">
        <v>9</v>
      </c>
      <c r="AK879" t="n">
        <v>9</v>
      </c>
      <c r="AL879" t="n">
        <v>1</v>
      </c>
      <c r="AM879" t="n">
        <v>1</v>
      </c>
      <c r="AN879" t="n">
        <v>0</v>
      </c>
      <c r="AO879" t="n">
        <v>0</v>
      </c>
      <c r="AP879" t="inlineStr">
        <is>
          <t>No</t>
        </is>
      </c>
      <c r="AQ879" t="inlineStr">
        <is>
          <t>Yes</t>
        </is>
      </c>
      <c r="AR879">
        <f>HYPERLINK("http://catalog.hathitrust.org/Record/007400985","HathiTrust Record")</f>
        <v/>
      </c>
      <c r="AS879">
        <f>HYPERLINK("https://creighton-primo.hosted.exlibrisgroup.com/primo-explore/search?tab=default_tab&amp;search_scope=EVERYTHING&amp;vid=01CRU&amp;lang=en_US&amp;offset=0&amp;query=any,contains,991005029139702656","Catalog Record")</f>
        <v/>
      </c>
      <c r="AT879">
        <f>HYPERLINK("http://www.worldcat.org/oclc/6708754","WorldCat Record")</f>
        <v/>
      </c>
      <c r="AU879" t="inlineStr">
        <is>
          <t>111179431:eng</t>
        </is>
      </c>
      <c r="AV879" t="inlineStr">
        <is>
          <t>6708754</t>
        </is>
      </c>
      <c r="AW879" t="inlineStr">
        <is>
          <t>991005029139702656</t>
        </is>
      </c>
      <c r="AX879" t="inlineStr">
        <is>
          <t>991005029139702656</t>
        </is>
      </c>
      <c r="AY879" t="inlineStr">
        <is>
          <t>2254948480002656</t>
        </is>
      </c>
      <c r="AZ879" t="inlineStr">
        <is>
          <t>BOOK</t>
        </is>
      </c>
      <c r="BB879" t="inlineStr">
        <is>
          <t>9780875894737</t>
        </is>
      </c>
      <c r="BC879" t="inlineStr">
        <is>
          <t>32285000235639</t>
        </is>
      </c>
      <c r="BD879" t="inlineStr">
        <is>
          <t>893507508</t>
        </is>
      </c>
    </row>
    <row r="880">
      <c r="A880" t="inlineStr">
        <is>
          <t>No</t>
        </is>
      </c>
      <c r="B880" t="inlineStr">
        <is>
          <t>RC489.R3 Y35 1994</t>
        </is>
      </c>
      <c r="C880" t="inlineStr">
        <is>
          <t>0                      RC 0489000R  3                  Y  35          1994</t>
        </is>
      </c>
      <c r="D880" t="inlineStr">
        <is>
          <t>Albert Ellis / Joseph Yankura, Windy Dryden.</t>
        </is>
      </c>
      <c r="F880" t="inlineStr">
        <is>
          <t>No</t>
        </is>
      </c>
      <c r="G880" t="inlineStr">
        <is>
          <t>1</t>
        </is>
      </c>
      <c r="H880" t="inlineStr">
        <is>
          <t>No</t>
        </is>
      </c>
      <c r="I880" t="inlineStr">
        <is>
          <t>No</t>
        </is>
      </c>
      <c r="J880" t="inlineStr">
        <is>
          <t>0</t>
        </is>
      </c>
      <c r="K880" t="inlineStr">
        <is>
          <t>Yankura, Joseph.</t>
        </is>
      </c>
      <c r="L880" t="inlineStr">
        <is>
          <t>London ; Thousand Oaks, Calif. : Sage Publications, 1994.</t>
        </is>
      </c>
      <c r="M880" t="inlineStr">
        <is>
          <t>1994</t>
        </is>
      </c>
      <c r="O880" t="inlineStr">
        <is>
          <t>eng</t>
        </is>
      </c>
      <c r="P880" t="inlineStr">
        <is>
          <t>enk</t>
        </is>
      </c>
      <c r="Q880" t="inlineStr">
        <is>
          <t>Key figures in counselling and psychotherapy</t>
        </is>
      </c>
      <c r="R880" t="inlineStr">
        <is>
          <t xml:space="preserve">RC </t>
        </is>
      </c>
      <c r="S880" t="n">
        <v>5</v>
      </c>
      <c r="T880" t="n">
        <v>5</v>
      </c>
      <c r="U880" t="inlineStr">
        <is>
          <t>2010-11-12</t>
        </is>
      </c>
      <c r="V880" t="inlineStr">
        <is>
          <t>2010-11-12</t>
        </is>
      </c>
      <c r="W880" t="inlineStr">
        <is>
          <t>1997-01-03</t>
        </is>
      </c>
      <c r="X880" t="inlineStr">
        <is>
          <t>1997-01-03</t>
        </is>
      </c>
      <c r="Y880" t="n">
        <v>233</v>
      </c>
      <c r="Z880" t="n">
        <v>155</v>
      </c>
      <c r="AA880" t="n">
        <v>162</v>
      </c>
      <c r="AB880" t="n">
        <v>1</v>
      </c>
      <c r="AC880" t="n">
        <v>1</v>
      </c>
      <c r="AD880" t="n">
        <v>6</v>
      </c>
      <c r="AE880" t="n">
        <v>6</v>
      </c>
      <c r="AF880" t="n">
        <v>3</v>
      </c>
      <c r="AG880" t="n">
        <v>3</v>
      </c>
      <c r="AH880" t="n">
        <v>1</v>
      </c>
      <c r="AI880" t="n">
        <v>1</v>
      </c>
      <c r="AJ880" t="n">
        <v>4</v>
      </c>
      <c r="AK880" t="n">
        <v>4</v>
      </c>
      <c r="AL880" t="n">
        <v>0</v>
      </c>
      <c r="AM880" t="n">
        <v>0</v>
      </c>
      <c r="AN880" t="n">
        <v>0</v>
      </c>
      <c r="AO880" t="n">
        <v>0</v>
      </c>
      <c r="AP880" t="inlineStr">
        <is>
          <t>No</t>
        </is>
      </c>
      <c r="AQ880" t="inlineStr">
        <is>
          <t>Yes</t>
        </is>
      </c>
      <c r="AR880">
        <f>HYPERLINK("http://catalog.hathitrust.org/Record/002970160","HathiTrust Record")</f>
        <v/>
      </c>
      <c r="AS880">
        <f>HYPERLINK("https://creighton-primo.hosted.exlibrisgroup.com/primo-explore/search?tab=default_tab&amp;search_scope=EVERYTHING&amp;vid=01CRU&amp;lang=en_US&amp;offset=0&amp;query=any,contains,991002474029702656","Catalog Record")</f>
        <v/>
      </c>
      <c r="AT880">
        <f>HYPERLINK("http://www.worldcat.org/oclc/32204136","WorldCat Record")</f>
        <v/>
      </c>
      <c r="AU880" t="inlineStr">
        <is>
          <t>33750316:eng</t>
        </is>
      </c>
      <c r="AV880" t="inlineStr">
        <is>
          <t>32204136</t>
        </is>
      </c>
      <c r="AW880" t="inlineStr">
        <is>
          <t>991002474029702656</t>
        </is>
      </c>
      <c r="AX880" t="inlineStr">
        <is>
          <t>991002474029702656</t>
        </is>
      </c>
      <c r="AY880" t="inlineStr">
        <is>
          <t>2268931610002656</t>
        </is>
      </c>
      <c r="AZ880" t="inlineStr">
        <is>
          <t>BOOK</t>
        </is>
      </c>
      <c r="BB880" t="inlineStr">
        <is>
          <t>9780803985285</t>
        </is>
      </c>
      <c r="BC880" t="inlineStr">
        <is>
          <t>32285002405214</t>
        </is>
      </c>
      <c r="BD880" t="inlineStr">
        <is>
          <t>893498148</t>
        </is>
      </c>
    </row>
    <row r="881">
      <c r="A881" t="inlineStr">
        <is>
          <t>No</t>
        </is>
      </c>
      <c r="B881" t="inlineStr">
        <is>
          <t>RC489.R3 Y6 1974</t>
        </is>
      </c>
      <c r="C881" t="inlineStr">
        <is>
          <t>0                      RC 0489000R  3                  Y  6           1974</t>
        </is>
      </c>
      <c r="D881" t="inlineStr">
        <is>
          <t>A rational counseling primer / by Howard S. Young ; illustrated by Kenneth Aptekar.</t>
        </is>
      </c>
      <c r="F881" t="inlineStr">
        <is>
          <t>No</t>
        </is>
      </c>
      <c r="G881" t="inlineStr">
        <is>
          <t>1</t>
        </is>
      </c>
      <c r="H881" t="inlineStr">
        <is>
          <t>No</t>
        </is>
      </c>
      <c r="I881" t="inlineStr">
        <is>
          <t>No</t>
        </is>
      </c>
      <c r="J881" t="inlineStr">
        <is>
          <t>0</t>
        </is>
      </c>
      <c r="K881" t="inlineStr">
        <is>
          <t>Young, Howard S.</t>
        </is>
      </c>
      <c r="L881" t="inlineStr">
        <is>
          <t>New York : Institute for Rational Living, 1974.</t>
        </is>
      </c>
      <c r="M881" t="inlineStr">
        <is>
          <t>1974</t>
        </is>
      </c>
      <c r="O881" t="inlineStr">
        <is>
          <t>eng</t>
        </is>
      </c>
      <c r="P881" t="inlineStr">
        <is>
          <t>nyu</t>
        </is>
      </c>
      <c r="R881" t="inlineStr">
        <is>
          <t xml:space="preserve">RC </t>
        </is>
      </c>
      <c r="S881" t="n">
        <v>7</v>
      </c>
      <c r="T881" t="n">
        <v>7</v>
      </c>
      <c r="U881" t="inlineStr">
        <is>
          <t>1999-02-14</t>
        </is>
      </c>
      <c r="V881" t="inlineStr">
        <is>
          <t>1999-02-14</t>
        </is>
      </c>
      <c r="W881" t="inlineStr">
        <is>
          <t>1990-03-26</t>
        </is>
      </c>
      <c r="X881" t="inlineStr">
        <is>
          <t>1990-03-26</t>
        </is>
      </c>
      <c r="Y881" t="n">
        <v>59</v>
      </c>
      <c r="Z881" t="n">
        <v>50</v>
      </c>
      <c r="AA881" t="n">
        <v>54</v>
      </c>
      <c r="AB881" t="n">
        <v>1</v>
      </c>
      <c r="AC881" t="n">
        <v>1</v>
      </c>
      <c r="AD881" t="n">
        <v>2</v>
      </c>
      <c r="AE881" t="n">
        <v>2</v>
      </c>
      <c r="AF881" t="n">
        <v>2</v>
      </c>
      <c r="AG881" t="n">
        <v>2</v>
      </c>
      <c r="AH881" t="n">
        <v>0</v>
      </c>
      <c r="AI881" t="n">
        <v>0</v>
      </c>
      <c r="AJ881" t="n">
        <v>1</v>
      </c>
      <c r="AK881" t="n">
        <v>1</v>
      </c>
      <c r="AL881" t="n">
        <v>0</v>
      </c>
      <c r="AM881" t="n">
        <v>0</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HYPERLINK("https://creighton-primo.hosted.exlibrisgroup.com/primo-explore/search?tab=default_tab&amp;search_scope=EVERYTHING&amp;vid=01CRU&amp;lang=en_US&amp;offset=0&amp;query=any,contains,991003998599702656","Catalog Record")</f>
        <v/>
      </c>
      <c r="AT881">
        <f>HYPERLINK("http://www.worldcat.org/oclc/2069035","WorldCat Record")</f>
        <v/>
      </c>
      <c r="AU881" t="inlineStr">
        <is>
          <t>947163207:eng</t>
        </is>
      </c>
      <c r="AV881" t="inlineStr">
        <is>
          <t>2069035</t>
        </is>
      </c>
      <c r="AW881" t="inlineStr">
        <is>
          <t>991003998599702656</t>
        </is>
      </c>
      <c r="AX881" t="inlineStr">
        <is>
          <t>991003998599702656</t>
        </is>
      </c>
      <c r="AY881" t="inlineStr">
        <is>
          <t>2265950130002656</t>
        </is>
      </c>
      <c r="AZ881" t="inlineStr">
        <is>
          <t>BOOK</t>
        </is>
      </c>
      <c r="BC881" t="inlineStr">
        <is>
          <t>32285000082387</t>
        </is>
      </c>
      <c r="BD881" t="inlineStr">
        <is>
          <t>893794365</t>
        </is>
      </c>
    </row>
    <row r="882">
      <c r="A882" t="inlineStr">
        <is>
          <t>No</t>
        </is>
      </c>
      <c r="B882" t="inlineStr">
        <is>
          <t>RC489.R37 G55 1981</t>
        </is>
      </c>
      <c r="C882" t="inlineStr">
        <is>
          <t>0                      RC 0489000R  37                 G  55          1981</t>
        </is>
      </c>
      <c r="D882" t="inlineStr">
        <is>
          <t>Stations of the mind : new directions for reality therapy / William Glasser.</t>
        </is>
      </c>
      <c r="F882" t="inlineStr">
        <is>
          <t>No</t>
        </is>
      </c>
      <c r="G882" t="inlineStr">
        <is>
          <t>1</t>
        </is>
      </c>
      <c r="H882" t="inlineStr">
        <is>
          <t>No</t>
        </is>
      </c>
      <c r="I882" t="inlineStr">
        <is>
          <t>No</t>
        </is>
      </c>
      <c r="J882" t="inlineStr">
        <is>
          <t>0</t>
        </is>
      </c>
      <c r="K882" t="inlineStr">
        <is>
          <t>Glasser, William, 1925-2013.</t>
        </is>
      </c>
      <c r="L882" t="inlineStr">
        <is>
          <t>New York : Harper &amp; Row, c1981.</t>
        </is>
      </c>
      <c r="M882" t="inlineStr">
        <is>
          <t>1981</t>
        </is>
      </c>
      <c r="N882" t="inlineStr">
        <is>
          <t>1st ed.</t>
        </is>
      </c>
      <c r="O882" t="inlineStr">
        <is>
          <t>eng</t>
        </is>
      </c>
      <c r="P882" t="inlineStr">
        <is>
          <t>nyu</t>
        </is>
      </c>
      <c r="R882" t="inlineStr">
        <is>
          <t xml:space="preserve">RC </t>
        </is>
      </c>
      <c r="S882" t="n">
        <v>17</v>
      </c>
      <c r="T882" t="n">
        <v>17</v>
      </c>
      <c r="U882" t="inlineStr">
        <is>
          <t>2007-12-03</t>
        </is>
      </c>
      <c r="V882" t="inlineStr">
        <is>
          <t>2007-12-03</t>
        </is>
      </c>
      <c r="W882" t="inlineStr">
        <is>
          <t>1992-06-16</t>
        </is>
      </c>
      <c r="X882" t="inlineStr">
        <is>
          <t>1992-06-16</t>
        </is>
      </c>
      <c r="Y882" t="n">
        <v>926</v>
      </c>
      <c r="Z882" t="n">
        <v>840</v>
      </c>
      <c r="AA882" t="n">
        <v>849</v>
      </c>
      <c r="AB882" t="n">
        <v>6</v>
      </c>
      <c r="AC882" t="n">
        <v>6</v>
      </c>
      <c r="AD882" t="n">
        <v>24</v>
      </c>
      <c r="AE882" t="n">
        <v>24</v>
      </c>
      <c r="AF882" t="n">
        <v>11</v>
      </c>
      <c r="AG882" t="n">
        <v>11</v>
      </c>
      <c r="AH882" t="n">
        <v>5</v>
      </c>
      <c r="AI882" t="n">
        <v>5</v>
      </c>
      <c r="AJ882" t="n">
        <v>10</v>
      </c>
      <c r="AK882" t="n">
        <v>10</v>
      </c>
      <c r="AL882" t="n">
        <v>3</v>
      </c>
      <c r="AM882" t="n">
        <v>3</v>
      </c>
      <c r="AN882" t="n">
        <v>0</v>
      </c>
      <c r="AO882" t="n">
        <v>0</v>
      </c>
      <c r="AP882" t="inlineStr">
        <is>
          <t>No</t>
        </is>
      </c>
      <c r="AQ882" t="inlineStr">
        <is>
          <t>Yes</t>
        </is>
      </c>
      <c r="AR882">
        <f>HYPERLINK("http://catalog.hathitrust.org/Record/007475302","HathiTrust Record")</f>
        <v/>
      </c>
      <c r="AS882">
        <f>HYPERLINK("https://creighton-primo.hosted.exlibrisgroup.com/primo-explore/search?tab=default_tab&amp;search_scope=EVERYTHING&amp;vid=01CRU&amp;lang=en_US&amp;offset=0&amp;query=any,contains,991005078749702656","Catalog Record")</f>
        <v/>
      </c>
      <c r="AT882">
        <f>HYPERLINK("http://www.worldcat.org/oclc/7165751","WorldCat Record")</f>
        <v/>
      </c>
      <c r="AU882" t="inlineStr">
        <is>
          <t>287721478:eng</t>
        </is>
      </c>
      <c r="AV882" t="inlineStr">
        <is>
          <t>7165751</t>
        </is>
      </c>
      <c r="AW882" t="inlineStr">
        <is>
          <t>991005078749702656</t>
        </is>
      </c>
      <c r="AX882" t="inlineStr">
        <is>
          <t>991005078749702656</t>
        </is>
      </c>
      <c r="AY882" t="inlineStr">
        <is>
          <t>2269373550002656</t>
        </is>
      </c>
      <c r="AZ882" t="inlineStr">
        <is>
          <t>BOOK</t>
        </is>
      </c>
      <c r="BB882" t="inlineStr">
        <is>
          <t>9780060114787</t>
        </is>
      </c>
      <c r="BC882" t="inlineStr">
        <is>
          <t>32285001131449</t>
        </is>
      </c>
      <c r="BD882" t="inlineStr">
        <is>
          <t>893260512</t>
        </is>
      </c>
    </row>
    <row r="883">
      <c r="A883" t="inlineStr">
        <is>
          <t>No</t>
        </is>
      </c>
      <c r="B883" t="inlineStr">
        <is>
          <t>RC489.R37 R4 1976</t>
        </is>
      </c>
      <c r="C883" t="inlineStr">
        <is>
          <t>0                      RC 0489000R  37                 R  4           1976</t>
        </is>
      </c>
      <c r="D883" t="inlineStr">
        <is>
          <t>The Reality therapy reader : a survey of the work of William Glasser, M.D. / editors, Alexander Bassin, Thomas Edward Bratter, Richard L. Rachin.</t>
        </is>
      </c>
      <c r="F883" t="inlineStr">
        <is>
          <t>No</t>
        </is>
      </c>
      <c r="G883" t="inlineStr">
        <is>
          <t>1</t>
        </is>
      </c>
      <c r="H883" t="inlineStr">
        <is>
          <t>No</t>
        </is>
      </c>
      <c r="I883" t="inlineStr">
        <is>
          <t>No</t>
        </is>
      </c>
      <c r="J883" t="inlineStr">
        <is>
          <t>0</t>
        </is>
      </c>
      <c r="L883" t="inlineStr">
        <is>
          <t>New York : Harper &amp; Row, c1976.</t>
        </is>
      </c>
      <c r="M883" t="inlineStr">
        <is>
          <t>1976</t>
        </is>
      </c>
      <c r="N883" t="inlineStr">
        <is>
          <t>1st ed.</t>
        </is>
      </c>
      <c r="O883" t="inlineStr">
        <is>
          <t>eng</t>
        </is>
      </c>
      <c r="P883" t="inlineStr">
        <is>
          <t>nyu</t>
        </is>
      </c>
      <c r="R883" t="inlineStr">
        <is>
          <t xml:space="preserve">RC </t>
        </is>
      </c>
      <c r="S883" t="n">
        <v>17</v>
      </c>
      <c r="T883" t="n">
        <v>17</v>
      </c>
      <c r="U883" t="inlineStr">
        <is>
          <t>2006-10-17</t>
        </is>
      </c>
      <c r="V883" t="inlineStr">
        <is>
          <t>2006-10-17</t>
        </is>
      </c>
      <c r="W883" t="inlineStr">
        <is>
          <t>1992-04-15</t>
        </is>
      </c>
      <c r="X883" t="inlineStr">
        <is>
          <t>1992-04-15</t>
        </is>
      </c>
      <c r="Y883" t="n">
        <v>450</v>
      </c>
      <c r="Z883" t="n">
        <v>385</v>
      </c>
      <c r="AA883" t="n">
        <v>394</v>
      </c>
      <c r="AB883" t="n">
        <v>3</v>
      </c>
      <c r="AC883" t="n">
        <v>3</v>
      </c>
      <c r="AD883" t="n">
        <v>15</v>
      </c>
      <c r="AE883" t="n">
        <v>15</v>
      </c>
      <c r="AF883" t="n">
        <v>7</v>
      </c>
      <c r="AG883" t="n">
        <v>7</v>
      </c>
      <c r="AH883" t="n">
        <v>2</v>
      </c>
      <c r="AI883" t="n">
        <v>2</v>
      </c>
      <c r="AJ883" t="n">
        <v>8</v>
      </c>
      <c r="AK883" t="n">
        <v>8</v>
      </c>
      <c r="AL883" t="n">
        <v>2</v>
      </c>
      <c r="AM883" t="n">
        <v>2</v>
      </c>
      <c r="AN883" t="n">
        <v>0</v>
      </c>
      <c r="AO883" t="n">
        <v>0</v>
      </c>
      <c r="AP883" t="inlineStr">
        <is>
          <t>No</t>
        </is>
      </c>
      <c r="AQ883" t="inlineStr">
        <is>
          <t>Yes</t>
        </is>
      </c>
      <c r="AR883">
        <f>HYPERLINK("http://catalog.hathitrust.org/Record/000697509","HathiTrust Record")</f>
        <v/>
      </c>
      <c r="AS883">
        <f>HYPERLINK("https://creighton-primo.hosted.exlibrisgroup.com/primo-explore/search?tab=default_tab&amp;search_scope=EVERYTHING&amp;vid=01CRU&amp;lang=en_US&amp;offset=0&amp;query=any,contains,991003917099702656","Catalog Record")</f>
        <v/>
      </c>
      <c r="AT883">
        <f>HYPERLINK("http://www.worldcat.org/oclc/1863248","WorldCat Record")</f>
        <v/>
      </c>
      <c r="AU883" t="inlineStr">
        <is>
          <t>3132874843:eng</t>
        </is>
      </c>
      <c r="AV883" t="inlineStr">
        <is>
          <t>1863248</t>
        </is>
      </c>
      <c r="AW883" t="inlineStr">
        <is>
          <t>991003917099702656</t>
        </is>
      </c>
      <c r="AX883" t="inlineStr">
        <is>
          <t>991003917099702656</t>
        </is>
      </c>
      <c r="AY883" t="inlineStr">
        <is>
          <t>2263125420002656</t>
        </is>
      </c>
      <c r="AZ883" t="inlineStr">
        <is>
          <t>BOOK</t>
        </is>
      </c>
      <c r="BB883" t="inlineStr">
        <is>
          <t>9780060102388</t>
        </is>
      </c>
      <c r="BC883" t="inlineStr">
        <is>
          <t>32285001060606</t>
        </is>
      </c>
      <c r="BD883" t="inlineStr">
        <is>
          <t>893624132</t>
        </is>
      </c>
    </row>
    <row r="884">
      <c r="A884" t="inlineStr">
        <is>
          <t>No</t>
        </is>
      </c>
      <c r="B884" t="inlineStr">
        <is>
          <t>RC489.R37 W33 1980</t>
        </is>
      </c>
      <c r="C884" t="inlineStr">
        <is>
          <t>0                      RC 0489000R  37                 W  33          1980</t>
        </is>
      </c>
      <c r="D884" t="inlineStr">
        <is>
          <t>What are you doing? : How people are helped through reality therapy : cases / edited by Naomi Glasser.</t>
        </is>
      </c>
      <c r="F884" t="inlineStr">
        <is>
          <t>No</t>
        </is>
      </c>
      <c r="G884" t="inlineStr">
        <is>
          <t>1</t>
        </is>
      </c>
      <c r="H884" t="inlineStr">
        <is>
          <t>No</t>
        </is>
      </c>
      <c r="I884" t="inlineStr">
        <is>
          <t>No</t>
        </is>
      </c>
      <c r="J884" t="inlineStr">
        <is>
          <t>0</t>
        </is>
      </c>
      <c r="L884" t="inlineStr">
        <is>
          <t>New York : Harper &amp; Row, c1980.</t>
        </is>
      </c>
      <c r="M884" t="inlineStr">
        <is>
          <t>1980</t>
        </is>
      </c>
      <c r="N884" t="inlineStr">
        <is>
          <t>1st ed.</t>
        </is>
      </c>
      <c r="O884" t="inlineStr">
        <is>
          <t>eng</t>
        </is>
      </c>
      <c r="P884" t="inlineStr">
        <is>
          <t>nyu</t>
        </is>
      </c>
      <c r="R884" t="inlineStr">
        <is>
          <t xml:space="preserve">RC </t>
        </is>
      </c>
      <c r="S884" t="n">
        <v>15</v>
      </c>
      <c r="T884" t="n">
        <v>15</v>
      </c>
      <c r="U884" t="inlineStr">
        <is>
          <t>2005-06-27</t>
        </is>
      </c>
      <c r="V884" t="inlineStr">
        <is>
          <t>2005-06-27</t>
        </is>
      </c>
      <c r="W884" t="inlineStr">
        <is>
          <t>1990-06-13</t>
        </is>
      </c>
      <c r="X884" t="inlineStr">
        <is>
          <t>1990-06-13</t>
        </is>
      </c>
      <c r="Y884" t="n">
        <v>381</v>
      </c>
      <c r="Z884" t="n">
        <v>349</v>
      </c>
      <c r="AA884" t="n">
        <v>353</v>
      </c>
      <c r="AB884" t="n">
        <v>3</v>
      </c>
      <c r="AC884" t="n">
        <v>3</v>
      </c>
      <c r="AD884" t="n">
        <v>12</v>
      </c>
      <c r="AE884" t="n">
        <v>12</v>
      </c>
      <c r="AF884" t="n">
        <v>7</v>
      </c>
      <c r="AG884" t="n">
        <v>7</v>
      </c>
      <c r="AH884" t="n">
        <v>3</v>
      </c>
      <c r="AI884" t="n">
        <v>3</v>
      </c>
      <c r="AJ884" t="n">
        <v>3</v>
      </c>
      <c r="AK884" t="n">
        <v>3</v>
      </c>
      <c r="AL884" t="n">
        <v>0</v>
      </c>
      <c r="AM884" t="n">
        <v>0</v>
      </c>
      <c r="AN884" t="n">
        <v>0</v>
      </c>
      <c r="AO884" t="n">
        <v>0</v>
      </c>
      <c r="AP884" t="inlineStr">
        <is>
          <t>No</t>
        </is>
      </c>
      <c r="AQ884" t="inlineStr">
        <is>
          <t>Yes</t>
        </is>
      </c>
      <c r="AR884">
        <f>HYPERLINK("http://catalog.hathitrust.org/Record/004422241","HathiTrust Record")</f>
        <v/>
      </c>
      <c r="AS884">
        <f>HYPERLINK("https://creighton-primo.hosted.exlibrisgroup.com/primo-explore/search?tab=default_tab&amp;search_scope=EVERYTHING&amp;vid=01CRU&amp;lang=en_US&amp;offset=0&amp;query=any,contains,991004944939702656","Catalog Record")</f>
        <v/>
      </c>
      <c r="AT884">
        <f>HYPERLINK("http://www.worldcat.org/oclc/6199744","WorldCat Record")</f>
        <v/>
      </c>
      <c r="AU884" t="inlineStr">
        <is>
          <t>354086328:eng</t>
        </is>
      </c>
      <c r="AV884" t="inlineStr">
        <is>
          <t>6199744</t>
        </is>
      </c>
      <c r="AW884" t="inlineStr">
        <is>
          <t>991004944939702656</t>
        </is>
      </c>
      <c r="AX884" t="inlineStr">
        <is>
          <t>991004944939702656</t>
        </is>
      </c>
      <c r="AY884" t="inlineStr">
        <is>
          <t>2262167220002656</t>
        </is>
      </c>
      <c r="AZ884" t="inlineStr">
        <is>
          <t>BOOK</t>
        </is>
      </c>
      <c r="BB884" t="inlineStr">
        <is>
          <t>9780060116460</t>
        </is>
      </c>
      <c r="BC884" t="inlineStr">
        <is>
          <t>32285000191527</t>
        </is>
      </c>
      <c r="BD884" t="inlineStr">
        <is>
          <t>893895659</t>
        </is>
      </c>
    </row>
    <row r="885">
      <c r="A885" t="inlineStr">
        <is>
          <t>No</t>
        </is>
      </c>
      <c r="B885" t="inlineStr">
        <is>
          <t>RC489.R37 W33 1982</t>
        </is>
      </c>
      <c r="C885" t="inlineStr">
        <is>
          <t>0                      RC 0489000R  37                 W  33          1982</t>
        </is>
      </c>
      <c r="D885" t="inlineStr">
        <is>
          <t>What are you doing? : how people are helped through reality therapy, including instructor's guide : cases / edited by Naomi Glasser.</t>
        </is>
      </c>
      <c r="F885" t="inlineStr">
        <is>
          <t>No</t>
        </is>
      </c>
      <c r="G885" t="inlineStr">
        <is>
          <t>1</t>
        </is>
      </c>
      <c r="H885" t="inlineStr">
        <is>
          <t>No</t>
        </is>
      </c>
      <c r="I885" t="inlineStr">
        <is>
          <t>No</t>
        </is>
      </c>
      <c r="J885" t="inlineStr">
        <is>
          <t>0</t>
        </is>
      </c>
      <c r="L885" t="inlineStr">
        <is>
          <t>New York : Harper &amp; Row, 1982, c1980.</t>
        </is>
      </c>
      <c r="M885" t="inlineStr">
        <is>
          <t>1982</t>
        </is>
      </c>
      <c r="N885" t="inlineStr">
        <is>
          <t>1st Harper Colophon ed.</t>
        </is>
      </c>
      <c r="O885" t="inlineStr">
        <is>
          <t>eng</t>
        </is>
      </c>
      <c r="P885" t="inlineStr">
        <is>
          <t>nyu</t>
        </is>
      </c>
      <c r="R885" t="inlineStr">
        <is>
          <t xml:space="preserve">RC </t>
        </is>
      </c>
      <c r="S885" t="n">
        <v>27</v>
      </c>
      <c r="T885" t="n">
        <v>27</v>
      </c>
      <c r="U885" t="inlineStr">
        <is>
          <t>2010-11-12</t>
        </is>
      </c>
      <c r="V885" t="inlineStr">
        <is>
          <t>2010-11-12</t>
        </is>
      </c>
      <c r="W885" t="inlineStr">
        <is>
          <t>1991-04-03</t>
        </is>
      </c>
      <c r="X885" t="inlineStr">
        <is>
          <t>1991-04-03</t>
        </is>
      </c>
      <c r="Y885" t="n">
        <v>122</v>
      </c>
      <c r="Z885" t="n">
        <v>113</v>
      </c>
      <c r="AA885" t="n">
        <v>118</v>
      </c>
      <c r="AB885" t="n">
        <v>2</v>
      </c>
      <c r="AC885" t="n">
        <v>2</v>
      </c>
      <c r="AD885" t="n">
        <v>2</v>
      </c>
      <c r="AE885" t="n">
        <v>2</v>
      </c>
      <c r="AF885" t="n">
        <v>1</v>
      </c>
      <c r="AG885" t="n">
        <v>1</v>
      </c>
      <c r="AH885" t="n">
        <v>0</v>
      </c>
      <c r="AI885" t="n">
        <v>0</v>
      </c>
      <c r="AJ885" t="n">
        <v>1</v>
      </c>
      <c r="AK885" t="n">
        <v>1</v>
      </c>
      <c r="AL885" t="n">
        <v>1</v>
      </c>
      <c r="AM885" t="n">
        <v>1</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HYPERLINK("https://creighton-primo.hosted.exlibrisgroup.com/primo-explore/search?tab=default_tab&amp;search_scope=EVERYTHING&amp;vid=01CRU&amp;lang=en_US&amp;offset=0&amp;query=any,contains,991000021879702656","Catalog Record")</f>
        <v/>
      </c>
      <c r="AT885">
        <f>HYPERLINK("http://www.worldcat.org/oclc/8576867","WorldCat Record")</f>
        <v/>
      </c>
      <c r="AU885" t="inlineStr">
        <is>
          <t>10182324038:eng</t>
        </is>
      </c>
      <c r="AV885" t="inlineStr">
        <is>
          <t>8576867</t>
        </is>
      </c>
      <c r="AW885" t="inlineStr">
        <is>
          <t>991000021879702656</t>
        </is>
      </c>
      <c r="AX885" t="inlineStr">
        <is>
          <t>991000021879702656</t>
        </is>
      </c>
      <c r="AY885" t="inlineStr">
        <is>
          <t>2258029570002656</t>
        </is>
      </c>
      <c r="AZ885" t="inlineStr">
        <is>
          <t>BOOK</t>
        </is>
      </c>
      <c r="BB885" t="inlineStr">
        <is>
          <t>9780060909475</t>
        </is>
      </c>
      <c r="BC885" t="inlineStr">
        <is>
          <t>32285000514694</t>
        </is>
      </c>
      <c r="BD885" t="inlineStr">
        <is>
          <t>893249006</t>
        </is>
      </c>
    </row>
    <row r="886">
      <c r="A886" t="inlineStr">
        <is>
          <t>No</t>
        </is>
      </c>
      <c r="B886" t="inlineStr">
        <is>
          <t>RC489.R37 W828 1991</t>
        </is>
      </c>
      <c r="C886" t="inlineStr">
        <is>
          <t>0                      RC 0489000R  37                 W  828         1991</t>
        </is>
      </c>
      <c r="D886" t="inlineStr">
        <is>
          <t>Understanding reality therapy : a metaphorical approach / Robert E. Wubbolding.</t>
        </is>
      </c>
      <c r="F886" t="inlineStr">
        <is>
          <t>No</t>
        </is>
      </c>
      <c r="G886" t="inlineStr">
        <is>
          <t>1</t>
        </is>
      </c>
      <c r="H886" t="inlineStr">
        <is>
          <t>No</t>
        </is>
      </c>
      <c r="I886" t="inlineStr">
        <is>
          <t>No</t>
        </is>
      </c>
      <c r="J886" t="inlineStr">
        <is>
          <t>0</t>
        </is>
      </c>
      <c r="K886" t="inlineStr">
        <is>
          <t>Wubbolding, Robert E.</t>
        </is>
      </c>
      <c r="L886" t="inlineStr">
        <is>
          <t>New York, N.Y. : HarperPerennial, 1991.</t>
        </is>
      </c>
      <c r="M886" t="inlineStr">
        <is>
          <t>1991</t>
        </is>
      </c>
      <c r="N886" t="inlineStr">
        <is>
          <t>1st ed.</t>
        </is>
      </c>
      <c r="O886" t="inlineStr">
        <is>
          <t>eng</t>
        </is>
      </c>
      <c r="P886" t="inlineStr">
        <is>
          <t>nyu</t>
        </is>
      </c>
      <c r="R886" t="inlineStr">
        <is>
          <t xml:space="preserve">RC </t>
        </is>
      </c>
      <c r="S886" t="n">
        <v>29</v>
      </c>
      <c r="T886" t="n">
        <v>29</v>
      </c>
      <c r="U886" t="inlineStr">
        <is>
          <t>2010-11-12</t>
        </is>
      </c>
      <c r="V886" t="inlineStr">
        <is>
          <t>2010-11-12</t>
        </is>
      </c>
      <c r="W886" t="inlineStr">
        <is>
          <t>1991-04-03</t>
        </is>
      </c>
      <c r="X886" t="inlineStr">
        <is>
          <t>1991-04-03</t>
        </is>
      </c>
      <c r="Y886" t="n">
        <v>196</v>
      </c>
      <c r="Z886" t="n">
        <v>174</v>
      </c>
      <c r="AA886" t="n">
        <v>175</v>
      </c>
      <c r="AB886" t="n">
        <v>3</v>
      </c>
      <c r="AC886" t="n">
        <v>3</v>
      </c>
      <c r="AD886" t="n">
        <v>8</v>
      </c>
      <c r="AE886" t="n">
        <v>8</v>
      </c>
      <c r="AF886" t="n">
        <v>3</v>
      </c>
      <c r="AG886" t="n">
        <v>3</v>
      </c>
      <c r="AH886" t="n">
        <v>1</v>
      </c>
      <c r="AI886" t="n">
        <v>1</v>
      </c>
      <c r="AJ886" t="n">
        <v>5</v>
      </c>
      <c r="AK886" t="n">
        <v>5</v>
      </c>
      <c r="AL886" t="n">
        <v>2</v>
      </c>
      <c r="AM886" t="n">
        <v>2</v>
      </c>
      <c r="AN886" t="n">
        <v>0</v>
      </c>
      <c r="AO886" t="n">
        <v>0</v>
      </c>
      <c r="AP886" t="inlineStr">
        <is>
          <t>No</t>
        </is>
      </c>
      <c r="AQ886" t="inlineStr">
        <is>
          <t>No</t>
        </is>
      </c>
      <c r="AS886">
        <f>HYPERLINK("https://creighton-primo.hosted.exlibrisgroup.com/primo-explore/search?tab=default_tab&amp;search_scope=EVERYTHING&amp;vid=01CRU&amp;lang=en_US&amp;offset=0&amp;query=any,contains,991001782819702656","Catalog Record")</f>
        <v/>
      </c>
      <c r="AT886">
        <f>HYPERLINK("http://www.worldcat.org/oclc/22488711","WorldCat Record")</f>
        <v/>
      </c>
      <c r="AU886" t="inlineStr">
        <is>
          <t>434332161:eng</t>
        </is>
      </c>
      <c r="AV886" t="inlineStr">
        <is>
          <t>22488711</t>
        </is>
      </c>
      <c r="AW886" t="inlineStr">
        <is>
          <t>991001782819702656</t>
        </is>
      </c>
      <c r="AX886" t="inlineStr">
        <is>
          <t>991001782819702656</t>
        </is>
      </c>
      <c r="AY886" t="inlineStr">
        <is>
          <t>2267492660002656</t>
        </is>
      </c>
      <c r="AZ886" t="inlineStr">
        <is>
          <t>BOOK</t>
        </is>
      </c>
      <c r="BB886" t="inlineStr">
        <is>
          <t>9780060965723</t>
        </is>
      </c>
      <c r="BC886" t="inlineStr">
        <is>
          <t>32285000514728</t>
        </is>
      </c>
      <c r="BD886" t="inlineStr">
        <is>
          <t>893697031</t>
        </is>
      </c>
    </row>
    <row r="887">
      <c r="A887" t="inlineStr">
        <is>
          <t>No</t>
        </is>
      </c>
      <c r="B887" t="inlineStr">
        <is>
          <t>RC489.R37 W83 1988</t>
        </is>
      </c>
      <c r="C887" t="inlineStr">
        <is>
          <t>0                      RC 0489000R  37                 W  83          1988</t>
        </is>
      </c>
      <c r="D887" t="inlineStr">
        <is>
          <t>Using reality therapy / Robert E. Wubbolding. Foreword by William Glasser.</t>
        </is>
      </c>
      <c r="F887" t="inlineStr">
        <is>
          <t>No</t>
        </is>
      </c>
      <c r="G887" t="inlineStr">
        <is>
          <t>1</t>
        </is>
      </c>
      <c r="H887" t="inlineStr">
        <is>
          <t>No</t>
        </is>
      </c>
      <c r="I887" t="inlineStr">
        <is>
          <t>Yes</t>
        </is>
      </c>
      <c r="J887" t="inlineStr">
        <is>
          <t>0</t>
        </is>
      </c>
      <c r="K887" t="inlineStr">
        <is>
          <t>Wubbolding, Robert E.</t>
        </is>
      </c>
      <c r="L887" t="inlineStr">
        <is>
          <t>New York : Harper &amp; Row, c1988.</t>
        </is>
      </c>
      <c r="M887" t="inlineStr">
        <is>
          <t>1988</t>
        </is>
      </c>
      <c r="N887" t="inlineStr">
        <is>
          <t>1st ed.</t>
        </is>
      </c>
      <c r="O887" t="inlineStr">
        <is>
          <t>eng</t>
        </is>
      </c>
      <c r="P887" t="inlineStr">
        <is>
          <t>nyu</t>
        </is>
      </c>
      <c r="R887" t="inlineStr">
        <is>
          <t xml:space="preserve">RC </t>
        </is>
      </c>
      <c r="S887" t="n">
        <v>32</v>
      </c>
      <c r="T887" t="n">
        <v>32</v>
      </c>
      <c r="U887" t="inlineStr">
        <is>
          <t>2010-11-12</t>
        </is>
      </c>
      <c r="V887" t="inlineStr">
        <is>
          <t>2010-11-12</t>
        </is>
      </c>
      <c r="W887" t="inlineStr">
        <is>
          <t>1990-07-18</t>
        </is>
      </c>
      <c r="X887" t="inlineStr">
        <is>
          <t>1990-07-18</t>
        </is>
      </c>
      <c r="Y887" t="n">
        <v>288</v>
      </c>
      <c r="Z887" t="n">
        <v>260</v>
      </c>
      <c r="AA887" t="n">
        <v>422</v>
      </c>
      <c r="AB887" t="n">
        <v>2</v>
      </c>
      <c r="AC887" t="n">
        <v>4</v>
      </c>
      <c r="AD887" t="n">
        <v>11</v>
      </c>
      <c r="AE887" t="n">
        <v>21</v>
      </c>
      <c r="AF887" t="n">
        <v>4</v>
      </c>
      <c r="AG887" t="n">
        <v>11</v>
      </c>
      <c r="AH887" t="n">
        <v>3</v>
      </c>
      <c r="AI887" t="n">
        <v>4</v>
      </c>
      <c r="AJ887" t="n">
        <v>5</v>
      </c>
      <c r="AK887" t="n">
        <v>10</v>
      </c>
      <c r="AL887" t="n">
        <v>1</v>
      </c>
      <c r="AM887" t="n">
        <v>3</v>
      </c>
      <c r="AN887" t="n">
        <v>0</v>
      </c>
      <c r="AO887" t="n">
        <v>0</v>
      </c>
      <c r="AP887" t="inlineStr">
        <is>
          <t>No</t>
        </is>
      </c>
      <c r="AQ887" t="inlineStr">
        <is>
          <t>No</t>
        </is>
      </c>
      <c r="AS887">
        <f>HYPERLINK("https://creighton-primo.hosted.exlibrisgroup.com/primo-explore/search?tab=default_tab&amp;search_scope=EVERYTHING&amp;vid=01CRU&amp;lang=en_US&amp;offset=0&amp;query=any,contains,991001196689702656","Catalog Record")</f>
        <v/>
      </c>
      <c r="AT887">
        <f>HYPERLINK("http://www.worldcat.org/oclc/17296115","WorldCat Record")</f>
        <v/>
      </c>
      <c r="AU887" t="inlineStr">
        <is>
          <t>3768708252:eng</t>
        </is>
      </c>
      <c r="AV887" t="inlineStr">
        <is>
          <t>17296115</t>
        </is>
      </c>
      <c r="AW887" t="inlineStr">
        <is>
          <t>991001196689702656</t>
        </is>
      </c>
      <c r="AX887" t="inlineStr">
        <is>
          <t>991001196689702656</t>
        </is>
      </c>
      <c r="AY887" t="inlineStr">
        <is>
          <t>2267836690002656</t>
        </is>
      </c>
      <c r="AZ887" t="inlineStr">
        <is>
          <t>BOOK</t>
        </is>
      </c>
      <c r="BB887" t="inlineStr">
        <is>
          <t>9780060962661</t>
        </is>
      </c>
      <c r="BC887" t="inlineStr">
        <is>
          <t>32285000239094</t>
        </is>
      </c>
      <c r="BD887" t="inlineStr">
        <is>
          <t>893261764</t>
        </is>
      </c>
    </row>
    <row r="888">
      <c r="A888" t="inlineStr">
        <is>
          <t>No</t>
        </is>
      </c>
      <c r="B888" t="inlineStr">
        <is>
          <t>RC489.R49 B76 2011</t>
        </is>
      </c>
      <c r="C888" t="inlineStr">
        <is>
          <t>0                      RC 0489000R  49                 B  76          2011</t>
        </is>
      </c>
      <c r="D888" t="inlineStr">
        <is>
          <t>Therapy with coerced and reluctant clients / Stanley L. Brodsky.</t>
        </is>
      </c>
      <c r="F888" t="inlineStr">
        <is>
          <t>No</t>
        </is>
      </c>
      <c r="G888" t="inlineStr">
        <is>
          <t>1</t>
        </is>
      </c>
      <c r="H888" t="inlineStr">
        <is>
          <t>No</t>
        </is>
      </c>
      <c r="I888" t="inlineStr">
        <is>
          <t>No</t>
        </is>
      </c>
      <c r="J888" t="inlineStr">
        <is>
          <t>0</t>
        </is>
      </c>
      <c r="K888" t="inlineStr">
        <is>
          <t>Brodsky, Stanley L., 1939-</t>
        </is>
      </c>
      <c r="L888" t="inlineStr">
        <is>
          <t>Washington, DC : American Psychological Association, c2011.</t>
        </is>
      </c>
      <c r="M888" t="inlineStr">
        <is>
          <t>2011</t>
        </is>
      </c>
      <c r="N888" t="inlineStr">
        <is>
          <t>1st ed.</t>
        </is>
      </c>
      <c r="O888" t="inlineStr">
        <is>
          <t>eng</t>
        </is>
      </c>
      <c r="P888" t="inlineStr">
        <is>
          <t>dcu</t>
        </is>
      </c>
      <c r="R888" t="inlineStr">
        <is>
          <t xml:space="preserve">RC </t>
        </is>
      </c>
      <c r="S888" t="n">
        <v>1</v>
      </c>
      <c r="T888" t="n">
        <v>1</v>
      </c>
      <c r="U888" t="inlineStr">
        <is>
          <t>2010-12-16</t>
        </is>
      </c>
      <c r="V888" t="inlineStr">
        <is>
          <t>2010-12-16</t>
        </is>
      </c>
      <c r="W888" t="inlineStr">
        <is>
          <t>2010-12-16</t>
        </is>
      </c>
      <c r="X888" t="inlineStr">
        <is>
          <t>2010-12-16</t>
        </is>
      </c>
      <c r="Y888" t="n">
        <v>199</v>
      </c>
      <c r="Z888" t="n">
        <v>152</v>
      </c>
      <c r="AA888" t="n">
        <v>260</v>
      </c>
      <c r="AB888" t="n">
        <v>3</v>
      </c>
      <c r="AC888" t="n">
        <v>3</v>
      </c>
      <c r="AD888" t="n">
        <v>11</v>
      </c>
      <c r="AE888" t="n">
        <v>16</v>
      </c>
      <c r="AF888" t="n">
        <v>3</v>
      </c>
      <c r="AG888" t="n">
        <v>5</v>
      </c>
      <c r="AH888" t="n">
        <v>2</v>
      </c>
      <c r="AI888" t="n">
        <v>3</v>
      </c>
      <c r="AJ888" t="n">
        <v>8</v>
      </c>
      <c r="AK888" t="n">
        <v>11</v>
      </c>
      <c r="AL888" t="n">
        <v>2</v>
      </c>
      <c r="AM888" t="n">
        <v>2</v>
      </c>
      <c r="AN888" t="n">
        <v>0</v>
      </c>
      <c r="AO888" t="n">
        <v>0</v>
      </c>
      <c r="AP888" t="inlineStr">
        <is>
          <t>No</t>
        </is>
      </c>
      <c r="AQ888" t="inlineStr">
        <is>
          <t>No</t>
        </is>
      </c>
      <c r="AS888">
        <f>HYPERLINK("https://creighton-primo.hosted.exlibrisgroup.com/primo-explore/search?tab=default_tab&amp;search_scope=EVERYTHING&amp;vid=01CRU&amp;lang=en_US&amp;offset=0&amp;query=any,contains,991000379469702656","Catalog Record")</f>
        <v/>
      </c>
      <c r="AT888">
        <f>HYPERLINK("http://www.worldcat.org/oclc/624405636","WorldCat Record")</f>
        <v/>
      </c>
      <c r="AU888" t="inlineStr">
        <is>
          <t>489928936:eng</t>
        </is>
      </c>
      <c r="AV888" t="inlineStr">
        <is>
          <t>624405636</t>
        </is>
      </c>
      <c r="AW888" t="inlineStr">
        <is>
          <t>991000379469702656</t>
        </is>
      </c>
      <c r="AX888" t="inlineStr">
        <is>
          <t>991000379469702656</t>
        </is>
      </c>
      <c r="AY888" t="inlineStr">
        <is>
          <t>2269020860002656</t>
        </is>
      </c>
      <c r="AZ888" t="inlineStr">
        <is>
          <t>BOOK</t>
        </is>
      </c>
      <c r="BB888" t="inlineStr">
        <is>
          <t>9781433808708</t>
        </is>
      </c>
      <c r="BC888" t="inlineStr">
        <is>
          <t>32285005652010</t>
        </is>
      </c>
      <c r="BD888" t="inlineStr">
        <is>
          <t>893231068</t>
        </is>
      </c>
    </row>
    <row r="889">
      <c r="A889" t="inlineStr">
        <is>
          <t>No</t>
        </is>
      </c>
      <c r="B889" t="inlineStr">
        <is>
          <t>RC489.R49 E43 1985</t>
        </is>
      </c>
      <c r="C889" t="inlineStr">
        <is>
          <t>0                      RC 0489000R  49                 E  43          1985</t>
        </is>
      </c>
      <c r="D889" t="inlineStr">
        <is>
          <t>Overcoming resistance : rational-emotive therapy with difficult clients / Albert Ellis.</t>
        </is>
      </c>
      <c r="F889" t="inlineStr">
        <is>
          <t>No</t>
        </is>
      </c>
      <c r="G889" t="inlineStr">
        <is>
          <t>1</t>
        </is>
      </c>
      <c r="H889" t="inlineStr">
        <is>
          <t>Yes</t>
        </is>
      </c>
      <c r="I889" t="inlineStr">
        <is>
          <t>No</t>
        </is>
      </c>
      <c r="J889" t="inlineStr">
        <is>
          <t>0</t>
        </is>
      </c>
      <c r="K889" t="inlineStr">
        <is>
          <t>Ellis, Albert, 1913-2007.</t>
        </is>
      </c>
      <c r="L889" t="inlineStr">
        <is>
          <t>New York : Springer Pub. Co., c1985.</t>
        </is>
      </c>
      <c r="M889" t="inlineStr">
        <is>
          <t>1985</t>
        </is>
      </c>
      <c r="O889" t="inlineStr">
        <is>
          <t>eng</t>
        </is>
      </c>
      <c r="P889" t="inlineStr">
        <is>
          <t>nyu</t>
        </is>
      </c>
      <c r="R889" t="inlineStr">
        <is>
          <t xml:space="preserve">RC </t>
        </is>
      </c>
      <c r="S889" t="n">
        <v>14</v>
      </c>
      <c r="T889" t="n">
        <v>14</v>
      </c>
      <c r="U889" t="inlineStr">
        <is>
          <t>1997-01-14</t>
        </is>
      </c>
      <c r="V889" t="inlineStr">
        <is>
          <t>1997-01-14</t>
        </is>
      </c>
      <c r="W889" t="inlineStr">
        <is>
          <t>1990-07-11</t>
        </is>
      </c>
      <c r="X889" t="inlineStr">
        <is>
          <t>1990-07-11</t>
        </is>
      </c>
      <c r="Y889" t="n">
        <v>414</v>
      </c>
      <c r="Z889" t="n">
        <v>344</v>
      </c>
      <c r="AA889" t="n">
        <v>346</v>
      </c>
      <c r="AB889" t="n">
        <v>5</v>
      </c>
      <c r="AC889" t="n">
        <v>5</v>
      </c>
      <c r="AD889" t="n">
        <v>16</v>
      </c>
      <c r="AE889" t="n">
        <v>16</v>
      </c>
      <c r="AF889" t="n">
        <v>3</v>
      </c>
      <c r="AG889" t="n">
        <v>3</v>
      </c>
      <c r="AH889" t="n">
        <v>4</v>
      </c>
      <c r="AI889" t="n">
        <v>4</v>
      </c>
      <c r="AJ889" t="n">
        <v>8</v>
      </c>
      <c r="AK889" t="n">
        <v>8</v>
      </c>
      <c r="AL889" t="n">
        <v>3</v>
      </c>
      <c r="AM889" t="n">
        <v>3</v>
      </c>
      <c r="AN889" t="n">
        <v>0</v>
      </c>
      <c r="AO889" t="n">
        <v>0</v>
      </c>
      <c r="AP889" t="inlineStr">
        <is>
          <t>No</t>
        </is>
      </c>
      <c r="AQ889" t="inlineStr">
        <is>
          <t>Yes</t>
        </is>
      </c>
      <c r="AR889">
        <f>HYPERLINK("http://catalog.hathitrust.org/Record/000612244","HathiTrust Record")</f>
        <v/>
      </c>
      <c r="AS889">
        <f>HYPERLINK("https://creighton-primo.hosted.exlibrisgroup.com/primo-explore/search?tab=default_tab&amp;search_scope=EVERYTHING&amp;vid=01CRU&amp;lang=en_US&amp;offset=0&amp;query=any,contains,991000597349702656","Catalog Record")</f>
        <v/>
      </c>
      <c r="AT889">
        <f>HYPERLINK("http://www.worldcat.org/oclc/11814057","WorldCat Record")</f>
        <v/>
      </c>
      <c r="AU889" t="inlineStr">
        <is>
          <t>3755171325:eng</t>
        </is>
      </c>
      <c r="AV889" t="inlineStr">
        <is>
          <t>11814057</t>
        </is>
      </c>
      <c r="AW889" t="inlineStr">
        <is>
          <t>991000597349702656</t>
        </is>
      </c>
      <c r="AX889" t="inlineStr">
        <is>
          <t>991000597349702656</t>
        </is>
      </c>
      <c r="AY889" t="inlineStr">
        <is>
          <t>2261233130002656</t>
        </is>
      </c>
      <c r="AZ889" t="inlineStr">
        <is>
          <t>BOOK</t>
        </is>
      </c>
      <c r="BB889" t="inlineStr">
        <is>
          <t>9780826149107</t>
        </is>
      </c>
      <c r="BC889" t="inlineStr">
        <is>
          <t>32285000235647</t>
        </is>
      </c>
      <c r="BD889" t="inlineStr">
        <is>
          <t>893425856</t>
        </is>
      </c>
    </row>
    <row r="890">
      <c r="A890" t="inlineStr">
        <is>
          <t>No</t>
        </is>
      </c>
      <c r="B890" t="inlineStr">
        <is>
          <t>RC489.S25 S26 1981</t>
        </is>
      </c>
      <c r="C890" t="inlineStr">
        <is>
          <t>0                      RC 0489000S  25                 S  26          1981</t>
        </is>
      </c>
      <c r="D890" t="inlineStr">
        <is>
          <t>Sandplay studies : origins, theory, and practice / contributing authors, Katherine Bradway ... [et al.] ; editorial committee, Gareth Hill ... [et al.].</t>
        </is>
      </c>
      <c r="F890" t="inlineStr">
        <is>
          <t>No</t>
        </is>
      </c>
      <c r="G890" t="inlineStr">
        <is>
          <t>1</t>
        </is>
      </c>
      <c r="H890" t="inlineStr">
        <is>
          <t>No</t>
        </is>
      </c>
      <c r="I890" t="inlineStr">
        <is>
          <t>No</t>
        </is>
      </c>
      <c r="J890" t="inlineStr">
        <is>
          <t>0</t>
        </is>
      </c>
      <c r="L890" t="inlineStr">
        <is>
          <t>San Francisco, Calif. : C.G. Jung Institute of San Francisco, c1981.</t>
        </is>
      </c>
      <c r="M890" t="inlineStr">
        <is>
          <t>1981</t>
        </is>
      </c>
      <c r="O890" t="inlineStr">
        <is>
          <t>eng</t>
        </is>
      </c>
      <c r="P890" t="inlineStr">
        <is>
          <t>cau</t>
        </is>
      </c>
      <c r="R890" t="inlineStr">
        <is>
          <t xml:space="preserve">RC </t>
        </is>
      </c>
      <c r="S890" t="n">
        <v>2</v>
      </c>
      <c r="T890" t="n">
        <v>2</v>
      </c>
      <c r="U890" t="inlineStr">
        <is>
          <t>2006-04-04</t>
        </is>
      </c>
      <c r="V890" t="inlineStr">
        <is>
          <t>2006-04-04</t>
        </is>
      </c>
      <c r="W890" t="inlineStr">
        <is>
          <t>1991-11-08</t>
        </is>
      </c>
      <c r="X890" t="inlineStr">
        <is>
          <t>1991-11-08</t>
        </is>
      </c>
      <c r="Y890" t="n">
        <v>66</v>
      </c>
      <c r="Z890" t="n">
        <v>56</v>
      </c>
      <c r="AA890" t="n">
        <v>57</v>
      </c>
      <c r="AB890" t="n">
        <v>2</v>
      </c>
      <c r="AC890" t="n">
        <v>2</v>
      </c>
      <c r="AD890" t="n">
        <v>1</v>
      </c>
      <c r="AE890" t="n">
        <v>1</v>
      </c>
      <c r="AF890" t="n">
        <v>0</v>
      </c>
      <c r="AG890" t="n">
        <v>0</v>
      </c>
      <c r="AH890" t="n">
        <v>0</v>
      </c>
      <c r="AI890" t="n">
        <v>0</v>
      </c>
      <c r="AJ890" t="n">
        <v>0</v>
      </c>
      <c r="AK890" t="n">
        <v>0</v>
      </c>
      <c r="AL890" t="n">
        <v>1</v>
      </c>
      <c r="AM890" t="n">
        <v>1</v>
      </c>
      <c r="AN890" t="n">
        <v>0</v>
      </c>
      <c r="AO890" t="n">
        <v>0</v>
      </c>
      <c r="AP890" t="inlineStr">
        <is>
          <t>No</t>
        </is>
      </c>
      <c r="AQ890" t="inlineStr">
        <is>
          <t>Yes</t>
        </is>
      </c>
      <c r="AR890">
        <f>HYPERLINK("http://catalog.hathitrust.org/Record/010614550","HathiTrust Record")</f>
        <v/>
      </c>
      <c r="AS890">
        <f>HYPERLINK("https://creighton-primo.hosted.exlibrisgroup.com/primo-explore/search?tab=default_tab&amp;search_scope=EVERYTHING&amp;vid=01CRU&amp;lang=en_US&amp;offset=0&amp;query=any,contains,991005095519702656","Catalog Record")</f>
        <v/>
      </c>
      <c r="AT890">
        <f>HYPERLINK("http://www.worldcat.org/oclc/7272802","WorldCat Record")</f>
        <v/>
      </c>
      <c r="AU890" t="inlineStr">
        <is>
          <t>1806900771:eng</t>
        </is>
      </c>
      <c r="AV890" t="inlineStr">
        <is>
          <t>7272802</t>
        </is>
      </c>
      <c r="AW890" t="inlineStr">
        <is>
          <t>991005095519702656</t>
        </is>
      </c>
      <c r="AX890" t="inlineStr">
        <is>
          <t>991005095519702656</t>
        </is>
      </c>
      <c r="AY890" t="inlineStr">
        <is>
          <t>2261269880002656</t>
        </is>
      </c>
      <c r="AZ890" t="inlineStr">
        <is>
          <t>BOOK</t>
        </is>
      </c>
      <c r="BB890" t="inlineStr">
        <is>
          <t>9780932630032</t>
        </is>
      </c>
      <c r="BC890" t="inlineStr">
        <is>
          <t>32285000821149</t>
        </is>
      </c>
      <c r="BD890" t="inlineStr">
        <is>
          <t>893412307</t>
        </is>
      </c>
    </row>
    <row r="891">
      <c r="A891" t="inlineStr">
        <is>
          <t>No</t>
        </is>
      </c>
      <c r="B891" t="inlineStr">
        <is>
          <t>RC489.S63 H35 1985</t>
        </is>
      </c>
      <c r="C891" t="inlineStr">
        <is>
          <t>0                      RC 0489000S  63                 H  35          1985</t>
        </is>
      </c>
      <c r="D891" t="inlineStr">
        <is>
          <t>Handbook of social skills training and research / edited by Luciano L'Abate and Michael A. Milan.</t>
        </is>
      </c>
      <c r="F891" t="inlineStr">
        <is>
          <t>No</t>
        </is>
      </c>
      <c r="G891" t="inlineStr">
        <is>
          <t>1</t>
        </is>
      </c>
      <c r="H891" t="inlineStr">
        <is>
          <t>No</t>
        </is>
      </c>
      <c r="I891" t="inlineStr">
        <is>
          <t>No</t>
        </is>
      </c>
      <c r="J891" t="inlineStr">
        <is>
          <t>0</t>
        </is>
      </c>
      <c r="L891" t="inlineStr">
        <is>
          <t>New York : Wiley, c1985.</t>
        </is>
      </c>
      <c r="M891" t="inlineStr">
        <is>
          <t>1985</t>
        </is>
      </c>
      <c r="O891" t="inlineStr">
        <is>
          <t>eng</t>
        </is>
      </c>
      <c r="P891" t="inlineStr">
        <is>
          <t>nyu</t>
        </is>
      </c>
      <c r="Q891" t="inlineStr">
        <is>
          <t>Wiley series on personality processes, 0737-7920</t>
        </is>
      </c>
      <c r="R891" t="inlineStr">
        <is>
          <t xml:space="preserve">RC </t>
        </is>
      </c>
      <c r="S891" t="n">
        <v>1</v>
      </c>
      <c r="T891" t="n">
        <v>1</v>
      </c>
      <c r="U891" t="inlineStr">
        <is>
          <t>2010-11-04</t>
        </is>
      </c>
      <c r="V891" t="inlineStr">
        <is>
          <t>2010-11-04</t>
        </is>
      </c>
      <c r="W891" t="inlineStr">
        <is>
          <t>1992-07-16</t>
        </is>
      </c>
      <c r="X891" t="inlineStr">
        <is>
          <t>1992-07-16</t>
        </is>
      </c>
      <c r="Y891" t="n">
        <v>405</v>
      </c>
      <c r="Z891" t="n">
        <v>316</v>
      </c>
      <c r="AA891" t="n">
        <v>324</v>
      </c>
      <c r="AB891" t="n">
        <v>4</v>
      </c>
      <c r="AC891" t="n">
        <v>4</v>
      </c>
      <c r="AD891" t="n">
        <v>18</v>
      </c>
      <c r="AE891" t="n">
        <v>18</v>
      </c>
      <c r="AF891" t="n">
        <v>5</v>
      </c>
      <c r="AG891" t="n">
        <v>5</v>
      </c>
      <c r="AH891" t="n">
        <v>6</v>
      </c>
      <c r="AI891" t="n">
        <v>6</v>
      </c>
      <c r="AJ891" t="n">
        <v>9</v>
      </c>
      <c r="AK891" t="n">
        <v>9</v>
      </c>
      <c r="AL891" t="n">
        <v>3</v>
      </c>
      <c r="AM891" t="n">
        <v>3</v>
      </c>
      <c r="AN891" t="n">
        <v>0</v>
      </c>
      <c r="AO891" t="n">
        <v>0</v>
      </c>
      <c r="AP891" t="inlineStr">
        <is>
          <t>No</t>
        </is>
      </c>
      <c r="AQ891" t="inlineStr">
        <is>
          <t>Yes</t>
        </is>
      </c>
      <c r="AR891">
        <f>HYPERLINK("http://catalog.hathitrust.org/Record/000463037","HathiTrust Record")</f>
        <v/>
      </c>
      <c r="AS891">
        <f>HYPERLINK("https://creighton-primo.hosted.exlibrisgroup.com/primo-explore/search?tab=default_tab&amp;search_scope=EVERYTHING&amp;vid=01CRU&amp;lang=en_US&amp;offset=0&amp;query=any,contains,991000506679702656","Catalog Record")</f>
        <v/>
      </c>
      <c r="AT891">
        <f>HYPERLINK("http://www.worldcat.org/oclc/11211520","WorldCat Record")</f>
        <v/>
      </c>
      <c r="AU891" t="inlineStr">
        <is>
          <t>3831021:eng</t>
        </is>
      </c>
      <c r="AV891" t="inlineStr">
        <is>
          <t>11211520</t>
        </is>
      </c>
      <c r="AW891" t="inlineStr">
        <is>
          <t>991000506679702656</t>
        </is>
      </c>
      <c r="AX891" t="inlineStr">
        <is>
          <t>991000506679702656</t>
        </is>
      </c>
      <c r="AY891" t="inlineStr">
        <is>
          <t>2256459980002656</t>
        </is>
      </c>
      <c r="AZ891" t="inlineStr">
        <is>
          <t>BOOK</t>
        </is>
      </c>
      <c r="BB891" t="inlineStr">
        <is>
          <t>9780471898320</t>
        </is>
      </c>
      <c r="BC891" t="inlineStr">
        <is>
          <t>32285001210987</t>
        </is>
      </c>
      <c r="BD891" t="inlineStr">
        <is>
          <t>893333535</t>
        </is>
      </c>
    </row>
    <row r="892">
      <c r="A892" t="inlineStr">
        <is>
          <t>No</t>
        </is>
      </c>
      <c r="B892" t="inlineStr">
        <is>
          <t>RC489.S74 F74 1996</t>
        </is>
      </c>
      <c r="C892" t="inlineStr">
        <is>
          <t>0                      RC 0489000S  74                 F  74          1996</t>
        </is>
      </c>
      <c r="D892" t="inlineStr">
        <is>
          <t>Narrative therapy : the social construction of preferred realities / Jill Freedman and Gene Combs.</t>
        </is>
      </c>
      <c r="F892" t="inlineStr">
        <is>
          <t>No</t>
        </is>
      </c>
      <c r="G892" t="inlineStr">
        <is>
          <t>1</t>
        </is>
      </c>
      <c r="H892" t="inlineStr">
        <is>
          <t>No</t>
        </is>
      </c>
      <c r="I892" t="inlineStr">
        <is>
          <t>No</t>
        </is>
      </c>
      <c r="J892" t="inlineStr">
        <is>
          <t>0</t>
        </is>
      </c>
      <c r="K892" t="inlineStr">
        <is>
          <t>Freedman, Jill, M.S.W.</t>
        </is>
      </c>
      <c r="L892" t="inlineStr">
        <is>
          <t>New York : Norton, c1996.</t>
        </is>
      </c>
      <c r="M892" t="inlineStr">
        <is>
          <t>1996</t>
        </is>
      </c>
      <c r="N892" t="inlineStr">
        <is>
          <t>1st ed.</t>
        </is>
      </c>
      <c r="O892" t="inlineStr">
        <is>
          <t>eng</t>
        </is>
      </c>
      <c r="P892" t="inlineStr">
        <is>
          <t>nyu</t>
        </is>
      </c>
      <c r="R892" t="inlineStr">
        <is>
          <t xml:space="preserve">RC </t>
        </is>
      </c>
      <c r="S892" t="n">
        <v>9</v>
      </c>
      <c r="T892" t="n">
        <v>9</v>
      </c>
      <c r="U892" t="inlineStr">
        <is>
          <t>2010-03-30</t>
        </is>
      </c>
      <c r="V892" t="inlineStr">
        <is>
          <t>2010-03-30</t>
        </is>
      </c>
      <c r="W892" t="inlineStr">
        <is>
          <t>2000-07-20</t>
        </is>
      </c>
      <c r="X892" t="inlineStr">
        <is>
          <t>2000-07-20</t>
        </is>
      </c>
      <c r="Y892" t="n">
        <v>518</v>
      </c>
      <c r="Z892" t="n">
        <v>345</v>
      </c>
      <c r="AA892" t="n">
        <v>345</v>
      </c>
      <c r="AB892" t="n">
        <v>3</v>
      </c>
      <c r="AC892" t="n">
        <v>3</v>
      </c>
      <c r="AD892" t="n">
        <v>20</v>
      </c>
      <c r="AE892" t="n">
        <v>20</v>
      </c>
      <c r="AF892" t="n">
        <v>9</v>
      </c>
      <c r="AG892" t="n">
        <v>9</v>
      </c>
      <c r="AH892" t="n">
        <v>2</v>
      </c>
      <c r="AI892" t="n">
        <v>2</v>
      </c>
      <c r="AJ892" t="n">
        <v>11</v>
      </c>
      <c r="AK892" t="n">
        <v>11</v>
      </c>
      <c r="AL892" t="n">
        <v>2</v>
      </c>
      <c r="AM892" t="n">
        <v>2</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HYPERLINK("https://creighton-primo.hosted.exlibrisgroup.com/primo-explore/search?tab=default_tab&amp;search_scope=EVERYTHING&amp;vid=01CRU&amp;lang=en_US&amp;offset=0&amp;query=any,contains,991003210819702656","Catalog Record")</f>
        <v/>
      </c>
      <c r="AT892">
        <f>HYPERLINK("http://www.worldcat.org/oclc/34358181","WorldCat Record")</f>
        <v/>
      </c>
      <c r="AU892" t="inlineStr">
        <is>
          <t>892265601:eng</t>
        </is>
      </c>
      <c r="AV892" t="inlineStr">
        <is>
          <t>34358181</t>
        </is>
      </c>
      <c r="AW892" t="inlineStr">
        <is>
          <t>991003210819702656</t>
        </is>
      </c>
      <c r="AX892" t="inlineStr">
        <is>
          <t>991003210819702656</t>
        </is>
      </c>
      <c r="AY892" t="inlineStr">
        <is>
          <t>2258447680002656</t>
        </is>
      </c>
      <c r="AZ892" t="inlineStr">
        <is>
          <t>BOOK</t>
        </is>
      </c>
      <c r="BB892" t="inlineStr">
        <is>
          <t>9780393702071</t>
        </is>
      </c>
      <c r="BC892" t="inlineStr">
        <is>
          <t>32285003712741</t>
        </is>
      </c>
      <c r="BD892" t="inlineStr">
        <is>
          <t>893711141</t>
        </is>
      </c>
    </row>
    <row r="893">
      <c r="A893" t="inlineStr">
        <is>
          <t>No</t>
        </is>
      </c>
      <c r="B893" t="inlineStr">
        <is>
          <t>RC489.S74 P37 1994</t>
        </is>
      </c>
      <c r="C893" t="inlineStr">
        <is>
          <t>0                      RC 0489000S  74                 P  37          1994</t>
        </is>
      </c>
      <c r="D893" t="inlineStr">
        <is>
          <t>Story re-visions : narrative therapy in the postmodern world / Alan Parry, Robert E. Doan.</t>
        </is>
      </c>
      <c r="F893" t="inlineStr">
        <is>
          <t>No</t>
        </is>
      </c>
      <c r="G893" t="inlineStr">
        <is>
          <t>1</t>
        </is>
      </c>
      <c r="H893" t="inlineStr">
        <is>
          <t>No</t>
        </is>
      </c>
      <c r="I893" t="inlineStr">
        <is>
          <t>No</t>
        </is>
      </c>
      <c r="J893" t="inlineStr">
        <is>
          <t>0</t>
        </is>
      </c>
      <c r="K893" t="inlineStr">
        <is>
          <t>Parry, Alan (Thomas Alan)</t>
        </is>
      </c>
      <c r="L893" t="inlineStr">
        <is>
          <t>New York : The Guilford Press, 1994.</t>
        </is>
      </c>
      <c r="M893" t="inlineStr">
        <is>
          <t>1994</t>
        </is>
      </c>
      <c r="O893" t="inlineStr">
        <is>
          <t>eng</t>
        </is>
      </c>
      <c r="P893" t="inlineStr">
        <is>
          <t>nyu</t>
        </is>
      </c>
      <c r="R893" t="inlineStr">
        <is>
          <t xml:space="preserve">RC </t>
        </is>
      </c>
      <c r="S893" t="n">
        <v>3</v>
      </c>
      <c r="T893" t="n">
        <v>3</v>
      </c>
      <c r="U893" t="inlineStr">
        <is>
          <t>1997-11-15</t>
        </is>
      </c>
      <c r="V893" t="inlineStr">
        <is>
          <t>1997-11-15</t>
        </is>
      </c>
      <c r="W893" t="inlineStr">
        <is>
          <t>1996-11-20</t>
        </is>
      </c>
      <c r="X893" t="inlineStr">
        <is>
          <t>1996-11-20</t>
        </is>
      </c>
      <c r="Y893" t="n">
        <v>387</v>
      </c>
      <c r="Z893" t="n">
        <v>289</v>
      </c>
      <c r="AA893" t="n">
        <v>294</v>
      </c>
      <c r="AB893" t="n">
        <v>4</v>
      </c>
      <c r="AC893" t="n">
        <v>4</v>
      </c>
      <c r="AD893" t="n">
        <v>24</v>
      </c>
      <c r="AE893" t="n">
        <v>24</v>
      </c>
      <c r="AF893" t="n">
        <v>9</v>
      </c>
      <c r="AG893" t="n">
        <v>9</v>
      </c>
      <c r="AH893" t="n">
        <v>5</v>
      </c>
      <c r="AI893" t="n">
        <v>5</v>
      </c>
      <c r="AJ893" t="n">
        <v>11</v>
      </c>
      <c r="AK893" t="n">
        <v>11</v>
      </c>
      <c r="AL893" t="n">
        <v>3</v>
      </c>
      <c r="AM893" t="n">
        <v>3</v>
      </c>
      <c r="AN893" t="n">
        <v>0</v>
      </c>
      <c r="AO893" t="n">
        <v>0</v>
      </c>
      <c r="AP893" t="inlineStr">
        <is>
          <t>No</t>
        </is>
      </c>
      <c r="AQ893" t="inlineStr">
        <is>
          <t>No</t>
        </is>
      </c>
      <c r="AS893">
        <f>HYPERLINK("https://creighton-primo.hosted.exlibrisgroup.com/primo-explore/search?tab=default_tab&amp;search_scope=EVERYTHING&amp;vid=01CRU&amp;lang=en_US&amp;offset=0&amp;query=any,contains,991002354189702656","Catalog Record")</f>
        <v/>
      </c>
      <c r="AT893">
        <f>HYPERLINK("http://www.worldcat.org/oclc/30625917","WorldCat Record")</f>
        <v/>
      </c>
      <c r="AU893" t="inlineStr">
        <is>
          <t>891805531:eng</t>
        </is>
      </c>
      <c r="AV893" t="inlineStr">
        <is>
          <t>30625917</t>
        </is>
      </c>
      <c r="AW893" t="inlineStr">
        <is>
          <t>991002354189702656</t>
        </is>
      </c>
      <c r="AX893" t="inlineStr">
        <is>
          <t>991002354189702656</t>
        </is>
      </c>
      <c r="AY893" t="inlineStr">
        <is>
          <t>2263085800002656</t>
        </is>
      </c>
      <c r="AZ893" t="inlineStr">
        <is>
          <t>BOOK</t>
        </is>
      </c>
      <c r="BB893" t="inlineStr">
        <is>
          <t>9780898622133</t>
        </is>
      </c>
      <c r="BC893" t="inlineStr">
        <is>
          <t>32285002374832</t>
        </is>
      </c>
      <c r="BD893" t="inlineStr">
        <is>
          <t>893335202</t>
        </is>
      </c>
    </row>
    <row r="894">
      <c r="A894" t="inlineStr">
        <is>
          <t>No</t>
        </is>
      </c>
      <c r="B894" t="inlineStr">
        <is>
          <t>RC489.S74 W35 1985</t>
        </is>
      </c>
      <c r="C894" t="inlineStr">
        <is>
          <t>0                      RC 0489000S  74                 W  35          1985</t>
        </is>
      </c>
      <c r="D894" t="inlineStr">
        <is>
          <t>Stories for the third ear / Lee Wallas.</t>
        </is>
      </c>
      <c r="F894" t="inlineStr">
        <is>
          <t>No</t>
        </is>
      </c>
      <c r="G894" t="inlineStr">
        <is>
          <t>1</t>
        </is>
      </c>
      <c r="H894" t="inlineStr">
        <is>
          <t>Yes</t>
        </is>
      </c>
      <c r="I894" t="inlineStr">
        <is>
          <t>No</t>
        </is>
      </c>
      <c r="J894" t="inlineStr">
        <is>
          <t>0</t>
        </is>
      </c>
      <c r="K894" t="inlineStr">
        <is>
          <t>Wallas, Lee.</t>
        </is>
      </c>
      <c r="L894" t="inlineStr">
        <is>
          <t>New York : Norton, c1985.</t>
        </is>
      </c>
      <c r="M894" t="inlineStr">
        <is>
          <t>1985</t>
        </is>
      </c>
      <c r="O894" t="inlineStr">
        <is>
          <t>eng</t>
        </is>
      </c>
      <c r="P894" t="inlineStr">
        <is>
          <t>nyu</t>
        </is>
      </c>
      <c r="R894" t="inlineStr">
        <is>
          <t xml:space="preserve">RC </t>
        </is>
      </c>
      <c r="S894" t="n">
        <v>3</v>
      </c>
      <c r="T894" t="n">
        <v>3</v>
      </c>
      <c r="U894" t="inlineStr">
        <is>
          <t>2000-10-26</t>
        </is>
      </c>
      <c r="V894" t="inlineStr">
        <is>
          <t>2000-10-26</t>
        </is>
      </c>
      <c r="W894" t="inlineStr">
        <is>
          <t>1990-03-20</t>
        </is>
      </c>
      <c r="X894" t="inlineStr">
        <is>
          <t>2005-02-08</t>
        </is>
      </c>
      <c r="Y894" t="n">
        <v>344</v>
      </c>
      <c r="Z894" t="n">
        <v>310</v>
      </c>
      <c r="AA894" t="n">
        <v>315</v>
      </c>
      <c r="AB894" t="n">
        <v>1</v>
      </c>
      <c r="AC894" t="n">
        <v>1</v>
      </c>
      <c r="AD894" t="n">
        <v>12</v>
      </c>
      <c r="AE894" t="n">
        <v>12</v>
      </c>
      <c r="AF894" t="n">
        <v>5</v>
      </c>
      <c r="AG894" t="n">
        <v>5</v>
      </c>
      <c r="AH894" t="n">
        <v>3</v>
      </c>
      <c r="AI894" t="n">
        <v>3</v>
      </c>
      <c r="AJ894" t="n">
        <v>7</v>
      </c>
      <c r="AK894" t="n">
        <v>7</v>
      </c>
      <c r="AL894" t="n">
        <v>0</v>
      </c>
      <c r="AM894" t="n">
        <v>0</v>
      </c>
      <c r="AN894" t="n">
        <v>0</v>
      </c>
      <c r="AO894" t="n">
        <v>0</v>
      </c>
      <c r="AP894" t="inlineStr">
        <is>
          <t>No</t>
        </is>
      </c>
      <c r="AQ894" t="inlineStr">
        <is>
          <t>No</t>
        </is>
      </c>
      <c r="AS894">
        <f>HYPERLINK("https://creighton-primo.hosted.exlibrisgroup.com/primo-explore/search?tab=default_tab&amp;search_scope=EVERYTHING&amp;vid=01CRU&amp;lang=en_US&amp;offset=0&amp;query=any,contains,991000620409702656","Catalog Record")</f>
        <v/>
      </c>
      <c r="AT894">
        <f>HYPERLINK("http://www.worldcat.org/oclc/11971322","WorldCat Record")</f>
        <v/>
      </c>
      <c r="AU894" t="inlineStr">
        <is>
          <t>1010953:eng</t>
        </is>
      </c>
      <c r="AV894" t="inlineStr">
        <is>
          <t>11971322</t>
        </is>
      </c>
      <c r="AW894" t="inlineStr">
        <is>
          <t>991000620409702656</t>
        </is>
      </c>
      <c r="AX894" t="inlineStr">
        <is>
          <t>991000620409702656</t>
        </is>
      </c>
      <c r="AY894" t="inlineStr">
        <is>
          <t>2256937670002656</t>
        </is>
      </c>
      <c r="AZ894" t="inlineStr">
        <is>
          <t>BOOK</t>
        </is>
      </c>
      <c r="BB894" t="inlineStr">
        <is>
          <t>9780393700190</t>
        </is>
      </c>
      <c r="BC894" t="inlineStr">
        <is>
          <t>32285000088533</t>
        </is>
      </c>
      <c r="BD894" t="inlineStr">
        <is>
          <t>893438435</t>
        </is>
      </c>
    </row>
    <row r="895">
      <c r="A895" t="inlineStr">
        <is>
          <t>No</t>
        </is>
      </c>
      <c r="B895" t="inlineStr">
        <is>
          <t>RC489.T7 H36 1985</t>
        </is>
      </c>
      <c r="C895" t="inlineStr">
        <is>
          <t>0                      RC 0489000T  7                  H  36          1985</t>
        </is>
      </c>
      <c r="D895" t="inlineStr">
        <is>
          <t>Staying OK / Amy Bjork Harris and Thomas A. Harris.</t>
        </is>
      </c>
      <c r="F895" t="inlineStr">
        <is>
          <t>No</t>
        </is>
      </c>
      <c r="G895" t="inlineStr">
        <is>
          <t>1</t>
        </is>
      </c>
      <c r="H895" t="inlineStr">
        <is>
          <t>No</t>
        </is>
      </c>
      <c r="I895" t="inlineStr">
        <is>
          <t>No</t>
        </is>
      </c>
      <c r="J895" t="inlineStr">
        <is>
          <t>0</t>
        </is>
      </c>
      <c r="K895" t="inlineStr">
        <is>
          <t>Harris, Amy Bjork.</t>
        </is>
      </c>
      <c r="L895" t="inlineStr">
        <is>
          <t>New York : Harper &amp; Row, c1985.</t>
        </is>
      </c>
      <c r="M895" t="inlineStr">
        <is>
          <t>1985</t>
        </is>
      </c>
      <c r="N895" t="inlineStr">
        <is>
          <t>1st ed.</t>
        </is>
      </c>
      <c r="O895" t="inlineStr">
        <is>
          <t>eng</t>
        </is>
      </c>
      <c r="P895" t="inlineStr">
        <is>
          <t>nyu</t>
        </is>
      </c>
      <c r="R895" t="inlineStr">
        <is>
          <t xml:space="preserve">RC </t>
        </is>
      </c>
      <c r="S895" t="n">
        <v>3</v>
      </c>
      <c r="T895" t="n">
        <v>3</v>
      </c>
      <c r="U895" t="inlineStr">
        <is>
          <t>1994-11-05</t>
        </is>
      </c>
      <c r="V895" t="inlineStr">
        <is>
          <t>1994-11-05</t>
        </is>
      </c>
      <c r="W895" t="inlineStr">
        <is>
          <t>1992-06-01</t>
        </is>
      </c>
      <c r="X895" t="inlineStr">
        <is>
          <t>1992-06-01</t>
        </is>
      </c>
      <c r="Y895" t="n">
        <v>1198</v>
      </c>
      <c r="Z895" t="n">
        <v>1129</v>
      </c>
      <c r="AA895" t="n">
        <v>1193</v>
      </c>
      <c r="AB895" t="n">
        <v>8</v>
      </c>
      <c r="AC895" t="n">
        <v>8</v>
      </c>
      <c r="AD895" t="n">
        <v>11</v>
      </c>
      <c r="AE895" t="n">
        <v>12</v>
      </c>
      <c r="AF895" t="n">
        <v>4</v>
      </c>
      <c r="AG895" t="n">
        <v>4</v>
      </c>
      <c r="AH895" t="n">
        <v>3</v>
      </c>
      <c r="AI895" t="n">
        <v>3</v>
      </c>
      <c r="AJ895" t="n">
        <v>4</v>
      </c>
      <c r="AK895" t="n">
        <v>5</v>
      </c>
      <c r="AL895" t="n">
        <v>3</v>
      </c>
      <c r="AM895" t="n">
        <v>3</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HYPERLINK("https://creighton-primo.hosted.exlibrisgroup.com/primo-explore/search?tab=default_tab&amp;search_scope=EVERYTHING&amp;vid=01CRU&amp;lang=en_US&amp;offset=0&amp;query=any,contains,991000510089702656","Catalog Record")</f>
        <v/>
      </c>
      <c r="AT895">
        <f>HYPERLINK("http://www.worldcat.org/oclc/11234951","WorldCat Record")</f>
        <v/>
      </c>
      <c r="AU895" t="inlineStr">
        <is>
          <t>2829620310:eng</t>
        </is>
      </c>
      <c r="AV895" t="inlineStr">
        <is>
          <t>11234951</t>
        </is>
      </c>
      <c r="AW895" t="inlineStr">
        <is>
          <t>991000510089702656</t>
        </is>
      </c>
      <c r="AX895" t="inlineStr">
        <is>
          <t>991000510089702656</t>
        </is>
      </c>
      <c r="AY895" t="inlineStr">
        <is>
          <t>2257453580002656</t>
        </is>
      </c>
      <c r="AZ895" t="inlineStr">
        <is>
          <t>BOOK</t>
        </is>
      </c>
      <c r="BB895" t="inlineStr">
        <is>
          <t>9780060153151</t>
        </is>
      </c>
      <c r="BC895" t="inlineStr">
        <is>
          <t>32285001114445</t>
        </is>
      </c>
      <c r="BD895" t="inlineStr">
        <is>
          <t>893231167</t>
        </is>
      </c>
    </row>
    <row r="896">
      <c r="A896" t="inlineStr">
        <is>
          <t>No</t>
        </is>
      </c>
      <c r="B896" t="inlineStr">
        <is>
          <t>RC489.T7 I56 1977</t>
        </is>
      </c>
      <c r="C896" t="inlineStr">
        <is>
          <t>0                      RC 0489000T  7                  I  56          1977</t>
        </is>
      </c>
      <c r="D896" t="inlineStr">
        <is>
          <t>Current issues in transactional analysis : the first International Transactional Analysis Association European conference / edited by Roger N. Blakeney.</t>
        </is>
      </c>
      <c r="F896" t="inlineStr">
        <is>
          <t>No</t>
        </is>
      </c>
      <c r="G896" t="inlineStr">
        <is>
          <t>1</t>
        </is>
      </c>
      <c r="H896" t="inlineStr">
        <is>
          <t>No</t>
        </is>
      </c>
      <c r="I896" t="inlineStr">
        <is>
          <t>No</t>
        </is>
      </c>
      <c r="J896" t="inlineStr">
        <is>
          <t>0</t>
        </is>
      </c>
      <c r="K896" t="inlineStr">
        <is>
          <t>International Transactional Analysis Association.</t>
        </is>
      </c>
      <c r="L896" t="inlineStr">
        <is>
          <t>New York : Brunner/Mazel, c1977.</t>
        </is>
      </c>
      <c r="M896" t="inlineStr">
        <is>
          <t>1977</t>
        </is>
      </c>
      <c r="O896" t="inlineStr">
        <is>
          <t>eng</t>
        </is>
      </c>
      <c r="P896" t="inlineStr">
        <is>
          <t>nyu</t>
        </is>
      </c>
      <c r="R896" t="inlineStr">
        <is>
          <t xml:space="preserve">RC </t>
        </is>
      </c>
      <c r="S896" t="n">
        <v>3</v>
      </c>
      <c r="T896" t="n">
        <v>3</v>
      </c>
      <c r="U896" t="inlineStr">
        <is>
          <t>1994-11-05</t>
        </is>
      </c>
      <c r="V896" t="inlineStr">
        <is>
          <t>1994-11-05</t>
        </is>
      </c>
      <c r="W896" t="inlineStr">
        <is>
          <t>1991-01-11</t>
        </is>
      </c>
      <c r="X896" t="inlineStr">
        <is>
          <t>1991-01-11</t>
        </is>
      </c>
      <c r="Y896" t="n">
        <v>242</v>
      </c>
      <c r="Z896" t="n">
        <v>198</v>
      </c>
      <c r="AA896" t="n">
        <v>205</v>
      </c>
      <c r="AB896" t="n">
        <v>2</v>
      </c>
      <c r="AC896" t="n">
        <v>2</v>
      </c>
      <c r="AD896" t="n">
        <v>7</v>
      </c>
      <c r="AE896" t="n">
        <v>7</v>
      </c>
      <c r="AF896" t="n">
        <v>1</v>
      </c>
      <c r="AG896" t="n">
        <v>1</v>
      </c>
      <c r="AH896" t="n">
        <v>2</v>
      </c>
      <c r="AI896" t="n">
        <v>2</v>
      </c>
      <c r="AJ896" t="n">
        <v>5</v>
      </c>
      <c r="AK896" t="n">
        <v>5</v>
      </c>
      <c r="AL896" t="n">
        <v>1</v>
      </c>
      <c r="AM896" t="n">
        <v>1</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HYPERLINK("https://creighton-primo.hosted.exlibrisgroup.com/primo-explore/search?tab=default_tab&amp;search_scope=EVERYTHING&amp;vid=01CRU&amp;lang=en_US&amp;offset=0&amp;query=any,contains,991004150279702656","Catalog Record")</f>
        <v/>
      </c>
      <c r="AT896">
        <f>HYPERLINK("http://www.worldcat.org/oclc/2523427","WorldCat Record")</f>
        <v/>
      </c>
      <c r="AU896" t="inlineStr">
        <is>
          <t>364047815:eng</t>
        </is>
      </c>
      <c r="AV896" t="inlineStr">
        <is>
          <t>2523427</t>
        </is>
      </c>
      <c r="AW896" t="inlineStr">
        <is>
          <t>991004150279702656</t>
        </is>
      </c>
      <c r="AX896" t="inlineStr">
        <is>
          <t>991004150279702656</t>
        </is>
      </c>
      <c r="AY896" t="inlineStr">
        <is>
          <t>2270017940002656</t>
        </is>
      </c>
      <c r="AZ896" t="inlineStr">
        <is>
          <t>BOOK</t>
        </is>
      </c>
      <c r="BB896" t="inlineStr">
        <is>
          <t>9780876301364</t>
        </is>
      </c>
      <c r="BC896" t="inlineStr">
        <is>
          <t>32285000427954</t>
        </is>
      </c>
      <c r="BD896" t="inlineStr">
        <is>
          <t>893618308</t>
        </is>
      </c>
    </row>
    <row r="897">
      <c r="A897" t="inlineStr">
        <is>
          <t>No</t>
        </is>
      </c>
      <c r="B897" t="inlineStr">
        <is>
          <t>RC489.T7 J34</t>
        </is>
      </c>
      <c r="C897" t="inlineStr">
        <is>
          <t>0                      RC 0489000T  7                  J  34</t>
        </is>
      </c>
      <c r="D897" t="inlineStr">
        <is>
          <t>Born to love; transactional analysis in the Church.</t>
        </is>
      </c>
      <c r="F897" t="inlineStr">
        <is>
          <t>No</t>
        </is>
      </c>
      <c r="G897" t="inlineStr">
        <is>
          <t>1</t>
        </is>
      </c>
      <c r="H897" t="inlineStr">
        <is>
          <t>No</t>
        </is>
      </c>
      <c r="I897" t="inlineStr">
        <is>
          <t>No</t>
        </is>
      </c>
      <c r="J897" t="inlineStr">
        <is>
          <t>0</t>
        </is>
      </c>
      <c r="K897" t="inlineStr">
        <is>
          <t>James, Muriel.</t>
        </is>
      </c>
      <c r="L897" t="inlineStr">
        <is>
          <t>Reading, Mass., Addison-Wesley Pub. Co. [1973]</t>
        </is>
      </c>
      <c r="M897" t="inlineStr">
        <is>
          <t>1973</t>
        </is>
      </c>
      <c r="O897" t="inlineStr">
        <is>
          <t>eng</t>
        </is>
      </c>
      <c r="P897" t="inlineStr">
        <is>
          <t>mau</t>
        </is>
      </c>
      <c r="R897" t="inlineStr">
        <is>
          <t xml:space="preserve">RC </t>
        </is>
      </c>
      <c r="S897" t="n">
        <v>3</v>
      </c>
      <c r="T897" t="n">
        <v>3</v>
      </c>
      <c r="U897" t="inlineStr">
        <is>
          <t>1997-09-11</t>
        </is>
      </c>
      <c r="V897" t="inlineStr">
        <is>
          <t>1997-09-11</t>
        </is>
      </c>
      <c r="W897" t="inlineStr">
        <is>
          <t>1997-08-12</t>
        </is>
      </c>
      <c r="X897" t="inlineStr">
        <is>
          <t>1997-08-12</t>
        </is>
      </c>
      <c r="Y897" t="n">
        <v>511</v>
      </c>
      <c r="Z897" t="n">
        <v>450</v>
      </c>
      <c r="AA897" t="n">
        <v>497</v>
      </c>
      <c r="AB897" t="n">
        <v>3</v>
      </c>
      <c r="AC897" t="n">
        <v>4</v>
      </c>
      <c r="AD897" t="n">
        <v>13</v>
      </c>
      <c r="AE897" t="n">
        <v>14</v>
      </c>
      <c r="AF897" t="n">
        <v>2</v>
      </c>
      <c r="AG897" t="n">
        <v>2</v>
      </c>
      <c r="AH897" t="n">
        <v>2</v>
      </c>
      <c r="AI897" t="n">
        <v>2</v>
      </c>
      <c r="AJ897" t="n">
        <v>10</v>
      </c>
      <c r="AK897" t="n">
        <v>10</v>
      </c>
      <c r="AL897" t="n">
        <v>2</v>
      </c>
      <c r="AM897" t="n">
        <v>3</v>
      </c>
      <c r="AN897" t="n">
        <v>0</v>
      </c>
      <c r="AO897" t="n">
        <v>0</v>
      </c>
      <c r="AP897" t="inlineStr">
        <is>
          <t>No</t>
        </is>
      </c>
      <c r="AQ897" t="inlineStr">
        <is>
          <t>Yes</t>
        </is>
      </c>
      <c r="AR897">
        <f>HYPERLINK("http://catalog.hathitrust.org/Record/001564760","HathiTrust Record")</f>
        <v/>
      </c>
      <c r="AS897">
        <f>HYPERLINK("https://creighton-primo.hosted.exlibrisgroup.com/primo-explore/search?tab=default_tab&amp;search_scope=EVERYTHING&amp;vid=01CRU&amp;lang=en_US&amp;offset=0&amp;query=any,contains,991003274889702656","Catalog Record")</f>
        <v/>
      </c>
      <c r="AT897">
        <f>HYPERLINK("http://www.worldcat.org/oclc/799529","WorldCat Record")</f>
        <v/>
      </c>
      <c r="AU897" t="inlineStr">
        <is>
          <t>1782053:eng</t>
        </is>
      </c>
      <c r="AV897" t="inlineStr">
        <is>
          <t>799529</t>
        </is>
      </c>
      <c r="AW897" t="inlineStr">
        <is>
          <t>991003274889702656</t>
        </is>
      </c>
      <c r="AX897" t="inlineStr">
        <is>
          <t>991003274889702656</t>
        </is>
      </c>
      <c r="AY897" t="inlineStr">
        <is>
          <t>2266819970002656</t>
        </is>
      </c>
      <c r="AZ897" t="inlineStr">
        <is>
          <t>BOOK</t>
        </is>
      </c>
      <c r="BB897" t="inlineStr">
        <is>
          <t>9780201033281</t>
        </is>
      </c>
      <c r="BC897" t="inlineStr">
        <is>
          <t>32285003092185</t>
        </is>
      </c>
      <c r="BD897" t="inlineStr">
        <is>
          <t>893887306</t>
        </is>
      </c>
    </row>
    <row r="898">
      <c r="A898" t="inlineStr">
        <is>
          <t>No</t>
        </is>
      </c>
      <c r="B898" t="inlineStr">
        <is>
          <t>RC489.T7 J35 1971b</t>
        </is>
      </c>
      <c r="C898" t="inlineStr">
        <is>
          <t>0                      RC 0489000T  7                  J  35          1971b</t>
        </is>
      </c>
      <c r="D898" t="inlineStr">
        <is>
          <t>Born to win : transactional analysis with gestalt experiments / Muriel James, Dorothy Jongeward.</t>
        </is>
      </c>
      <c r="F898" t="inlineStr">
        <is>
          <t>No</t>
        </is>
      </c>
      <c r="G898" t="inlineStr">
        <is>
          <t>1</t>
        </is>
      </c>
      <c r="H898" t="inlineStr">
        <is>
          <t>No</t>
        </is>
      </c>
      <c r="I898" t="inlineStr">
        <is>
          <t>No</t>
        </is>
      </c>
      <c r="J898" t="inlineStr">
        <is>
          <t>0</t>
        </is>
      </c>
      <c r="K898" t="inlineStr">
        <is>
          <t>James, Muriel.</t>
        </is>
      </c>
      <c r="L898" t="inlineStr">
        <is>
          <t>Reading, Mass. : Addison-Wesley Pub. Co., c1971, 1983 printing.</t>
        </is>
      </c>
      <c r="M898" t="inlineStr">
        <is>
          <t>1971</t>
        </is>
      </c>
      <c r="O898" t="inlineStr">
        <is>
          <t>eng</t>
        </is>
      </c>
      <c r="P898" t="inlineStr">
        <is>
          <t>mau</t>
        </is>
      </c>
      <c r="R898" t="inlineStr">
        <is>
          <t xml:space="preserve">RC </t>
        </is>
      </c>
      <c r="S898" t="n">
        <v>9</v>
      </c>
      <c r="T898" t="n">
        <v>9</v>
      </c>
      <c r="U898" t="inlineStr">
        <is>
          <t>1995-12-09</t>
        </is>
      </c>
      <c r="V898" t="inlineStr">
        <is>
          <t>1995-12-09</t>
        </is>
      </c>
      <c r="W898" t="inlineStr">
        <is>
          <t>1992-05-13</t>
        </is>
      </c>
      <c r="X898" t="inlineStr">
        <is>
          <t>1992-05-13</t>
        </is>
      </c>
      <c r="Y898" t="n">
        <v>414</v>
      </c>
      <c r="Z898" t="n">
        <v>333</v>
      </c>
      <c r="AA898" t="n">
        <v>1957</v>
      </c>
      <c r="AB898" t="n">
        <v>5</v>
      </c>
      <c r="AC898" t="n">
        <v>16</v>
      </c>
      <c r="AD898" t="n">
        <v>10</v>
      </c>
      <c r="AE898" t="n">
        <v>40</v>
      </c>
      <c r="AF898" t="n">
        <v>1</v>
      </c>
      <c r="AG898" t="n">
        <v>16</v>
      </c>
      <c r="AH898" t="n">
        <v>2</v>
      </c>
      <c r="AI898" t="n">
        <v>8</v>
      </c>
      <c r="AJ898" t="n">
        <v>5</v>
      </c>
      <c r="AK898" t="n">
        <v>19</v>
      </c>
      <c r="AL898" t="n">
        <v>2</v>
      </c>
      <c r="AM898" t="n">
        <v>5</v>
      </c>
      <c r="AN898" t="n">
        <v>0</v>
      </c>
      <c r="AO898" t="n">
        <v>0</v>
      </c>
      <c r="AP898" t="inlineStr">
        <is>
          <t>No</t>
        </is>
      </c>
      <c r="AQ898" t="inlineStr">
        <is>
          <t>Yes</t>
        </is>
      </c>
      <c r="AR898">
        <f>HYPERLINK("http://catalog.hathitrust.org/Record/001564761","HathiTrust Record")</f>
        <v/>
      </c>
      <c r="AS898">
        <f>HYPERLINK("https://creighton-primo.hosted.exlibrisgroup.com/primo-explore/search?tab=default_tab&amp;search_scope=EVERYTHING&amp;vid=01CRU&amp;lang=en_US&amp;offset=0&amp;query=any,contains,991005266339702656","Catalog Record")</f>
        <v/>
      </c>
      <c r="AT898">
        <f>HYPERLINK("http://www.worldcat.org/oclc/6483420","WorldCat Record")</f>
        <v/>
      </c>
      <c r="AU898" t="inlineStr">
        <is>
          <t>101115:eng</t>
        </is>
      </c>
      <c r="AV898" t="inlineStr">
        <is>
          <t>6483420</t>
        </is>
      </c>
      <c r="AW898" t="inlineStr">
        <is>
          <t>991005266339702656</t>
        </is>
      </c>
      <c r="AX898" t="inlineStr">
        <is>
          <t>991005266339702656</t>
        </is>
      </c>
      <c r="AY898" t="inlineStr">
        <is>
          <t>2271338820002656</t>
        </is>
      </c>
      <c r="AZ898" t="inlineStr">
        <is>
          <t>BOOK</t>
        </is>
      </c>
      <c r="BB898" t="inlineStr">
        <is>
          <t>9780201033199</t>
        </is>
      </c>
      <c r="BC898" t="inlineStr">
        <is>
          <t>32285001117760</t>
        </is>
      </c>
      <c r="BD898" t="inlineStr">
        <is>
          <t>893795894</t>
        </is>
      </c>
    </row>
    <row r="899">
      <c r="A899" t="inlineStr">
        <is>
          <t>No</t>
        </is>
      </c>
      <c r="B899" t="inlineStr">
        <is>
          <t>RC489.T7 J6</t>
        </is>
      </c>
      <c r="C899" t="inlineStr">
        <is>
          <t>0                      RC 0489000T  7                  J  6</t>
        </is>
      </c>
      <c r="D899" t="inlineStr">
        <is>
          <t>Winning with people : group exercises in transactional analysis / [by] Dorothy Jongeward [and] Muriel James.</t>
        </is>
      </c>
      <c r="F899" t="inlineStr">
        <is>
          <t>No</t>
        </is>
      </c>
      <c r="G899" t="inlineStr">
        <is>
          <t>1</t>
        </is>
      </c>
      <c r="H899" t="inlineStr">
        <is>
          <t>No</t>
        </is>
      </c>
      <c r="I899" t="inlineStr">
        <is>
          <t>No</t>
        </is>
      </c>
      <c r="J899" t="inlineStr">
        <is>
          <t>0</t>
        </is>
      </c>
      <c r="K899" t="inlineStr">
        <is>
          <t>Jongeward, Dorothy.</t>
        </is>
      </c>
      <c r="L899" t="inlineStr">
        <is>
          <t>Reading, Mass. : Addison-Wesley Pub. Co., [c1973]</t>
        </is>
      </c>
      <c r="M899" t="inlineStr">
        <is>
          <t>1973</t>
        </is>
      </c>
      <c r="O899" t="inlineStr">
        <is>
          <t>eng</t>
        </is>
      </c>
      <c r="P899" t="inlineStr">
        <is>
          <t>mau</t>
        </is>
      </c>
      <c r="R899" t="inlineStr">
        <is>
          <t xml:space="preserve">RC </t>
        </is>
      </c>
      <c r="S899" t="n">
        <v>4</v>
      </c>
      <c r="T899" t="n">
        <v>4</v>
      </c>
      <c r="U899" t="inlineStr">
        <is>
          <t>1993-11-16</t>
        </is>
      </c>
      <c r="V899" t="inlineStr">
        <is>
          <t>1993-11-16</t>
        </is>
      </c>
      <c r="W899" t="inlineStr">
        <is>
          <t>1991-02-04</t>
        </is>
      </c>
      <c r="X899" t="inlineStr">
        <is>
          <t>1991-02-04</t>
        </is>
      </c>
      <c r="Y899" t="n">
        <v>320</v>
      </c>
      <c r="Z899" t="n">
        <v>232</v>
      </c>
      <c r="AA899" t="n">
        <v>234</v>
      </c>
      <c r="AB899" t="n">
        <v>2</v>
      </c>
      <c r="AC899" t="n">
        <v>2</v>
      </c>
      <c r="AD899" t="n">
        <v>5</v>
      </c>
      <c r="AE899" t="n">
        <v>5</v>
      </c>
      <c r="AF899" t="n">
        <v>2</v>
      </c>
      <c r="AG899" t="n">
        <v>2</v>
      </c>
      <c r="AH899" t="n">
        <v>1</v>
      </c>
      <c r="AI899" t="n">
        <v>1</v>
      </c>
      <c r="AJ899" t="n">
        <v>4</v>
      </c>
      <c r="AK899" t="n">
        <v>4</v>
      </c>
      <c r="AL899" t="n">
        <v>0</v>
      </c>
      <c r="AM899" t="n">
        <v>0</v>
      </c>
      <c r="AN899" t="n">
        <v>0</v>
      </c>
      <c r="AO899" t="n">
        <v>0</v>
      </c>
      <c r="AP899" t="inlineStr">
        <is>
          <t>No</t>
        </is>
      </c>
      <c r="AQ899" t="inlineStr">
        <is>
          <t>Yes</t>
        </is>
      </c>
      <c r="AR899">
        <f>HYPERLINK("http://catalog.hathitrust.org/Record/008161478","HathiTrust Record")</f>
        <v/>
      </c>
      <c r="AS899">
        <f>HYPERLINK("https://creighton-primo.hosted.exlibrisgroup.com/primo-explore/search?tab=default_tab&amp;search_scope=EVERYTHING&amp;vid=01CRU&amp;lang=en_US&amp;offset=0&amp;query=any,contains,991003340679702656","Catalog Record")</f>
        <v/>
      </c>
      <c r="AT899">
        <f>HYPERLINK("http://www.worldcat.org/oclc/871656","WorldCat Record")</f>
        <v/>
      </c>
      <c r="AU899" t="inlineStr">
        <is>
          <t>235160531:eng</t>
        </is>
      </c>
      <c r="AV899" t="inlineStr">
        <is>
          <t>871656</t>
        </is>
      </c>
      <c r="AW899" t="inlineStr">
        <is>
          <t>991003340679702656</t>
        </is>
      </c>
      <c r="AX899" t="inlineStr">
        <is>
          <t>991003340679702656</t>
        </is>
      </c>
      <c r="AY899" t="inlineStr">
        <is>
          <t>2261291040002656</t>
        </is>
      </c>
      <c r="AZ899" t="inlineStr">
        <is>
          <t>BOOK</t>
        </is>
      </c>
      <c r="BC899" t="inlineStr">
        <is>
          <t>32285000471192</t>
        </is>
      </c>
      <c r="BD899" t="inlineStr">
        <is>
          <t>893441188</t>
        </is>
      </c>
    </row>
    <row r="900">
      <c r="A900" t="inlineStr">
        <is>
          <t>No</t>
        </is>
      </c>
      <c r="B900" t="inlineStr">
        <is>
          <t>RC489.T7 S73</t>
        </is>
      </c>
      <c r="C900" t="inlineStr">
        <is>
          <t>0                      RC 0489000T  7                  S  73</t>
        </is>
      </c>
      <c r="D900" t="inlineStr">
        <is>
          <t>Scripts people live : transactional analysis of life scripts / Claude M. Steiner.</t>
        </is>
      </c>
      <c r="F900" t="inlineStr">
        <is>
          <t>No</t>
        </is>
      </c>
      <c r="G900" t="inlineStr">
        <is>
          <t>1</t>
        </is>
      </c>
      <c r="H900" t="inlineStr">
        <is>
          <t>No</t>
        </is>
      </c>
      <c r="I900" t="inlineStr">
        <is>
          <t>No</t>
        </is>
      </c>
      <c r="J900" t="inlineStr">
        <is>
          <t>0</t>
        </is>
      </c>
      <c r="K900" t="inlineStr">
        <is>
          <t>Steiner, Claude, 1935-</t>
        </is>
      </c>
      <c r="L900" t="inlineStr">
        <is>
          <t>New York : Grove Press : distributed by Random House, [1974]</t>
        </is>
      </c>
      <c r="M900" t="inlineStr">
        <is>
          <t>1974</t>
        </is>
      </c>
      <c r="O900" t="inlineStr">
        <is>
          <t>eng</t>
        </is>
      </c>
      <c r="P900" t="inlineStr">
        <is>
          <t>nyu</t>
        </is>
      </c>
      <c r="R900" t="inlineStr">
        <is>
          <t xml:space="preserve">RC </t>
        </is>
      </c>
      <c r="S900" t="n">
        <v>2</v>
      </c>
      <c r="T900" t="n">
        <v>2</v>
      </c>
      <c r="U900" t="inlineStr">
        <is>
          <t>1993-11-16</t>
        </is>
      </c>
      <c r="V900" t="inlineStr">
        <is>
          <t>1993-11-16</t>
        </is>
      </c>
      <c r="W900" t="inlineStr">
        <is>
          <t>1992-06-02</t>
        </is>
      </c>
      <c r="X900" t="inlineStr">
        <is>
          <t>1992-06-02</t>
        </is>
      </c>
      <c r="Y900" t="n">
        <v>759</v>
      </c>
      <c r="Z900" t="n">
        <v>673</v>
      </c>
      <c r="AA900" t="n">
        <v>881</v>
      </c>
      <c r="AB900" t="n">
        <v>8</v>
      </c>
      <c r="AC900" t="n">
        <v>10</v>
      </c>
      <c r="AD900" t="n">
        <v>20</v>
      </c>
      <c r="AE900" t="n">
        <v>27</v>
      </c>
      <c r="AF900" t="n">
        <v>6</v>
      </c>
      <c r="AG900" t="n">
        <v>11</v>
      </c>
      <c r="AH900" t="n">
        <v>3</v>
      </c>
      <c r="AI900" t="n">
        <v>4</v>
      </c>
      <c r="AJ900" t="n">
        <v>9</v>
      </c>
      <c r="AK900" t="n">
        <v>12</v>
      </c>
      <c r="AL900" t="n">
        <v>3</v>
      </c>
      <c r="AM900" t="n">
        <v>5</v>
      </c>
      <c r="AN900" t="n">
        <v>1</v>
      </c>
      <c r="AO900" t="n">
        <v>1</v>
      </c>
      <c r="AP900" t="inlineStr">
        <is>
          <t>No</t>
        </is>
      </c>
      <c r="AQ900" t="inlineStr">
        <is>
          <t>Yes</t>
        </is>
      </c>
      <c r="AR900">
        <f>HYPERLINK("http://catalog.hathitrust.org/Record/001564763","HathiTrust Record")</f>
        <v/>
      </c>
      <c r="AS900">
        <f>HYPERLINK("https://creighton-primo.hosted.exlibrisgroup.com/primo-explore/search?tab=default_tab&amp;search_scope=EVERYTHING&amp;vid=01CRU&amp;lang=en_US&amp;offset=0&amp;query=any,contains,991003507159702656","Catalog Record")</f>
        <v/>
      </c>
      <c r="AT900">
        <f>HYPERLINK("http://www.worldcat.org/oclc/1059763","WorldCat Record")</f>
        <v/>
      </c>
      <c r="AU900" t="inlineStr">
        <is>
          <t>3887262586:eng</t>
        </is>
      </c>
      <c r="AV900" t="inlineStr">
        <is>
          <t>1059763</t>
        </is>
      </c>
      <c r="AW900" t="inlineStr">
        <is>
          <t>991003507159702656</t>
        </is>
      </c>
      <c r="AX900" t="inlineStr">
        <is>
          <t>991003507159702656</t>
        </is>
      </c>
      <c r="AY900" t="inlineStr">
        <is>
          <t>2262660370002656</t>
        </is>
      </c>
      <c r="AZ900" t="inlineStr">
        <is>
          <t>BOOK</t>
        </is>
      </c>
      <c r="BB900" t="inlineStr">
        <is>
          <t>9780802100436</t>
        </is>
      </c>
      <c r="BC900" t="inlineStr">
        <is>
          <t>32285001114437</t>
        </is>
      </c>
      <c r="BD900" t="inlineStr">
        <is>
          <t>893627619</t>
        </is>
      </c>
    </row>
    <row r="901">
      <c r="A901" t="inlineStr">
        <is>
          <t>No</t>
        </is>
      </c>
      <c r="B901" t="inlineStr">
        <is>
          <t>RC49 .A419</t>
        </is>
      </c>
      <c r="C901" t="inlineStr">
        <is>
          <t>0                      RC 0049000A  419</t>
        </is>
      </c>
      <c r="D901" t="inlineStr">
        <is>
          <t>Stress power! : How to turn tension into energy / Robert A. Anderson.</t>
        </is>
      </c>
      <c r="F901" t="inlineStr">
        <is>
          <t>No</t>
        </is>
      </c>
      <c r="G901" t="inlineStr">
        <is>
          <t>1</t>
        </is>
      </c>
      <c r="H901" t="inlineStr">
        <is>
          <t>No</t>
        </is>
      </c>
      <c r="I901" t="inlineStr">
        <is>
          <t>No</t>
        </is>
      </c>
      <c r="J901" t="inlineStr">
        <is>
          <t>0</t>
        </is>
      </c>
      <c r="K901" t="inlineStr">
        <is>
          <t>Anderson, Roberta.</t>
        </is>
      </c>
      <c r="L901" t="inlineStr">
        <is>
          <t>New York : Human Sciences Press, c1978.</t>
        </is>
      </c>
      <c r="M901" t="inlineStr">
        <is>
          <t>1978</t>
        </is>
      </c>
      <c r="O901" t="inlineStr">
        <is>
          <t>eng</t>
        </is>
      </c>
      <c r="P901" t="inlineStr">
        <is>
          <t>nyu</t>
        </is>
      </c>
      <c r="R901" t="inlineStr">
        <is>
          <t xml:space="preserve">RC </t>
        </is>
      </c>
      <c r="S901" t="n">
        <v>3</v>
      </c>
      <c r="T901" t="n">
        <v>3</v>
      </c>
      <c r="U901" t="inlineStr">
        <is>
          <t>1996-02-19</t>
        </is>
      </c>
      <c r="V901" t="inlineStr">
        <is>
          <t>1996-02-19</t>
        </is>
      </c>
      <c r="W901" t="inlineStr">
        <is>
          <t>1990-06-29</t>
        </is>
      </c>
      <c r="X901" t="inlineStr">
        <is>
          <t>1990-06-29</t>
        </is>
      </c>
      <c r="Y901" t="n">
        <v>426</v>
      </c>
      <c r="Z901" t="n">
        <v>362</v>
      </c>
      <c r="AA901" t="n">
        <v>404</v>
      </c>
      <c r="AB901" t="n">
        <v>3</v>
      </c>
      <c r="AC901" t="n">
        <v>4</v>
      </c>
      <c r="AD901" t="n">
        <v>11</v>
      </c>
      <c r="AE901" t="n">
        <v>12</v>
      </c>
      <c r="AF901" t="n">
        <v>3</v>
      </c>
      <c r="AG901" t="n">
        <v>3</v>
      </c>
      <c r="AH901" t="n">
        <v>0</v>
      </c>
      <c r="AI901" t="n">
        <v>0</v>
      </c>
      <c r="AJ901" t="n">
        <v>7</v>
      </c>
      <c r="AK901" t="n">
        <v>7</v>
      </c>
      <c r="AL901" t="n">
        <v>2</v>
      </c>
      <c r="AM901" t="n">
        <v>3</v>
      </c>
      <c r="AN901" t="n">
        <v>0</v>
      </c>
      <c r="AO901" t="n">
        <v>0</v>
      </c>
      <c r="AP901" t="inlineStr">
        <is>
          <t>No</t>
        </is>
      </c>
      <c r="AQ901" t="inlineStr">
        <is>
          <t>No</t>
        </is>
      </c>
      <c r="AS901">
        <f>HYPERLINK("https://creighton-primo.hosted.exlibrisgroup.com/primo-explore/search?tab=default_tab&amp;search_scope=EVERYTHING&amp;vid=01CRU&amp;lang=en_US&amp;offset=0&amp;query=any,contains,991004535069702656","Catalog Record")</f>
        <v/>
      </c>
      <c r="AT901">
        <f>HYPERLINK("http://www.worldcat.org/oclc/3869218","WorldCat Record")</f>
        <v/>
      </c>
      <c r="AU901" t="inlineStr">
        <is>
          <t>889345669:eng</t>
        </is>
      </c>
      <c r="AV901" t="inlineStr">
        <is>
          <t>3869218</t>
        </is>
      </c>
      <c r="AW901" t="inlineStr">
        <is>
          <t>991004535069702656</t>
        </is>
      </c>
      <c r="AX901" t="inlineStr">
        <is>
          <t>991004535069702656</t>
        </is>
      </c>
      <c r="AY901" t="inlineStr">
        <is>
          <t>2263017330002656</t>
        </is>
      </c>
      <c r="AZ901" t="inlineStr">
        <is>
          <t>BOOK</t>
        </is>
      </c>
      <c r="BB901" t="inlineStr">
        <is>
          <t>9780877053286</t>
        </is>
      </c>
      <c r="BC901" t="inlineStr">
        <is>
          <t>32285000217520</t>
        </is>
      </c>
      <c r="BD901" t="inlineStr">
        <is>
          <t>893694050</t>
        </is>
      </c>
    </row>
    <row r="902">
      <c r="A902" t="inlineStr">
        <is>
          <t>No</t>
        </is>
      </c>
      <c r="B902" t="inlineStr">
        <is>
          <t>RC49 .B52</t>
        </is>
      </c>
      <c r="C902" t="inlineStr">
        <is>
          <t>0                      RC 0049000B  52</t>
        </is>
      </c>
      <c r="D902" t="inlineStr">
        <is>
          <t>Grid approaches to managing stress / by Robert R. Blake and Jane Srygley Mouton.</t>
        </is>
      </c>
      <c r="F902" t="inlineStr">
        <is>
          <t>No</t>
        </is>
      </c>
      <c r="G902" t="inlineStr">
        <is>
          <t>1</t>
        </is>
      </c>
      <c r="H902" t="inlineStr">
        <is>
          <t>No</t>
        </is>
      </c>
      <c r="I902" t="inlineStr">
        <is>
          <t>No</t>
        </is>
      </c>
      <c r="J902" t="inlineStr">
        <is>
          <t>0</t>
        </is>
      </c>
      <c r="K902" t="inlineStr">
        <is>
          <t>Blake, Robert R. (Robert Rogers), 1918-2004.</t>
        </is>
      </c>
      <c r="L902" t="inlineStr">
        <is>
          <t>Springfield, Ill. : Thomas, c1980.</t>
        </is>
      </c>
      <c r="M902" t="inlineStr">
        <is>
          <t>1980</t>
        </is>
      </c>
      <c r="O902" t="inlineStr">
        <is>
          <t>eng</t>
        </is>
      </c>
      <c r="P902" t="inlineStr">
        <is>
          <t>ilu</t>
        </is>
      </c>
      <c r="R902" t="inlineStr">
        <is>
          <t xml:space="preserve">RC </t>
        </is>
      </c>
      <c r="S902" t="n">
        <v>3</v>
      </c>
      <c r="T902" t="n">
        <v>3</v>
      </c>
      <c r="U902" t="inlineStr">
        <is>
          <t>1996-10-29</t>
        </is>
      </c>
      <c r="V902" t="inlineStr">
        <is>
          <t>1996-10-29</t>
        </is>
      </c>
      <c r="W902" t="inlineStr">
        <is>
          <t>1993-03-17</t>
        </is>
      </c>
      <c r="X902" t="inlineStr">
        <is>
          <t>1993-03-17</t>
        </is>
      </c>
      <c r="Y902" t="n">
        <v>189</v>
      </c>
      <c r="Z902" t="n">
        <v>165</v>
      </c>
      <c r="AA902" t="n">
        <v>170</v>
      </c>
      <c r="AB902" t="n">
        <v>2</v>
      </c>
      <c r="AC902" t="n">
        <v>2</v>
      </c>
      <c r="AD902" t="n">
        <v>6</v>
      </c>
      <c r="AE902" t="n">
        <v>6</v>
      </c>
      <c r="AF902" t="n">
        <v>1</v>
      </c>
      <c r="AG902" t="n">
        <v>1</v>
      </c>
      <c r="AH902" t="n">
        <v>1</v>
      </c>
      <c r="AI902" t="n">
        <v>1</v>
      </c>
      <c r="AJ902" t="n">
        <v>4</v>
      </c>
      <c r="AK902" t="n">
        <v>4</v>
      </c>
      <c r="AL902" t="n">
        <v>1</v>
      </c>
      <c r="AM902" t="n">
        <v>1</v>
      </c>
      <c r="AN902" t="n">
        <v>0</v>
      </c>
      <c r="AO902" t="n">
        <v>0</v>
      </c>
      <c r="AP902" t="inlineStr">
        <is>
          <t>No</t>
        </is>
      </c>
      <c r="AQ902" t="inlineStr">
        <is>
          <t>No</t>
        </is>
      </c>
      <c r="AS902">
        <f>HYPERLINK("https://creighton-primo.hosted.exlibrisgroup.com/primo-explore/search?tab=default_tab&amp;search_scope=EVERYTHING&amp;vid=01CRU&amp;lang=en_US&amp;offset=0&amp;query=any,contains,991004961389702656","Catalog Record")</f>
        <v/>
      </c>
      <c r="AT902">
        <f>HYPERLINK("http://www.worldcat.org/oclc/6305227","WorldCat Record")</f>
        <v/>
      </c>
      <c r="AU902" t="inlineStr">
        <is>
          <t>497712307:eng</t>
        </is>
      </c>
      <c r="AV902" t="inlineStr">
        <is>
          <t>6305227</t>
        </is>
      </c>
      <c r="AW902" t="inlineStr">
        <is>
          <t>991004961389702656</t>
        </is>
      </c>
      <c r="AX902" t="inlineStr">
        <is>
          <t>991004961389702656</t>
        </is>
      </c>
      <c r="AY902" t="inlineStr">
        <is>
          <t>2259135160002656</t>
        </is>
      </c>
      <c r="AZ902" t="inlineStr">
        <is>
          <t>BOOK</t>
        </is>
      </c>
      <c r="BB902" t="inlineStr">
        <is>
          <t>9780398040932</t>
        </is>
      </c>
      <c r="BC902" t="inlineStr">
        <is>
          <t>32285001588796</t>
        </is>
      </c>
      <c r="BD902" t="inlineStr">
        <is>
          <t>893424389</t>
        </is>
      </c>
    </row>
    <row r="903">
      <c r="A903" t="inlineStr">
        <is>
          <t>No</t>
        </is>
      </c>
      <c r="B903" t="inlineStr">
        <is>
          <t>RC49 .C674 1989</t>
        </is>
      </c>
      <c r="C903" t="inlineStr">
        <is>
          <t>0                      RC 0049000C  674         1989</t>
        </is>
      </c>
      <c r="D903" t="inlineStr">
        <is>
          <t>Head first : the biology of hope / Norman Cousins.</t>
        </is>
      </c>
      <c r="F903" t="inlineStr">
        <is>
          <t>No</t>
        </is>
      </c>
      <c r="G903" t="inlineStr">
        <is>
          <t>1</t>
        </is>
      </c>
      <c r="H903" t="inlineStr">
        <is>
          <t>No</t>
        </is>
      </c>
      <c r="I903" t="inlineStr">
        <is>
          <t>No</t>
        </is>
      </c>
      <c r="J903" t="inlineStr">
        <is>
          <t>0</t>
        </is>
      </c>
      <c r="K903" t="inlineStr">
        <is>
          <t>Cousins, Norman.</t>
        </is>
      </c>
      <c r="L903" t="inlineStr">
        <is>
          <t>New York : Dutton, c1989.</t>
        </is>
      </c>
      <c r="M903" t="inlineStr">
        <is>
          <t>1989</t>
        </is>
      </c>
      <c r="N903" t="inlineStr">
        <is>
          <t>1st ed.</t>
        </is>
      </c>
      <c r="O903" t="inlineStr">
        <is>
          <t>eng</t>
        </is>
      </c>
      <c r="P903" t="inlineStr">
        <is>
          <t>nyu</t>
        </is>
      </c>
      <c r="R903" t="inlineStr">
        <is>
          <t xml:space="preserve">RC </t>
        </is>
      </c>
      <c r="S903" t="n">
        <v>8</v>
      </c>
      <c r="T903" t="n">
        <v>8</v>
      </c>
      <c r="U903" t="inlineStr">
        <is>
          <t>1998-02-23</t>
        </is>
      </c>
      <c r="V903" t="inlineStr">
        <is>
          <t>1998-02-23</t>
        </is>
      </c>
      <c r="W903" t="inlineStr">
        <is>
          <t>1990-02-13</t>
        </is>
      </c>
      <c r="X903" t="inlineStr">
        <is>
          <t>1990-02-13</t>
        </is>
      </c>
      <c r="Y903" t="n">
        <v>1806</v>
      </c>
      <c r="Z903" t="n">
        <v>1715</v>
      </c>
      <c r="AA903" t="n">
        <v>1863</v>
      </c>
      <c r="AB903" t="n">
        <v>18</v>
      </c>
      <c r="AC903" t="n">
        <v>19</v>
      </c>
      <c r="AD903" t="n">
        <v>38</v>
      </c>
      <c r="AE903" t="n">
        <v>39</v>
      </c>
      <c r="AF903" t="n">
        <v>14</v>
      </c>
      <c r="AG903" t="n">
        <v>14</v>
      </c>
      <c r="AH903" t="n">
        <v>8</v>
      </c>
      <c r="AI903" t="n">
        <v>8</v>
      </c>
      <c r="AJ903" t="n">
        <v>15</v>
      </c>
      <c r="AK903" t="n">
        <v>15</v>
      </c>
      <c r="AL903" t="n">
        <v>8</v>
      </c>
      <c r="AM903" t="n">
        <v>9</v>
      </c>
      <c r="AN903" t="n">
        <v>1</v>
      </c>
      <c r="AO903" t="n">
        <v>1</v>
      </c>
      <c r="AP903" t="inlineStr">
        <is>
          <t>No</t>
        </is>
      </c>
      <c r="AQ903" t="inlineStr">
        <is>
          <t>No</t>
        </is>
      </c>
      <c r="AS903">
        <f>HYPERLINK("https://creighton-primo.hosted.exlibrisgroup.com/primo-explore/search?tab=default_tab&amp;search_scope=EVERYTHING&amp;vid=01CRU&amp;lang=en_US&amp;offset=0&amp;query=any,contains,991001478349702656","Catalog Record")</f>
        <v/>
      </c>
      <c r="AT903">
        <f>HYPERLINK("http://www.worldcat.org/oclc/19590008","WorldCat Record")</f>
        <v/>
      </c>
      <c r="AU903" t="inlineStr">
        <is>
          <t>22308906:eng</t>
        </is>
      </c>
      <c r="AV903" t="inlineStr">
        <is>
          <t>19590008</t>
        </is>
      </c>
      <c r="AW903" t="inlineStr">
        <is>
          <t>991001478349702656</t>
        </is>
      </c>
      <c r="AX903" t="inlineStr">
        <is>
          <t>991001478349702656</t>
        </is>
      </c>
      <c r="AY903" t="inlineStr">
        <is>
          <t>2267549620002656</t>
        </is>
      </c>
      <c r="AZ903" t="inlineStr">
        <is>
          <t>BOOK</t>
        </is>
      </c>
      <c r="BB903" t="inlineStr">
        <is>
          <t>9780525248057</t>
        </is>
      </c>
      <c r="BC903" t="inlineStr">
        <is>
          <t>32285000037423</t>
        </is>
      </c>
      <c r="BD903" t="inlineStr">
        <is>
          <t>893684348</t>
        </is>
      </c>
    </row>
    <row r="904">
      <c r="A904" t="inlineStr">
        <is>
          <t>No</t>
        </is>
      </c>
      <c r="B904" t="inlineStr">
        <is>
          <t>RC49 .D5 1991</t>
        </is>
      </c>
      <c r="C904" t="inlineStr">
        <is>
          <t>0                      RC 0049000D  5           1991</t>
        </is>
      </c>
      <c r="D904" t="inlineStr">
        <is>
          <t>Where the mind meets the body : type A, the relaxation response, psychoneuroimmunology, biofeedback, neuropeptides, hypnosis, imagery, and the search for the mind's effect on physical health / Harris Dienstfrey.</t>
        </is>
      </c>
      <c r="F904" t="inlineStr">
        <is>
          <t>No</t>
        </is>
      </c>
      <c r="G904" t="inlineStr">
        <is>
          <t>1</t>
        </is>
      </c>
      <c r="H904" t="inlineStr">
        <is>
          <t>No</t>
        </is>
      </c>
      <c r="I904" t="inlineStr">
        <is>
          <t>No</t>
        </is>
      </c>
      <c r="J904" t="inlineStr">
        <is>
          <t>0</t>
        </is>
      </c>
      <c r="K904" t="inlineStr">
        <is>
          <t>Dienstfrey, Harris.</t>
        </is>
      </c>
      <c r="L904" t="inlineStr">
        <is>
          <t>New York, N.Y. : HarperCollins Publishers, c1991.</t>
        </is>
      </c>
      <c r="M904" t="inlineStr">
        <is>
          <t>1991</t>
        </is>
      </c>
      <c r="N904" t="inlineStr">
        <is>
          <t>1st ed.</t>
        </is>
      </c>
      <c r="O904" t="inlineStr">
        <is>
          <t>eng</t>
        </is>
      </c>
      <c r="P904" t="inlineStr">
        <is>
          <t>nyu</t>
        </is>
      </c>
      <c r="R904" t="inlineStr">
        <is>
          <t xml:space="preserve">RC </t>
        </is>
      </c>
      <c r="S904" t="n">
        <v>26</v>
      </c>
      <c r="T904" t="n">
        <v>26</v>
      </c>
      <c r="U904" t="inlineStr">
        <is>
          <t>2008-11-04</t>
        </is>
      </c>
      <c r="V904" t="inlineStr">
        <is>
          <t>2008-11-04</t>
        </is>
      </c>
      <c r="W904" t="inlineStr">
        <is>
          <t>1992-02-01</t>
        </is>
      </c>
      <c r="X904" t="inlineStr">
        <is>
          <t>1992-02-01</t>
        </is>
      </c>
      <c r="Y904" t="n">
        <v>296</v>
      </c>
      <c r="Z904" t="n">
        <v>280</v>
      </c>
      <c r="AA904" t="n">
        <v>318</v>
      </c>
      <c r="AB904" t="n">
        <v>2</v>
      </c>
      <c r="AC904" t="n">
        <v>2</v>
      </c>
      <c r="AD904" t="n">
        <v>6</v>
      </c>
      <c r="AE904" t="n">
        <v>6</v>
      </c>
      <c r="AF904" t="n">
        <v>2</v>
      </c>
      <c r="AG904" t="n">
        <v>2</v>
      </c>
      <c r="AH904" t="n">
        <v>0</v>
      </c>
      <c r="AI904" t="n">
        <v>0</v>
      </c>
      <c r="AJ904" t="n">
        <v>5</v>
      </c>
      <c r="AK904" t="n">
        <v>5</v>
      </c>
      <c r="AL904" t="n">
        <v>0</v>
      </c>
      <c r="AM904" t="n">
        <v>0</v>
      </c>
      <c r="AN904" t="n">
        <v>0</v>
      </c>
      <c r="AO904" t="n">
        <v>0</v>
      </c>
      <c r="AP904" t="inlineStr">
        <is>
          <t>No</t>
        </is>
      </c>
      <c r="AQ904" t="inlineStr">
        <is>
          <t>No</t>
        </is>
      </c>
      <c r="AS904">
        <f>HYPERLINK("https://creighton-primo.hosted.exlibrisgroup.com/primo-explore/search?tab=default_tab&amp;search_scope=EVERYTHING&amp;vid=01CRU&amp;lang=en_US&amp;offset=0&amp;query=any,contains,991001867689702656","Catalog Record")</f>
        <v/>
      </c>
      <c r="AT904">
        <f>HYPERLINK("http://www.worldcat.org/oclc/23470056","WorldCat Record")</f>
        <v/>
      </c>
      <c r="AU904" t="inlineStr">
        <is>
          <t>1024266956:eng</t>
        </is>
      </c>
      <c r="AV904" t="inlineStr">
        <is>
          <t>23470056</t>
        </is>
      </c>
      <c r="AW904" t="inlineStr">
        <is>
          <t>991001867689702656</t>
        </is>
      </c>
      <c r="AX904" t="inlineStr">
        <is>
          <t>991001867689702656</t>
        </is>
      </c>
      <c r="AY904" t="inlineStr">
        <is>
          <t>2272293980002656</t>
        </is>
      </c>
      <c r="AZ904" t="inlineStr">
        <is>
          <t>BOOK</t>
        </is>
      </c>
      <c r="BB904" t="inlineStr">
        <is>
          <t>9780060165703</t>
        </is>
      </c>
      <c r="BC904" t="inlineStr">
        <is>
          <t>32285000867613</t>
        </is>
      </c>
      <c r="BD904" t="inlineStr">
        <is>
          <t>893256579</t>
        </is>
      </c>
    </row>
    <row r="905">
      <c r="A905" t="inlineStr">
        <is>
          <t>No</t>
        </is>
      </c>
      <c r="B905" t="inlineStr">
        <is>
          <t>RC49 .E9 1986</t>
        </is>
      </c>
      <c r="C905" t="inlineStr">
        <is>
          <t>0                      RC 0049000E  9           1986</t>
        </is>
      </c>
      <c r="D905" t="inlineStr">
        <is>
          <t>Psychosomatic medicine : past and future / edited by George N. Christodoulou.</t>
        </is>
      </c>
      <c r="F905" t="inlineStr">
        <is>
          <t>No</t>
        </is>
      </c>
      <c r="G905" t="inlineStr">
        <is>
          <t>1</t>
        </is>
      </c>
      <c r="H905" t="inlineStr">
        <is>
          <t>No</t>
        </is>
      </c>
      <c r="I905" t="inlineStr">
        <is>
          <t>No</t>
        </is>
      </c>
      <c r="J905" t="inlineStr">
        <is>
          <t>0</t>
        </is>
      </c>
      <c r="K905" t="inlineStr">
        <is>
          <t>European Conference on Psychosomatic Research (16th : 1986 : Athens, Greece)</t>
        </is>
      </c>
      <c r="L905" t="inlineStr">
        <is>
          <t>New York : Plenum Press, c1987.</t>
        </is>
      </c>
      <c r="M905" t="inlineStr">
        <is>
          <t>1987</t>
        </is>
      </c>
      <c r="O905" t="inlineStr">
        <is>
          <t>eng</t>
        </is>
      </c>
      <c r="P905" t="inlineStr">
        <is>
          <t>nyu</t>
        </is>
      </c>
      <c r="R905" t="inlineStr">
        <is>
          <t xml:space="preserve">RC </t>
        </is>
      </c>
      <c r="S905" t="n">
        <v>2</v>
      </c>
      <c r="T905" t="n">
        <v>2</v>
      </c>
      <c r="U905" t="inlineStr">
        <is>
          <t>1998-02-17</t>
        </is>
      </c>
      <c r="V905" t="inlineStr">
        <is>
          <t>1998-02-17</t>
        </is>
      </c>
      <c r="W905" t="inlineStr">
        <is>
          <t>1990-02-21</t>
        </is>
      </c>
      <c r="X905" t="inlineStr">
        <is>
          <t>1990-02-21</t>
        </is>
      </c>
      <c r="Y905" t="n">
        <v>112</v>
      </c>
      <c r="Z905" t="n">
        <v>76</v>
      </c>
      <c r="AA905" t="n">
        <v>102</v>
      </c>
      <c r="AB905" t="n">
        <v>1</v>
      </c>
      <c r="AC905" t="n">
        <v>1</v>
      </c>
      <c r="AD905" t="n">
        <v>4</v>
      </c>
      <c r="AE905" t="n">
        <v>5</v>
      </c>
      <c r="AF905" t="n">
        <v>2</v>
      </c>
      <c r="AG905" t="n">
        <v>3</v>
      </c>
      <c r="AH905" t="n">
        <v>1</v>
      </c>
      <c r="AI905" t="n">
        <v>2</v>
      </c>
      <c r="AJ905" t="n">
        <v>3</v>
      </c>
      <c r="AK905" t="n">
        <v>3</v>
      </c>
      <c r="AL905" t="n">
        <v>0</v>
      </c>
      <c r="AM905" t="n">
        <v>0</v>
      </c>
      <c r="AN905" t="n">
        <v>0</v>
      </c>
      <c r="AO905" t="n">
        <v>0</v>
      </c>
      <c r="AP905" t="inlineStr">
        <is>
          <t>No</t>
        </is>
      </c>
      <c r="AQ905" t="inlineStr">
        <is>
          <t>Yes</t>
        </is>
      </c>
      <c r="AR905">
        <f>HYPERLINK("http://catalog.hathitrust.org/Record/000874395","HathiTrust Record")</f>
        <v/>
      </c>
      <c r="AS905">
        <f>HYPERLINK("https://creighton-primo.hosted.exlibrisgroup.com/primo-explore/search?tab=default_tab&amp;search_scope=EVERYTHING&amp;vid=01CRU&amp;lang=en_US&amp;offset=0&amp;query=any,contains,991001164989702656","Catalog Record")</f>
        <v/>
      </c>
      <c r="AT905">
        <f>HYPERLINK("http://www.worldcat.org/oclc/16922666","WorldCat Record")</f>
        <v/>
      </c>
      <c r="AU905" t="inlineStr">
        <is>
          <t>144592004:eng</t>
        </is>
      </c>
      <c r="AV905" t="inlineStr">
        <is>
          <t>16922666</t>
        </is>
      </c>
      <c r="AW905" t="inlineStr">
        <is>
          <t>991001164989702656</t>
        </is>
      </c>
      <c r="AX905" t="inlineStr">
        <is>
          <t>991001164989702656</t>
        </is>
      </c>
      <c r="AY905" t="inlineStr">
        <is>
          <t>2271871200002656</t>
        </is>
      </c>
      <c r="AZ905" t="inlineStr">
        <is>
          <t>BOOK</t>
        </is>
      </c>
      <c r="BB905" t="inlineStr">
        <is>
          <t>9780306427800</t>
        </is>
      </c>
      <c r="BC905" t="inlineStr">
        <is>
          <t>32285000056605</t>
        </is>
      </c>
      <c r="BD905" t="inlineStr">
        <is>
          <t>893866016</t>
        </is>
      </c>
    </row>
    <row r="906">
      <c r="A906" t="inlineStr">
        <is>
          <t>No</t>
        </is>
      </c>
      <c r="B906" t="inlineStr">
        <is>
          <t>RC49 .H329 1996</t>
        </is>
      </c>
      <c r="C906" t="inlineStr">
        <is>
          <t>0                      RC 0049000H  329         1996</t>
        </is>
      </c>
      <c r="D906" t="inlineStr">
        <is>
          <t>Handbook of stress, medicine, and health / edited by Cary L. Cooper.</t>
        </is>
      </c>
      <c r="F906" t="inlineStr">
        <is>
          <t>No</t>
        </is>
      </c>
      <c r="G906" t="inlineStr">
        <is>
          <t>1</t>
        </is>
      </c>
      <c r="H906" t="inlineStr">
        <is>
          <t>No</t>
        </is>
      </c>
      <c r="I906" t="inlineStr">
        <is>
          <t>No</t>
        </is>
      </c>
      <c r="J906" t="inlineStr">
        <is>
          <t>0</t>
        </is>
      </c>
      <c r="L906" t="inlineStr">
        <is>
          <t>Boca Raton : CRC Press, c1996.</t>
        </is>
      </c>
      <c r="M906" t="inlineStr">
        <is>
          <t>1996</t>
        </is>
      </c>
      <c r="O906" t="inlineStr">
        <is>
          <t>eng</t>
        </is>
      </c>
      <c r="P906" t="inlineStr">
        <is>
          <t>flu</t>
        </is>
      </c>
      <c r="R906" t="inlineStr">
        <is>
          <t xml:space="preserve">RC </t>
        </is>
      </c>
      <c r="S906" t="n">
        <v>28</v>
      </c>
      <c r="T906" t="n">
        <v>28</v>
      </c>
      <c r="U906" t="inlineStr">
        <is>
          <t>2005-06-12</t>
        </is>
      </c>
      <c r="V906" t="inlineStr">
        <is>
          <t>2005-06-12</t>
        </is>
      </c>
      <c r="W906" t="inlineStr">
        <is>
          <t>1996-09-09</t>
        </is>
      </c>
      <c r="X906" t="inlineStr">
        <is>
          <t>1996-09-09</t>
        </is>
      </c>
      <c r="Y906" t="n">
        <v>302</v>
      </c>
      <c r="Z906" t="n">
        <v>205</v>
      </c>
      <c r="AA906" t="n">
        <v>378</v>
      </c>
      <c r="AB906" t="n">
        <v>3</v>
      </c>
      <c r="AC906" t="n">
        <v>4</v>
      </c>
      <c r="AD906" t="n">
        <v>15</v>
      </c>
      <c r="AE906" t="n">
        <v>17</v>
      </c>
      <c r="AF906" t="n">
        <v>5</v>
      </c>
      <c r="AG906" t="n">
        <v>6</v>
      </c>
      <c r="AH906" t="n">
        <v>4</v>
      </c>
      <c r="AI906" t="n">
        <v>4</v>
      </c>
      <c r="AJ906" t="n">
        <v>9</v>
      </c>
      <c r="AK906" t="n">
        <v>10</v>
      </c>
      <c r="AL906" t="n">
        <v>2</v>
      </c>
      <c r="AM906" t="n">
        <v>3</v>
      </c>
      <c r="AN906" t="n">
        <v>0</v>
      </c>
      <c r="AO906" t="n">
        <v>0</v>
      </c>
      <c r="AP906" t="inlineStr">
        <is>
          <t>No</t>
        </is>
      </c>
      <c r="AQ906" t="inlineStr">
        <is>
          <t>No</t>
        </is>
      </c>
      <c r="AS906">
        <f>HYPERLINK("https://creighton-primo.hosted.exlibrisgroup.com/primo-explore/search?tab=default_tab&amp;search_scope=EVERYTHING&amp;vid=01CRU&amp;lang=en_US&amp;offset=0&amp;query=any,contains,991002471009702656","Catalog Record")</f>
        <v/>
      </c>
      <c r="AT906">
        <f>HYPERLINK("http://www.worldcat.org/oclc/32169212","WorldCat Record")</f>
        <v/>
      </c>
      <c r="AU906" t="inlineStr">
        <is>
          <t>1007178315:eng</t>
        </is>
      </c>
      <c r="AV906" t="inlineStr">
        <is>
          <t>32169212</t>
        </is>
      </c>
      <c r="AW906" t="inlineStr">
        <is>
          <t>991002471009702656</t>
        </is>
      </c>
      <c r="AX906" t="inlineStr">
        <is>
          <t>991002471009702656</t>
        </is>
      </c>
      <c r="AY906" t="inlineStr">
        <is>
          <t>2264089690002656</t>
        </is>
      </c>
      <c r="AZ906" t="inlineStr">
        <is>
          <t>BOOK</t>
        </is>
      </c>
      <c r="BB906" t="inlineStr">
        <is>
          <t>9780849329081</t>
        </is>
      </c>
      <c r="BC906" t="inlineStr">
        <is>
          <t>32285002316270</t>
        </is>
      </c>
      <c r="BD906" t="inlineStr">
        <is>
          <t>893804645</t>
        </is>
      </c>
    </row>
    <row r="907">
      <c r="A907" t="inlineStr">
        <is>
          <t>No</t>
        </is>
      </c>
      <c r="B907" t="inlineStr">
        <is>
          <t>RC49 .H44</t>
        </is>
      </c>
      <c r="C907" t="inlineStr">
        <is>
          <t>0                      RC 0049000H  44</t>
        </is>
      </c>
      <c r="D907" t="inlineStr">
        <is>
          <t>Stress, health, and the social environment : a sociobiologic approach to medicine / J. P. Henry and P. M. Stephens.</t>
        </is>
      </c>
      <c r="F907" t="inlineStr">
        <is>
          <t>No</t>
        </is>
      </c>
      <c r="G907" t="inlineStr">
        <is>
          <t>1</t>
        </is>
      </c>
      <c r="H907" t="inlineStr">
        <is>
          <t>Yes</t>
        </is>
      </c>
      <c r="I907" t="inlineStr">
        <is>
          <t>No</t>
        </is>
      </c>
      <c r="J907" t="inlineStr">
        <is>
          <t>0</t>
        </is>
      </c>
      <c r="K907" t="inlineStr">
        <is>
          <t>Henry, J. P. (James Paget), 1914-1996.</t>
        </is>
      </c>
      <c r="L907" t="inlineStr">
        <is>
          <t>New York : Springer-Verlag, c1977.</t>
        </is>
      </c>
      <c r="M907" t="inlineStr">
        <is>
          <t>1977</t>
        </is>
      </c>
      <c r="O907" t="inlineStr">
        <is>
          <t>eng</t>
        </is>
      </c>
      <c r="P907" t="inlineStr">
        <is>
          <t>nyu</t>
        </is>
      </c>
      <c r="Q907" t="inlineStr">
        <is>
          <t>Topics in environmental physiology and medicine</t>
        </is>
      </c>
      <c r="R907" t="inlineStr">
        <is>
          <t xml:space="preserve">RC </t>
        </is>
      </c>
      <c r="S907" t="n">
        <v>1</v>
      </c>
      <c r="T907" t="n">
        <v>4</v>
      </c>
      <c r="V907" t="inlineStr">
        <is>
          <t>1990-02-25</t>
        </is>
      </c>
      <c r="W907" t="inlineStr">
        <is>
          <t>1992-03-23</t>
        </is>
      </c>
      <c r="X907" t="inlineStr">
        <is>
          <t>1992-03-23</t>
        </is>
      </c>
      <c r="Y907" t="n">
        <v>353</v>
      </c>
      <c r="Z907" t="n">
        <v>249</v>
      </c>
      <c r="AA907" t="n">
        <v>270</v>
      </c>
      <c r="AB907" t="n">
        <v>3</v>
      </c>
      <c r="AC907" t="n">
        <v>3</v>
      </c>
      <c r="AD907" t="n">
        <v>10</v>
      </c>
      <c r="AE907" t="n">
        <v>11</v>
      </c>
      <c r="AF907" t="n">
        <v>4</v>
      </c>
      <c r="AG907" t="n">
        <v>5</v>
      </c>
      <c r="AH907" t="n">
        <v>2</v>
      </c>
      <c r="AI907" t="n">
        <v>2</v>
      </c>
      <c r="AJ907" t="n">
        <v>7</v>
      </c>
      <c r="AK907" t="n">
        <v>8</v>
      </c>
      <c r="AL907" t="n">
        <v>1</v>
      </c>
      <c r="AM907" t="n">
        <v>1</v>
      </c>
      <c r="AN907" t="n">
        <v>0</v>
      </c>
      <c r="AO907" t="n">
        <v>0</v>
      </c>
      <c r="AP907" t="inlineStr">
        <is>
          <t>No</t>
        </is>
      </c>
      <c r="AQ907" t="inlineStr">
        <is>
          <t>No</t>
        </is>
      </c>
      <c r="AS907">
        <f>HYPERLINK("https://creighton-primo.hosted.exlibrisgroup.com/primo-explore/search?tab=default_tab&amp;search_scope=EVERYTHING&amp;vid=01CRU&amp;lang=en_US&amp;offset=0&amp;query=any,contains,991001785379702656","Catalog Record")</f>
        <v/>
      </c>
      <c r="AT907">
        <f>HYPERLINK("http://www.worldcat.org/oclc/3204676","WorldCat Record")</f>
        <v/>
      </c>
      <c r="AU907" t="inlineStr">
        <is>
          <t>863915030:eng</t>
        </is>
      </c>
      <c r="AV907" t="inlineStr">
        <is>
          <t>3204676</t>
        </is>
      </c>
      <c r="AW907" t="inlineStr">
        <is>
          <t>991001785379702656</t>
        </is>
      </c>
      <c r="AX907" t="inlineStr">
        <is>
          <t>991001785379702656</t>
        </is>
      </c>
      <c r="AY907" t="inlineStr">
        <is>
          <t>2269500980002656</t>
        </is>
      </c>
      <c r="AZ907" t="inlineStr">
        <is>
          <t>BOOK</t>
        </is>
      </c>
      <c r="BB907" t="inlineStr">
        <is>
          <t>9780387902937</t>
        </is>
      </c>
      <c r="BC907" t="inlineStr">
        <is>
          <t>32285001026714</t>
        </is>
      </c>
      <c r="BD907" t="inlineStr">
        <is>
          <t>893244414</t>
        </is>
      </c>
    </row>
    <row r="908">
      <c r="A908" t="inlineStr">
        <is>
          <t>No</t>
        </is>
      </c>
      <c r="B908" t="inlineStr">
        <is>
          <t>RC49 .L475 1989</t>
        </is>
      </c>
      <c r="C908" t="inlineStr">
        <is>
          <t>0                      RC 0049000L  475         1989</t>
        </is>
      </c>
      <c r="D908" t="inlineStr">
        <is>
          <t>Life change, life events, and illness : selected papers / edited by Thomas H. Holmes and Ella M. David.</t>
        </is>
      </c>
      <c r="F908" t="inlineStr">
        <is>
          <t>No</t>
        </is>
      </c>
      <c r="G908" t="inlineStr">
        <is>
          <t>1</t>
        </is>
      </c>
      <c r="H908" t="inlineStr">
        <is>
          <t>No</t>
        </is>
      </c>
      <c r="I908" t="inlineStr">
        <is>
          <t>No</t>
        </is>
      </c>
      <c r="J908" t="inlineStr">
        <is>
          <t>0</t>
        </is>
      </c>
      <c r="L908" t="inlineStr">
        <is>
          <t>New York : Praeger, 1989.</t>
        </is>
      </c>
      <c r="M908" t="inlineStr">
        <is>
          <t>1989</t>
        </is>
      </c>
      <c r="O908" t="inlineStr">
        <is>
          <t>eng</t>
        </is>
      </c>
      <c r="P908" t="inlineStr">
        <is>
          <t>nyu</t>
        </is>
      </c>
      <c r="R908" t="inlineStr">
        <is>
          <t xml:space="preserve">RC </t>
        </is>
      </c>
      <c r="S908" t="n">
        <v>4</v>
      </c>
      <c r="T908" t="n">
        <v>4</v>
      </c>
      <c r="U908" t="inlineStr">
        <is>
          <t>1993-02-23</t>
        </is>
      </c>
      <c r="V908" t="inlineStr">
        <is>
          <t>1993-02-23</t>
        </is>
      </c>
      <c r="W908" t="inlineStr">
        <is>
          <t>1991-01-03</t>
        </is>
      </c>
      <c r="X908" t="inlineStr">
        <is>
          <t>1991-01-03</t>
        </is>
      </c>
      <c r="Y908" t="n">
        <v>258</v>
      </c>
      <c r="Z908" t="n">
        <v>209</v>
      </c>
      <c r="AA908" t="n">
        <v>216</v>
      </c>
      <c r="AB908" t="n">
        <v>3</v>
      </c>
      <c r="AC908" t="n">
        <v>3</v>
      </c>
      <c r="AD908" t="n">
        <v>12</v>
      </c>
      <c r="AE908" t="n">
        <v>12</v>
      </c>
      <c r="AF908" t="n">
        <v>3</v>
      </c>
      <c r="AG908" t="n">
        <v>3</v>
      </c>
      <c r="AH908" t="n">
        <v>2</v>
      </c>
      <c r="AI908" t="n">
        <v>2</v>
      </c>
      <c r="AJ908" t="n">
        <v>8</v>
      </c>
      <c r="AK908" t="n">
        <v>8</v>
      </c>
      <c r="AL908" t="n">
        <v>2</v>
      </c>
      <c r="AM908" t="n">
        <v>2</v>
      </c>
      <c r="AN908" t="n">
        <v>0</v>
      </c>
      <c r="AO908" t="n">
        <v>0</v>
      </c>
      <c r="AP908" t="inlineStr">
        <is>
          <t>No</t>
        </is>
      </c>
      <c r="AQ908" t="inlineStr">
        <is>
          <t>Yes</t>
        </is>
      </c>
      <c r="AR908">
        <f>HYPERLINK("http://catalog.hathitrust.org/Record/004506128","HathiTrust Record")</f>
        <v/>
      </c>
      <c r="AS908">
        <f>HYPERLINK("https://creighton-primo.hosted.exlibrisgroup.com/primo-explore/search?tab=default_tab&amp;search_scope=EVERYTHING&amp;vid=01CRU&amp;lang=en_US&amp;offset=0&amp;query=any,contains,991001362049702656","Catalog Record")</f>
        <v/>
      </c>
      <c r="AT908">
        <f>HYPERLINK("http://www.worldcat.org/oclc/18522315","WorldCat Record")</f>
        <v/>
      </c>
      <c r="AU908" t="inlineStr">
        <is>
          <t>836750090:eng</t>
        </is>
      </c>
      <c r="AV908" t="inlineStr">
        <is>
          <t>18522315</t>
        </is>
      </c>
      <c r="AW908" t="inlineStr">
        <is>
          <t>991001362049702656</t>
        </is>
      </c>
      <c r="AX908" t="inlineStr">
        <is>
          <t>991001362049702656</t>
        </is>
      </c>
      <c r="AY908" t="inlineStr">
        <is>
          <t>2267718170002656</t>
        </is>
      </c>
      <c r="AZ908" t="inlineStr">
        <is>
          <t>BOOK</t>
        </is>
      </c>
      <c r="BB908" t="inlineStr">
        <is>
          <t>9780275924805</t>
        </is>
      </c>
      <c r="BC908" t="inlineStr">
        <is>
          <t>32285000406982</t>
        </is>
      </c>
      <c r="BD908" t="inlineStr">
        <is>
          <t>893878826</t>
        </is>
      </c>
    </row>
    <row r="909">
      <c r="A909" t="inlineStr">
        <is>
          <t>No</t>
        </is>
      </c>
      <c r="B909" t="inlineStr">
        <is>
          <t>RC49 .P416 1982</t>
        </is>
      </c>
      <c r="C909" t="inlineStr">
        <is>
          <t>0                      RC 0049000P  416         1982</t>
        </is>
      </c>
      <c r="D909" t="inlineStr">
        <is>
          <t>The psychology of physical symptoms / James W. Pennebaker.</t>
        </is>
      </c>
      <c r="F909" t="inlineStr">
        <is>
          <t>No</t>
        </is>
      </c>
      <c r="G909" t="inlineStr">
        <is>
          <t>1</t>
        </is>
      </c>
      <c r="H909" t="inlineStr">
        <is>
          <t>No</t>
        </is>
      </c>
      <c r="I909" t="inlineStr">
        <is>
          <t>No</t>
        </is>
      </c>
      <c r="J909" t="inlineStr">
        <is>
          <t>0</t>
        </is>
      </c>
      <c r="K909" t="inlineStr">
        <is>
          <t>Pennebaker, James W.</t>
        </is>
      </c>
      <c r="L909" t="inlineStr">
        <is>
          <t>New York : Springer-Verlag, c1982.</t>
        </is>
      </c>
      <c r="M909" t="inlineStr">
        <is>
          <t>1982</t>
        </is>
      </c>
      <c r="O909" t="inlineStr">
        <is>
          <t>eng</t>
        </is>
      </c>
      <c r="P909" t="inlineStr">
        <is>
          <t>nyu</t>
        </is>
      </c>
      <c r="R909" t="inlineStr">
        <is>
          <t xml:space="preserve">RC </t>
        </is>
      </c>
      <c r="S909" t="n">
        <v>8</v>
      </c>
      <c r="T909" t="n">
        <v>8</v>
      </c>
      <c r="U909" t="inlineStr">
        <is>
          <t>2010-05-12</t>
        </is>
      </c>
      <c r="V909" t="inlineStr">
        <is>
          <t>2010-05-12</t>
        </is>
      </c>
      <c r="W909" t="inlineStr">
        <is>
          <t>1990-03-01</t>
        </is>
      </c>
      <c r="X909" t="inlineStr">
        <is>
          <t>1990-03-01</t>
        </is>
      </c>
      <c r="Y909" t="n">
        <v>350</v>
      </c>
      <c r="Z909" t="n">
        <v>252</v>
      </c>
      <c r="AA909" t="n">
        <v>276</v>
      </c>
      <c r="AB909" t="n">
        <v>1</v>
      </c>
      <c r="AC909" t="n">
        <v>1</v>
      </c>
      <c r="AD909" t="n">
        <v>7</v>
      </c>
      <c r="AE909" t="n">
        <v>9</v>
      </c>
      <c r="AF909" t="n">
        <v>1</v>
      </c>
      <c r="AG909" t="n">
        <v>3</v>
      </c>
      <c r="AH909" t="n">
        <v>2</v>
      </c>
      <c r="AI909" t="n">
        <v>2</v>
      </c>
      <c r="AJ909" t="n">
        <v>5</v>
      </c>
      <c r="AK909" t="n">
        <v>6</v>
      </c>
      <c r="AL909" t="n">
        <v>0</v>
      </c>
      <c r="AM909" t="n">
        <v>0</v>
      </c>
      <c r="AN909" t="n">
        <v>0</v>
      </c>
      <c r="AO909" t="n">
        <v>0</v>
      </c>
      <c r="AP909" t="inlineStr">
        <is>
          <t>No</t>
        </is>
      </c>
      <c r="AQ909" t="inlineStr">
        <is>
          <t>Yes</t>
        </is>
      </c>
      <c r="AR909">
        <f>HYPERLINK("http://catalog.hathitrust.org/Record/000277126","HathiTrust Record")</f>
        <v/>
      </c>
      <c r="AS909">
        <f>HYPERLINK("https://creighton-primo.hosted.exlibrisgroup.com/primo-explore/search?tab=default_tab&amp;search_scope=EVERYTHING&amp;vid=01CRU&amp;lang=en_US&amp;offset=0&amp;query=any,contains,991000034269702656","Catalog Record")</f>
        <v/>
      </c>
      <c r="AT909">
        <f>HYPERLINK("http://www.worldcat.org/oclc/8627040","WorldCat Record")</f>
        <v/>
      </c>
      <c r="AU909" t="inlineStr">
        <is>
          <t>19756675:eng</t>
        </is>
      </c>
      <c r="AV909" t="inlineStr">
        <is>
          <t>8627040</t>
        </is>
      </c>
      <c r="AW909" t="inlineStr">
        <is>
          <t>991000034269702656</t>
        </is>
      </c>
      <c r="AX909" t="inlineStr">
        <is>
          <t>991000034269702656</t>
        </is>
      </c>
      <c r="AY909" t="inlineStr">
        <is>
          <t>2261633240002656</t>
        </is>
      </c>
      <c r="AZ909" t="inlineStr">
        <is>
          <t>BOOK</t>
        </is>
      </c>
      <c r="BB909" t="inlineStr">
        <is>
          <t>9780387907307</t>
        </is>
      </c>
      <c r="BC909" t="inlineStr">
        <is>
          <t>32285000075373</t>
        </is>
      </c>
      <c r="BD909" t="inlineStr">
        <is>
          <t>893871339</t>
        </is>
      </c>
    </row>
    <row r="910">
      <c r="A910" t="inlineStr">
        <is>
          <t>No</t>
        </is>
      </c>
      <c r="B910" t="inlineStr">
        <is>
          <t>RC49 .P75 1993</t>
        </is>
      </c>
      <c r="C910" t="inlineStr">
        <is>
          <t>0                      RC 0049000P  75          1993</t>
        </is>
      </c>
      <c r="D910" t="inlineStr">
        <is>
          <t>Psychophysiological disorders : research and clinical applications / edited by Robert J. Gatchel and Edward B. Blanchard.</t>
        </is>
      </c>
      <c r="F910" t="inlineStr">
        <is>
          <t>No</t>
        </is>
      </c>
      <c r="G910" t="inlineStr">
        <is>
          <t>1</t>
        </is>
      </c>
      <c r="H910" t="inlineStr">
        <is>
          <t>No</t>
        </is>
      </c>
      <c r="I910" t="inlineStr">
        <is>
          <t>No</t>
        </is>
      </c>
      <c r="J910" t="inlineStr">
        <is>
          <t>0</t>
        </is>
      </c>
      <c r="L910" t="inlineStr">
        <is>
          <t>Washington, D.C. : American Psychological Association, c1993.</t>
        </is>
      </c>
      <c r="M910" t="inlineStr">
        <is>
          <t>1993</t>
        </is>
      </c>
      <c r="N910" t="inlineStr">
        <is>
          <t>1st ed.</t>
        </is>
      </c>
      <c r="O910" t="inlineStr">
        <is>
          <t>eng</t>
        </is>
      </c>
      <c r="P910" t="inlineStr">
        <is>
          <t>dcu</t>
        </is>
      </c>
      <c r="R910" t="inlineStr">
        <is>
          <t xml:space="preserve">RC </t>
        </is>
      </c>
      <c r="S910" t="n">
        <v>13</v>
      </c>
      <c r="T910" t="n">
        <v>13</v>
      </c>
      <c r="U910" t="inlineStr">
        <is>
          <t>2005-04-29</t>
        </is>
      </c>
      <c r="V910" t="inlineStr">
        <is>
          <t>2005-04-29</t>
        </is>
      </c>
      <c r="W910" t="inlineStr">
        <is>
          <t>1996-06-17</t>
        </is>
      </c>
      <c r="X910" t="inlineStr">
        <is>
          <t>1996-06-17</t>
        </is>
      </c>
      <c r="Y910" t="n">
        <v>371</v>
      </c>
      <c r="Z910" t="n">
        <v>321</v>
      </c>
      <c r="AA910" t="n">
        <v>389</v>
      </c>
      <c r="AB910" t="n">
        <v>4</v>
      </c>
      <c r="AC910" t="n">
        <v>5</v>
      </c>
      <c r="AD910" t="n">
        <v>18</v>
      </c>
      <c r="AE910" t="n">
        <v>21</v>
      </c>
      <c r="AF910" t="n">
        <v>5</v>
      </c>
      <c r="AG910" t="n">
        <v>6</v>
      </c>
      <c r="AH910" t="n">
        <v>4</v>
      </c>
      <c r="AI910" t="n">
        <v>4</v>
      </c>
      <c r="AJ910" t="n">
        <v>11</v>
      </c>
      <c r="AK910" t="n">
        <v>12</v>
      </c>
      <c r="AL910" t="n">
        <v>3</v>
      </c>
      <c r="AM910" t="n">
        <v>4</v>
      </c>
      <c r="AN910" t="n">
        <v>0</v>
      </c>
      <c r="AO910" t="n">
        <v>0</v>
      </c>
      <c r="AP910" t="inlineStr">
        <is>
          <t>No</t>
        </is>
      </c>
      <c r="AQ910" t="inlineStr">
        <is>
          <t>No</t>
        </is>
      </c>
      <c r="AS910">
        <f>HYPERLINK("https://creighton-primo.hosted.exlibrisgroup.com/primo-explore/search?tab=default_tab&amp;search_scope=EVERYTHING&amp;vid=01CRU&amp;lang=en_US&amp;offset=0&amp;query=any,contains,991002236319702656","Catalog Record")</f>
        <v/>
      </c>
      <c r="AT910">
        <f>HYPERLINK("http://www.worldcat.org/oclc/28847192","WorldCat Record")</f>
        <v/>
      </c>
      <c r="AU910" t="inlineStr">
        <is>
          <t>1078121342:eng</t>
        </is>
      </c>
      <c r="AV910" t="inlineStr">
        <is>
          <t>28847192</t>
        </is>
      </c>
      <c r="AW910" t="inlineStr">
        <is>
          <t>991002236319702656</t>
        </is>
      </c>
      <c r="AX910" t="inlineStr">
        <is>
          <t>991002236319702656</t>
        </is>
      </c>
      <c r="AY910" t="inlineStr">
        <is>
          <t>2262905770002656</t>
        </is>
      </c>
      <c r="AZ910" t="inlineStr">
        <is>
          <t>BOOK</t>
        </is>
      </c>
      <c r="BB910" t="inlineStr">
        <is>
          <t>9781557982179</t>
        </is>
      </c>
      <c r="BC910" t="inlineStr">
        <is>
          <t>32285002193455</t>
        </is>
      </c>
      <c r="BD910" t="inlineStr">
        <is>
          <t>893244926</t>
        </is>
      </c>
    </row>
    <row r="911">
      <c r="A911" t="inlineStr">
        <is>
          <t>No</t>
        </is>
      </c>
      <c r="B911" t="inlineStr">
        <is>
          <t>RC49 .P78</t>
        </is>
      </c>
      <c r="C911" t="inlineStr">
        <is>
          <t>0                      RC 0049000P  78</t>
        </is>
      </c>
      <c r="D911" t="inlineStr">
        <is>
          <t>Psychosomatic classics : selected papers from "Psychosomatic medicine", 1939-1958 / ed. by a committee from the editorial board of Psychosomatic medicine consisting of L. A. Gottschalk ... [and others]</t>
        </is>
      </c>
      <c r="F911" t="inlineStr">
        <is>
          <t>No</t>
        </is>
      </c>
      <c r="G911" t="inlineStr">
        <is>
          <t>1</t>
        </is>
      </c>
      <c r="H911" t="inlineStr">
        <is>
          <t>No</t>
        </is>
      </c>
      <c r="I911" t="inlineStr">
        <is>
          <t>No</t>
        </is>
      </c>
      <c r="J911" t="inlineStr">
        <is>
          <t>0</t>
        </is>
      </c>
      <c r="L911" t="inlineStr">
        <is>
          <t>Basel ; New York : S. Karger, 1972.</t>
        </is>
      </c>
      <c r="M911" t="inlineStr">
        <is>
          <t>1972</t>
        </is>
      </c>
      <c r="O911" t="inlineStr">
        <is>
          <t>eng</t>
        </is>
      </c>
      <c r="P911" t="inlineStr">
        <is>
          <t xml:space="preserve">sz </t>
        </is>
      </c>
      <c r="R911" t="inlineStr">
        <is>
          <t xml:space="preserve">RC </t>
        </is>
      </c>
      <c r="S911" t="n">
        <v>2</v>
      </c>
      <c r="T911" t="n">
        <v>2</v>
      </c>
      <c r="U911" t="inlineStr">
        <is>
          <t>2002-01-25</t>
        </is>
      </c>
      <c r="V911" t="inlineStr">
        <is>
          <t>2002-01-25</t>
        </is>
      </c>
      <c r="W911" t="inlineStr">
        <is>
          <t>2000-02-02</t>
        </is>
      </c>
      <c r="X911" t="inlineStr">
        <is>
          <t>2000-02-02</t>
        </is>
      </c>
      <c r="Y911" t="n">
        <v>132</v>
      </c>
      <c r="Z911" t="n">
        <v>102</v>
      </c>
      <c r="AA911" t="n">
        <v>104</v>
      </c>
      <c r="AB911" t="n">
        <v>1</v>
      </c>
      <c r="AC911" t="n">
        <v>1</v>
      </c>
      <c r="AD911" t="n">
        <v>4</v>
      </c>
      <c r="AE911" t="n">
        <v>4</v>
      </c>
      <c r="AF911" t="n">
        <v>0</v>
      </c>
      <c r="AG911" t="n">
        <v>0</v>
      </c>
      <c r="AH911" t="n">
        <v>2</v>
      </c>
      <c r="AI911" t="n">
        <v>2</v>
      </c>
      <c r="AJ911" t="n">
        <v>2</v>
      </c>
      <c r="AK911" t="n">
        <v>2</v>
      </c>
      <c r="AL911" t="n">
        <v>0</v>
      </c>
      <c r="AM911" t="n">
        <v>0</v>
      </c>
      <c r="AN911" t="n">
        <v>0</v>
      </c>
      <c r="AO911" t="n">
        <v>0</v>
      </c>
      <c r="AP911" t="inlineStr">
        <is>
          <t>No</t>
        </is>
      </c>
      <c r="AQ911" t="inlineStr">
        <is>
          <t>Yes</t>
        </is>
      </c>
      <c r="AR911">
        <f>HYPERLINK("http://catalog.hathitrust.org/Record/003619185","HathiTrust Record")</f>
        <v/>
      </c>
      <c r="AS911">
        <f>HYPERLINK("https://creighton-primo.hosted.exlibrisgroup.com/primo-explore/search?tab=default_tab&amp;search_scope=EVERYTHING&amp;vid=01CRU&amp;lang=en_US&amp;offset=0&amp;query=any,contains,991002917499702656","Catalog Record")</f>
        <v/>
      </c>
      <c r="AT911">
        <f>HYPERLINK("http://www.worldcat.org/oclc/524724","WorldCat Record")</f>
        <v/>
      </c>
      <c r="AU911" t="inlineStr">
        <is>
          <t>53978160:eng</t>
        </is>
      </c>
      <c r="AV911" t="inlineStr">
        <is>
          <t>524724</t>
        </is>
      </c>
      <c r="AW911" t="inlineStr">
        <is>
          <t>991002917499702656</t>
        </is>
      </c>
      <c r="AX911" t="inlineStr">
        <is>
          <t>991002917499702656</t>
        </is>
      </c>
      <c r="AY911" t="inlineStr">
        <is>
          <t>2261182600002656</t>
        </is>
      </c>
      <c r="AZ911" t="inlineStr">
        <is>
          <t>BOOK</t>
        </is>
      </c>
      <c r="BC911" t="inlineStr">
        <is>
          <t>32285003658571</t>
        </is>
      </c>
      <c r="BD911" t="inlineStr">
        <is>
          <t>893616759</t>
        </is>
      </c>
    </row>
    <row r="912">
      <c r="A912" t="inlineStr">
        <is>
          <t>No</t>
        </is>
      </c>
      <c r="B912" t="inlineStr">
        <is>
          <t>RC49 .R3 1965</t>
        </is>
      </c>
      <c r="C912" t="inlineStr">
        <is>
          <t>0                      RC 0049000R  3           1965</t>
        </is>
      </c>
      <c r="D912" t="inlineStr">
        <is>
          <t>Mind and body in eighteenth century medicine : a study based on Jerome Gaub's De regimine mentis / by L. J. Rather.</t>
        </is>
      </c>
      <c r="F912" t="inlineStr">
        <is>
          <t>No</t>
        </is>
      </c>
      <c r="G912" t="inlineStr">
        <is>
          <t>1</t>
        </is>
      </c>
      <c r="H912" t="inlineStr">
        <is>
          <t>No</t>
        </is>
      </c>
      <c r="I912" t="inlineStr">
        <is>
          <t>No</t>
        </is>
      </c>
      <c r="J912" t="inlineStr">
        <is>
          <t>0</t>
        </is>
      </c>
      <c r="K912" t="inlineStr">
        <is>
          <t>Rather, L. J.</t>
        </is>
      </c>
      <c r="L912" t="inlineStr">
        <is>
          <t>Berkeley : University of California Press, 1965.</t>
        </is>
      </c>
      <c r="M912" t="inlineStr">
        <is>
          <t>1965</t>
        </is>
      </c>
      <c r="O912" t="inlineStr">
        <is>
          <t>eng</t>
        </is>
      </c>
      <c r="P912" t="inlineStr">
        <is>
          <t>cau</t>
        </is>
      </c>
      <c r="R912" t="inlineStr">
        <is>
          <t xml:space="preserve">RC </t>
        </is>
      </c>
      <c r="S912" t="n">
        <v>4</v>
      </c>
      <c r="T912" t="n">
        <v>4</v>
      </c>
      <c r="U912" t="inlineStr">
        <is>
          <t>1999-04-09</t>
        </is>
      </c>
      <c r="V912" t="inlineStr">
        <is>
          <t>1999-04-09</t>
        </is>
      </c>
      <c r="W912" t="inlineStr">
        <is>
          <t>1993-03-17</t>
        </is>
      </c>
      <c r="X912" t="inlineStr">
        <is>
          <t>1993-03-17</t>
        </is>
      </c>
      <c r="Y912" t="n">
        <v>342</v>
      </c>
      <c r="Z912" t="n">
        <v>300</v>
      </c>
      <c r="AA912" t="n">
        <v>318</v>
      </c>
      <c r="AB912" t="n">
        <v>5</v>
      </c>
      <c r="AC912" t="n">
        <v>5</v>
      </c>
      <c r="AD912" t="n">
        <v>13</v>
      </c>
      <c r="AE912" t="n">
        <v>13</v>
      </c>
      <c r="AF912" t="n">
        <v>1</v>
      </c>
      <c r="AG912" t="n">
        <v>1</v>
      </c>
      <c r="AH912" t="n">
        <v>4</v>
      </c>
      <c r="AI912" t="n">
        <v>4</v>
      </c>
      <c r="AJ912" t="n">
        <v>6</v>
      </c>
      <c r="AK912" t="n">
        <v>6</v>
      </c>
      <c r="AL912" t="n">
        <v>4</v>
      </c>
      <c r="AM912" t="n">
        <v>4</v>
      </c>
      <c r="AN912" t="n">
        <v>0</v>
      </c>
      <c r="AO912" t="n">
        <v>0</v>
      </c>
      <c r="AP912" t="inlineStr">
        <is>
          <t>No</t>
        </is>
      </c>
      <c r="AQ912" t="inlineStr">
        <is>
          <t>Yes</t>
        </is>
      </c>
      <c r="AR912">
        <f>HYPERLINK("http://catalog.hathitrust.org/Record/001561454","HathiTrust Record")</f>
        <v/>
      </c>
      <c r="AS912">
        <f>HYPERLINK("https://creighton-primo.hosted.exlibrisgroup.com/primo-explore/search?tab=default_tab&amp;search_scope=EVERYTHING&amp;vid=01CRU&amp;lang=en_US&amp;offset=0&amp;query=any,contains,991002733749702656","Catalog Record")</f>
        <v/>
      </c>
      <c r="AT912">
        <f>HYPERLINK("http://www.worldcat.org/oclc/21198972","WorldCat Record")</f>
        <v/>
      </c>
      <c r="AU912" t="inlineStr">
        <is>
          <t>19528801:eng</t>
        </is>
      </c>
      <c r="AV912" t="inlineStr">
        <is>
          <t>21198972</t>
        </is>
      </c>
      <c r="AW912" t="inlineStr">
        <is>
          <t>991002733749702656</t>
        </is>
      </c>
      <c r="AX912" t="inlineStr">
        <is>
          <t>991002733749702656</t>
        </is>
      </c>
      <c r="AY912" t="inlineStr">
        <is>
          <t>2260997760002656</t>
        </is>
      </c>
      <c r="AZ912" t="inlineStr">
        <is>
          <t>BOOK</t>
        </is>
      </c>
      <c r="BC912" t="inlineStr">
        <is>
          <t>32285001588812</t>
        </is>
      </c>
      <c r="BD912" t="inlineStr">
        <is>
          <t>893409459</t>
        </is>
      </c>
    </row>
    <row r="913">
      <c r="A913" t="inlineStr">
        <is>
          <t>No</t>
        </is>
      </c>
      <c r="B913" t="inlineStr">
        <is>
          <t>RC49 .R85 1973</t>
        </is>
      </c>
      <c r="C913" t="inlineStr">
        <is>
          <t>0                      RC 0049000R  85          1973</t>
        </is>
      </c>
      <c r="D913" t="inlineStr">
        <is>
          <t>The interpretation of death / edited and introduced by Hendrik M. Ruitenbeek.</t>
        </is>
      </c>
      <c r="F913" t="inlineStr">
        <is>
          <t>No</t>
        </is>
      </c>
      <c r="G913" t="inlineStr">
        <is>
          <t>1</t>
        </is>
      </c>
      <c r="H913" t="inlineStr">
        <is>
          <t>No</t>
        </is>
      </c>
      <c r="I913" t="inlineStr">
        <is>
          <t>No</t>
        </is>
      </c>
      <c r="J913" t="inlineStr">
        <is>
          <t>0</t>
        </is>
      </c>
      <c r="K913" t="inlineStr">
        <is>
          <t>Ruitenbeek, Hendrik Marinus, 1928-</t>
        </is>
      </c>
      <c r="L913" t="inlineStr">
        <is>
          <t>[New York] : J. Aronson, [1973]</t>
        </is>
      </c>
      <c r="M913" t="inlineStr">
        <is>
          <t>1973</t>
        </is>
      </c>
      <c r="O913" t="inlineStr">
        <is>
          <t>eng</t>
        </is>
      </c>
      <c r="P913" t="inlineStr">
        <is>
          <t>nyu</t>
        </is>
      </c>
      <c r="R913" t="inlineStr">
        <is>
          <t xml:space="preserve">RC </t>
        </is>
      </c>
      <c r="S913" t="n">
        <v>6</v>
      </c>
      <c r="T913" t="n">
        <v>6</v>
      </c>
      <c r="U913" t="inlineStr">
        <is>
          <t>2006-11-14</t>
        </is>
      </c>
      <c r="V913" t="inlineStr">
        <is>
          <t>2006-11-14</t>
        </is>
      </c>
      <c r="W913" t="inlineStr">
        <is>
          <t>1990-10-08</t>
        </is>
      </c>
      <c r="X913" t="inlineStr">
        <is>
          <t>1990-10-08</t>
        </is>
      </c>
      <c r="Y913" t="n">
        <v>551</v>
      </c>
      <c r="Z913" t="n">
        <v>505</v>
      </c>
      <c r="AA913" t="n">
        <v>544</v>
      </c>
      <c r="AB913" t="n">
        <v>5</v>
      </c>
      <c r="AC913" t="n">
        <v>6</v>
      </c>
      <c r="AD913" t="n">
        <v>16</v>
      </c>
      <c r="AE913" t="n">
        <v>17</v>
      </c>
      <c r="AF913" t="n">
        <v>3</v>
      </c>
      <c r="AG913" t="n">
        <v>3</v>
      </c>
      <c r="AH913" t="n">
        <v>4</v>
      </c>
      <c r="AI913" t="n">
        <v>4</v>
      </c>
      <c r="AJ913" t="n">
        <v>8</v>
      </c>
      <c r="AK913" t="n">
        <v>8</v>
      </c>
      <c r="AL913" t="n">
        <v>4</v>
      </c>
      <c r="AM913" t="n">
        <v>5</v>
      </c>
      <c r="AN913" t="n">
        <v>0</v>
      </c>
      <c r="AO913" t="n">
        <v>0</v>
      </c>
      <c r="AP913" t="inlineStr">
        <is>
          <t>No</t>
        </is>
      </c>
      <c r="AQ913" t="inlineStr">
        <is>
          <t>Yes</t>
        </is>
      </c>
      <c r="AR913">
        <f>HYPERLINK("http://catalog.hathitrust.org/Record/001561455","HathiTrust Record")</f>
        <v/>
      </c>
      <c r="AS913">
        <f>HYPERLINK("https://creighton-primo.hosted.exlibrisgroup.com/primo-explore/search?tab=default_tab&amp;search_scope=EVERYTHING&amp;vid=01CRU&amp;lang=en_US&amp;offset=0&amp;query=any,contains,991003172189702656","Catalog Record")</f>
        <v/>
      </c>
      <c r="AT913">
        <f>HYPERLINK("http://www.worldcat.org/oclc/707559","WorldCat Record")</f>
        <v/>
      </c>
      <c r="AU913" t="inlineStr">
        <is>
          <t>1519799:eng</t>
        </is>
      </c>
      <c r="AV913" t="inlineStr">
        <is>
          <t>707559</t>
        </is>
      </c>
      <c r="AW913" t="inlineStr">
        <is>
          <t>991003172189702656</t>
        </is>
      </c>
      <c r="AX913" t="inlineStr">
        <is>
          <t>991003172189702656</t>
        </is>
      </c>
      <c r="AY913" t="inlineStr">
        <is>
          <t>2270809300002656</t>
        </is>
      </c>
      <c r="AZ913" t="inlineStr">
        <is>
          <t>BOOK</t>
        </is>
      </c>
      <c r="BB913" t="inlineStr">
        <is>
          <t>9780876680957</t>
        </is>
      </c>
      <c r="BC913" t="inlineStr">
        <is>
          <t>32285000334598</t>
        </is>
      </c>
      <c r="BD913" t="inlineStr">
        <is>
          <t>893252091</t>
        </is>
      </c>
    </row>
    <row r="914">
      <c r="A914" t="inlineStr">
        <is>
          <t>No</t>
        </is>
      </c>
      <c r="B914" t="inlineStr">
        <is>
          <t>RC49 .S435 1992</t>
        </is>
      </c>
      <c r="C914" t="inlineStr">
        <is>
          <t>0                      RC 0049000S  435         1992</t>
        </is>
      </c>
      <c r="D914" t="inlineStr">
        <is>
          <t>From paralysis to fatigue : a history of psychosomatic illness in the modern era / Edward Shorter.</t>
        </is>
      </c>
      <c r="F914" t="inlineStr">
        <is>
          <t>No</t>
        </is>
      </c>
      <c r="G914" t="inlineStr">
        <is>
          <t>1</t>
        </is>
      </c>
      <c r="H914" t="inlineStr">
        <is>
          <t>No</t>
        </is>
      </c>
      <c r="I914" t="inlineStr">
        <is>
          <t>No</t>
        </is>
      </c>
      <c r="J914" t="inlineStr">
        <is>
          <t>0</t>
        </is>
      </c>
      <c r="K914" t="inlineStr">
        <is>
          <t>Shorter, Edward.</t>
        </is>
      </c>
      <c r="L914" t="inlineStr">
        <is>
          <t>New York : Free Press ; Toronto : Maxwell Macmillan Canada ; New York : Maxwell Macmillan International, c1992.</t>
        </is>
      </c>
      <c r="M914" t="inlineStr">
        <is>
          <t>1992</t>
        </is>
      </c>
      <c r="O914" t="inlineStr">
        <is>
          <t>eng</t>
        </is>
      </c>
      <c r="P914" t="inlineStr">
        <is>
          <t>nyu</t>
        </is>
      </c>
      <c r="R914" t="inlineStr">
        <is>
          <t xml:space="preserve">RC </t>
        </is>
      </c>
      <c r="S914" t="n">
        <v>9</v>
      </c>
      <c r="T914" t="n">
        <v>9</v>
      </c>
      <c r="U914" t="inlineStr">
        <is>
          <t>2001-01-19</t>
        </is>
      </c>
      <c r="V914" t="inlineStr">
        <is>
          <t>2001-01-19</t>
        </is>
      </c>
      <c r="W914" t="inlineStr">
        <is>
          <t>1994-02-14</t>
        </is>
      </c>
      <c r="X914" t="inlineStr">
        <is>
          <t>1994-02-14</t>
        </is>
      </c>
      <c r="Y914" t="n">
        <v>605</v>
      </c>
      <c r="Z914" t="n">
        <v>482</v>
      </c>
      <c r="AA914" t="n">
        <v>555</v>
      </c>
      <c r="AB914" t="n">
        <v>3</v>
      </c>
      <c r="AC914" t="n">
        <v>3</v>
      </c>
      <c r="AD914" t="n">
        <v>20</v>
      </c>
      <c r="AE914" t="n">
        <v>21</v>
      </c>
      <c r="AF914" t="n">
        <v>4</v>
      </c>
      <c r="AG914" t="n">
        <v>4</v>
      </c>
      <c r="AH914" t="n">
        <v>4</v>
      </c>
      <c r="AI914" t="n">
        <v>4</v>
      </c>
      <c r="AJ914" t="n">
        <v>13</v>
      </c>
      <c r="AK914" t="n">
        <v>14</v>
      </c>
      <c r="AL914" t="n">
        <v>2</v>
      </c>
      <c r="AM914" t="n">
        <v>2</v>
      </c>
      <c r="AN914" t="n">
        <v>1</v>
      </c>
      <c r="AO914" t="n">
        <v>1</v>
      </c>
      <c r="AP914" t="inlineStr">
        <is>
          <t>No</t>
        </is>
      </c>
      <c r="AQ914" t="inlineStr">
        <is>
          <t>Yes</t>
        </is>
      </c>
      <c r="AR914">
        <f>HYPERLINK("http://catalog.hathitrust.org/Record/002495267","HathiTrust Record")</f>
        <v/>
      </c>
      <c r="AS914">
        <f>HYPERLINK("https://creighton-primo.hosted.exlibrisgroup.com/primo-explore/search?tab=default_tab&amp;search_scope=EVERYTHING&amp;vid=01CRU&amp;lang=en_US&amp;offset=0&amp;query=any,contains,991001905359702656","Catalog Record")</f>
        <v/>
      </c>
      <c r="AT914">
        <f>HYPERLINK("http://www.worldcat.org/oclc/24067352","WorldCat Record")</f>
        <v/>
      </c>
      <c r="AU914" t="inlineStr">
        <is>
          <t>325222:eng</t>
        </is>
      </c>
      <c r="AV914" t="inlineStr">
        <is>
          <t>24067352</t>
        </is>
      </c>
      <c r="AW914" t="inlineStr">
        <is>
          <t>991001905359702656</t>
        </is>
      </c>
      <c r="AX914" t="inlineStr">
        <is>
          <t>991001905359702656</t>
        </is>
      </c>
      <c r="AY914" t="inlineStr">
        <is>
          <t>2258364440002656</t>
        </is>
      </c>
      <c r="AZ914" t="inlineStr">
        <is>
          <t>BOOK</t>
        </is>
      </c>
      <c r="BB914" t="inlineStr">
        <is>
          <t>9780029286654</t>
        </is>
      </c>
      <c r="BC914" t="inlineStr">
        <is>
          <t>32285001841666</t>
        </is>
      </c>
      <c r="BD914" t="inlineStr">
        <is>
          <t>893684739</t>
        </is>
      </c>
    </row>
    <row r="915">
      <c r="A915" t="inlineStr">
        <is>
          <t>No</t>
        </is>
      </c>
      <c r="B915" t="inlineStr">
        <is>
          <t>RC49 .W43 1988</t>
        </is>
      </c>
      <c r="C915" t="inlineStr">
        <is>
          <t>0                      RC 0049000W  43          1988</t>
        </is>
      </c>
      <c r="D915" t="inlineStr">
        <is>
          <t>Symptom reduction through clinical biofeedback / Ivan Wentworth-Rohr.</t>
        </is>
      </c>
      <c r="F915" t="inlineStr">
        <is>
          <t>No</t>
        </is>
      </c>
      <c r="G915" t="inlineStr">
        <is>
          <t>1</t>
        </is>
      </c>
      <c r="H915" t="inlineStr">
        <is>
          <t>No</t>
        </is>
      </c>
      <c r="I915" t="inlineStr">
        <is>
          <t>No</t>
        </is>
      </c>
      <c r="J915" t="inlineStr">
        <is>
          <t>0</t>
        </is>
      </c>
      <c r="K915" t="inlineStr">
        <is>
          <t>Wentworth-Rohr, Ivan, 1918-</t>
        </is>
      </c>
      <c r="L915" t="inlineStr">
        <is>
          <t>New York, N.Y. : Human Sciences Press, c1988.</t>
        </is>
      </c>
      <c r="M915" t="inlineStr">
        <is>
          <t>1988</t>
        </is>
      </c>
      <c r="N915" t="inlineStr">
        <is>
          <t>Paperback ed.</t>
        </is>
      </c>
      <c r="O915" t="inlineStr">
        <is>
          <t>eng</t>
        </is>
      </c>
      <c r="P915" t="inlineStr">
        <is>
          <t>nyu</t>
        </is>
      </c>
      <c r="R915" t="inlineStr">
        <is>
          <t xml:space="preserve">RC </t>
        </is>
      </c>
      <c r="S915" t="n">
        <v>4</v>
      </c>
      <c r="T915" t="n">
        <v>4</v>
      </c>
      <c r="U915" t="inlineStr">
        <is>
          <t>1992-10-30</t>
        </is>
      </c>
      <c r="V915" t="inlineStr">
        <is>
          <t>1992-10-30</t>
        </is>
      </c>
      <c r="W915" t="inlineStr">
        <is>
          <t>1990-03-01</t>
        </is>
      </c>
      <c r="X915" t="inlineStr">
        <is>
          <t>1990-03-01</t>
        </is>
      </c>
      <c r="Y915" t="n">
        <v>21</v>
      </c>
      <c r="Z915" t="n">
        <v>19</v>
      </c>
      <c r="AA915" t="n">
        <v>215</v>
      </c>
      <c r="AB915" t="n">
        <v>1</v>
      </c>
      <c r="AC915" t="n">
        <v>1</v>
      </c>
      <c r="AD915" t="n">
        <v>1</v>
      </c>
      <c r="AE915" t="n">
        <v>6</v>
      </c>
      <c r="AF915" t="n">
        <v>0</v>
      </c>
      <c r="AG915" t="n">
        <v>2</v>
      </c>
      <c r="AH915" t="n">
        <v>0</v>
      </c>
      <c r="AI915" t="n">
        <v>1</v>
      </c>
      <c r="AJ915" t="n">
        <v>1</v>
      </c>
      <c r="AK915" t="n">
        <v>5</v>
      </c>
      <c r="AL915" t="n">
        <v>0</v>
      </c>
      <c r="AM915" t="n">
        <v>0</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HYPERLINK("https://creighton-primo.hosted.exlibrisgroup.com/primo-explore/search?tab=default_tab&amp;search_scope=EVERYTHING&amp;vid=01CRU&amp;lang=en_US&amp;offset=0&amp;query=any,contains,991001440609702656","Catalog Record")</f>
        <v/>
      </c>
      <c r="AT915">
        <f>HYPERLINK("http://www.worldcat.org/oclc/19232594","WorldCat Record")</f>
        <v/>
      </c>
      <c r="AU915" t="inlineStr">
        <is>
          <t>21615138:eng</t>
        </is>
      </c>
      <c r="AV915" t="inlineStr">
        <is>
          <t>19232594</t>
        </is>
      </c>
      <c r="AW915" t="inlineStr">
        <is>
          <t>991001440609702656</t>
        </is>
      </c>
      <c r="AX915" t="inlineStr">
        <is>
          <t>991001440609702656</t>
        </is>
      </c>
      <c r="AY915" t="inlineStr">
        <is>
          <t>2263933320002656</t>
        </is>
      </c>
      <c r="AZ915" t="inlineStr">
        <is>
          <t>BOOK</t>
        </is>
      </c>
      <c r="BB915" t="inlineStr">
        <is>
          <t>9780898853667</t>
        </is>
      </c>
      <c r="BC915" t="inlineStr">
        <is>
          <t>32285000075381</t>
        </is>
      </c>
      <c r="BD915" t="inlineStr">
        <is>
          <t>893232000</t>
        </is>
      </c>
    </row>
    <row r="916">
      <c r="A916" t="inlineStr">
        <is>
          <t>No</t>
        </is>
      </c>
      <c r="B916" t="inlineStr">
        <is>
          <t>RC495 .A75</t>
        </is>
      </c>
      <c r="C916" t="inlineStr">
        <is>
          <t>0                      RC 0495000A  75</t>
        </is>
      </c>
      <c r="D916" t="inlineStr">
        <is>
          <t>The handbook of professional hypnosis : an advanced course for hypnotherapists and hypnotechnicians / by Harry Arons and Marne F. H. Bubeck.</t>
        </is>
      </c>
      <c r="F916" t="inlineStr">
        <is>
          <t>No</t>
        </is>
      </c>
      <c r="G916" t="inlineStr">
        <is>
          <t>1</t>
        </is>
      </c>
      <c r="H916" t="inlineStr">
        <is>
          <t>No</t>
        </is>
      </c>
      <c r="I916" t="inlineStr">
        <is>
          <t>No</t>
        </is>
      </c>
      <c r="J916" t="inlineStr">
        <is>
          <t>0</t>
        </is>
      </c>
      <c r="K916" t="inlineStr">
        <is>
          <t>Arons, Harry.</t>
        </is>
      </c>
      <c r="L916" t="inlineStr">
        <is>
          <t>Irvington, N.J. : Power Publishers, [1971]</t>
        </is>
      </c>
      <c r="M916" t="inlineStr">
        <is>
          <t>1971</t>
        </is>
      </c>
      <c r="N916" t="inlineStr">
        <is>
          <t>[1st ed.]</t>
        </is>
      </c>
      <c r="O916" t="inlineStr">
        <is>
          <t>eng</t>
        </is>
      </c>
      <c r="P916" t="inlineStr">
        <is>
          <t>nju</t>
        </is>
      </c>
      <c r="R916" t="inlineStr">
        <is>
          <t xml:space="preserve">RC </t>
        </is>
      </c>
      <c r="S916" t="n">
        <v>14</v>
      </c>
      <c r="T916" t="n">
        <v>14</v>
      </c>
      <c r="U916" t="inlineStr">
        <is>
          <t>1997-11-04</t>
        </is>
      </c>
      <c r="V916" t="inlineStr">
        <is>
          <t>1997-11-04</t>
        </is>
      </c>
      <c r="W916" t="inlineStr">
        <is>
          <t>1992-11-18</t>
        </is>
      </c>
      <c r="X916" t="inlineStr">
        <is>
          <t>1992-11-18</t>
        </is>
      </c>
      <c r="Y916" t="n">
        <v>51</v>
      </c>
      <c r="Z916" t="n">
        <v>44</v>
      </c>
      <c r="AA916" t="n">
        <v>67</v>
      </c>
      <c r="AB916" t="n">
        <v>1</v>
      </c>
      <c r="AC916" t="n">
        <v>1</v>
      </c>
      <c r="AD916" t="n">
        <v>0</v>
      </c>
      <c r="AE916" t="n">
        <v>0</v>
      </c>
      <c r="AF916" t="n">
        <v>0</v>
      </c>
      <c r="AG916" t="n">
        <v>0</v>
      </c>
      <c r="AH916" t="n">
        <v>0</v>
      </c>
      <c r="AI916" t="n">
        <v>0</v>
      </c>
      <c r="AJ916" t="n">
        <v>0</v>
      </c>
      <c r="AK916" t="n">
        <v>0</v>
      </c>
      <c r="AL916" t="n">
        <v>0</v>
      </c>
      <c r="AM916" t="n">
        <v>0</v>
      </c>
      <c r="AN916" t="n">
        <v>0</v>
      </c>
      <c r="AO916" t="n">
        <v>0</v>
      </c>
      <c r="AP916" t="inlineStr">
        <is>
          <t>No</t>
        </is>
      </c>
      <c r="AQ916" t="inlineStr">
        <is>
          <t>Yes</t>
        </is>
      </c>
      <c r="AR916">
        <f>HYPERLINK("http://catalog.hathitrust.org/Record/000733743","HathiTrust Record")</f>
        <v/>
      </c>
      <c r="AS916">
        <f>HYPERLINK("https://creighton-primo.hosted.exlibrisgroup.com/primo-explore/search?tab=default_tab&amp;search_scope=EVERYTHING&amp;vid=01CRU&amp;lang=en_US&amp;offset=0&amp;query=any,contains,991000829449702656","Catalog Record")</f>
        <v/>
      </c>
      <c r="AT916">
        <f>HYPERLINK("http://www.worldcat.org/oclc/147178","WorldCat Record")</f>
        <v/>
      </c>
      <c r="AU916" t="inlineStr">
        <is>
          <t>1328971:eng</t>
        </is>
      </c>
      <c r="AV916" t="inlineStr">
        <is>
          <t>147178</t>
        </is>
      </c>
      <c r="AW916" t="inlineStr">
        <is>
          <t>991000829449702656</t>
        </is>
      </c>
      <c r="AX916" t="inlineStr">
        <is>
          <t>991000829449702656</t>
        </is>
      </c>
      <c r="AY916" t="inlineStr">
        <is>
          <t>2258767160002656</t>
        </is>
      </c>
      <c r="AZ916" t="inlineStr">
        <is>
          <t>BOOK</t>
        </is>
      </c>
      <c r="BC916" t="inlineStr">
        <is>
          <t>32285001405561</t>
        </is>
      </c>
      <c r="BD916" t="inlineStr">
        <is>
          <t>893589775</t>
        </is>
      </c>
    </row>
    <row r="917">
      <c r="A917" t="inlineStr">
        <is>
          <t>No</t>
        </is>
      </c>
      <c r="B917" t="inlineStr">
        <is>
          <t>RC495 .B4513 1973a</t>
        </is>
      </c>
      <c r="C917" t="inlineStr">
        <is>
          <t>0                      RC 0495000B  4513        1973a</t>
        </is>
      </c>
      <c r="D917" t="inlineStr">
        <is>
          <t>Hypnosis &amp; suggestion in psychotherapy; a treatise on the nature and uses of hypnotism [by] H. Bernheim. Introd. by Ernest R. Hilgard. Tr. from the 2nd rev. ed. by Christian A. Herter.</t>
        </is>
      </c>
      <c r="F917" t="inlineStr">
        <is>
          <t>No</t>
        </is>
      </c>
      <c r="G917" t="inlineStr">
        <is>
          <t>1</t>
        </is>
      </c>
      <c r="H917" t="inlineStr">
        <is>
          <t>No</t>
        </is>
      </c>
      <c r="I917" t="inlineStr">
        <is>
          <t>No</t>
        </is>
      </c>
      <c r="J917" t="inlineStr">
        <is>
          <t>0</t>
        </is>
      </c>
      <c r="K917" t="inlineStr">
        <is>
          <t>Bernheim, H. (Hippolyte), 1840-1919.</t>
        </is>
      </c>
      <c r="L917" t="inlineStr">
        <is>
          <t>New York, Jason Aronson, Inc. [1973]</t>
        </is>
      </c>
      <c r="M917" t="inlineStr">
        <is>
          <t>1973</t>
        </is>
      </c>
      <c r="O917" t="inlineStr">
        <is>
          <t>eng</t>
        </is>
      </c>
      <c r="P917" t="inlineStr">
        <is>
          <t xml:space="preserve">xx </t>
        </is>
      </c>
      <c r="R917" t="inlineStr">
        <is>
          <t xml:space="preserve">RC </t>
        </is>
      </c>
      <c r="S917" t="n">
        <v>19</v>
      </c>
      <c r="T917" t="n">
        <v>19</v>
      </c>
      <c r="U917" t="inlineStr">
        <is>
          <t>1999-10-30</t>
        </is>
      </c>
      <c r="V917" t="inlineStr">
        <is>
          <t>1999-10-30</t>
        </is>
      </c>
      <c r="W917" t="inlineStr">
        <is>
          <t>1992-09-29</t>
        </is>
      </c>
      <c r="X917" t="inlineStr">
        <is>
          <t>1992-09-29</t>
        </is>
      </c>
      <c r="Y917" t="n">
        <v>79</v>
      </c>
      <c r="Z917" t="n">
        <v>75</v>
      </c>
      <c r="AA917" t="n">
        <v>408</v>
      </c>
      <c r="AB917" t="n">
        <v>1</v>
      </c>
      <c r="AC917" t="n">
        <v>3</v>
      </c>
      <c r="AD917" t="n">
        <v>1</v>
      </c>
      <c r="AE917" t="n">
        <v>16</v>
      </c>
      <c r="AF917" t="n">
        <v>1</v>
      </c>
      <c r="AG917" t="n">
        <v>6</v>
      </c>
      <c r="AH917" t="n">
        <v>1</v>
      </c>
      <c r="AI917" t="n">
        <v>2</v>
      </c>
      <c r="AJ917" t="n">
        <v>0</v>
      </c>
      <c r="AK917" t="n">
        <v>8</v>
      </c>
      <c r="AL917" t="n">
        <v>0</v>
      </c>
      <c r="AM917" t="n">
        <v>2</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HYPERLINK("https://creighton-primo.hosted.exlibrisgroup.com/primo-explore/search?tab=default_tab&amp;search_scope=EVERYTHING&amp;vid=01CRU&amp;lang=en_US&amp;offset=0&amp;query=any,contains,991003437229702656","Catalog Record")</f>
        <v/>
      </c>
      <c r="AT917">
        <f>HYPERLINK("http://www.worldcat.org/oclc/972874","WorldCat Record")</f>
        <v/>
      </c>
      <c r="AU917" t="inlineStr">
        <is>
          <t>4040359:eng</t>
        </is>
      </c>
      <c r="AV917" t="inlineStr">
        <is>
          <t>972874</t>
        </is>
      </c>
      <c r="AW917" t="inlineStr">
        <is>
          <t>991003437229702656</t>
        </is>
      </c>
      <c r="AX917" t="inlineStr">
        <is>
          <t>991003437229702656</t>
        </is>
      </c>
      <c r="AY917" t="inlineStr">
        <is>
          <t>2258721180002656</t>
        </is>
      </c>
      <c r="AZ917" t="inlineStr">
        <is>
          <t>BOOK</t>
        </is>
      </c>
      <c r="BB917" t="inlineStr">
        <is>
          <t>9780876681107</t>
        </is>
      </c>
      <c r="BC917" t="inlineStr">
        <is>
          <t>32285001334811</t>
        </is>
      </c>
      <c r="BD917" t="inlineStr">
        <is>
          <t>893258415</t>
        </is>
      </c>
    </row>
    <row r="918">
      <c r="A918" t="inlineStr">
        <is>
          <t>No</t>
        </is>
      </c>
      <c r="B918" t="inlineStr">
        <is>
          <t>RC495 .F68</t>
        </is>
      </c>
      <c r="C918" t="inlineStr">
        <is>
          <t>0                      RC 0495000F  68</t>
        </is>
      </c>
      <c r="D918" t="inlineStr">
        <is>
          <t>Hypnosis : trance as a coping mechanism / Fred H. Frankel. --</t>
        </is>
      </c>
      <c r="F918" t="inlineStr">
        <is>
          <t>No</t>
        </is>
      </c>
      <c r="G918" t="inlineStr">
        <is>
          <t>1</t>
        </is>
      </c>
      <c r="H918" t="inlineStr">
        <is>
          <t>No</t>
        </is>
      </c>
      <c r="I918" t="inlineStr">
        <is>
          <t>No</t>
        </is>
      </c>
      <c r="J918" t="inlineStr">
        <is>
          <t>0</t>
        </is>
      </c>
      <c r="K918" t="inlineStr">
        <is>
          <t>Frankel, Fred H.</t>
        </is>
      </c>
      <c r="L918" t="inlineStr">
        <is>
          <t>New York : Plenum Medical Book Co., c1976.</t>
        </is>
      </c>
      <c r="M918" t="inlineStr">
        <is>
          <t>1976</t>
        </is>
      </c>
      <c r="O918" t="inlineStr">
        <is>
          <t>eng</t>
        </is>
      </c>
      <c r="P918" t="inlineStr">
        <is>
          <t>nyu</t>
        </is>
      </c>
      <c r="Q918" t="inlineStr">
        <is>
          <t>Topics in general psychiatry</t>
        </is>
      </c>
      <c r="R918" t="inlineStr">
        <is>
          <t xml:space="preserve">RC </t>
        </is>
      </c>
      <c r="S918" t="n">
        <v>23</v>
      </c>
      <c r="T918" t="n">
        <v>23</v>
      </c>
      <c r="U918" t="inlineStr">
        <is>
          <t>2001-03-12</t>
        </is>
      </c>
      <c r="V918" t="inlineStr">
        <is>
          <t>2001-03-12</t>
        </is>
      </c>
      <c r="W918" t="inlineStr">
        <is>
          <t>1990-02-21</t>
        </is>
      </c>
      <c r="X918" t="inlineStr">
        <is>
          <t>1990-02-21</t>
        </is>
      </c>
      <c r="Y918" t="n">
        <v>311</v>
      </c>
      <c r="Z918" t="n">
        <v>242</v>
      </c>
      <c r="AA918" t="n">
        <v>263</v>
      </c>
      <c r="AB918" t="n">
        <v>1</v>
      </c>
      <c r="AC918" t="n">
        <v>1</v>
      </c>
      <c r="AD918" t="n">
        <v>7</v>
      </c>
      <c r="AE918" t="n">
        <v>9</v>
      </c>
      <c r="AF918" t="n">
        <v>2</v>
      </c>
      <c r="AG918" t="n">
        <v>4</v>
      </c>
      <c r="AH918" t="n">
        <v>4</v>
      </c>
      <c r="AI918" t="n">
        <v>4</v>
      </c>
      <c r="AJ918" t="n">
        <v>4</v>
      </c>
      <c r="AK918" t="n">
        <v>5</v>
      </c>
      <c r="AL918" t="n">
        <v>0</v>
      </c>
      <c r="AM918" t="n">
        <v>0</v>
      </c>
      <c r="AN918" t="n">
        <v>0</v>
      </c>
      <c r="AO918" t="n">
        <v>0</v>
      </c>
      <c r="AP918" t="inlineStr">
        <is>
          <t>No</t>
        </is>
      </c>
      <c r="AQ918" t="inlineStr">
        <is>
          <t>No</t>
        </is>
      </c>
      <c r="AS918">
        <f>HYPERLINK("https://creighton-primo.hosted.exlibrisgroup.com/primo-explore/search?tab=default_tab&amp;search_scope=EVERYTHING&amp;vid=01CRU&amp;lang=en_US&amp;offset=0&amp;query=any,contains,991004042299702656","Catalog Record")</f>
        <v/>
      </c>
      <c r="AT918">
        <f>HYPERLINK("http://www.worldcat.org/oclc/2189280","WorldCat Record")</f>
        <v/>
      </c>
      <c r="AU918" t="inlineStr">
        <is>
          <t>836643546:eng</t>
        </is>
      </c>
      <c r="AV918" t="inlineStr">
        <is>
          <t>2189280</t>
        </is>
      </c>
      <c r="AW918" t="inlineStr">
        <is>
          <t>991004042299702656</t>
        </is>
      </c>
      <c r="AX918" t="inlineStr">
        <is>
          <t>991004042299702656</t>
        </is>
      </c>
      <c r="AY918" t="inlineStr">
        <is>
          <t>2265395360002656</t>
        </is>
      </c>
      <c r="AZ918" t="inlineStr">
        <is>
          <t>BOOK</t>
        </is>
      </c>
      <c r="BB918" t="inlineStr">
        <is>
          <t>9780306309328</t>
        </is>
      </c>
      <c r="BC918" t="inlineStr">
        <is>
          <t>32285000058619</t>
        </is>
      </c>
      <c r="BD918" t="inlineStr">
        <is>
          <t>893442104</t>
        </is>
      </c>
    </row>
    <row r="919">
      <c r="A919" t="inlineStr">
        <is>
          <t>No</t>
        </is>
      </c>
      <c r="B919" t="inlineStr">
        <is>
          <t>RC495 .G6</t>
        </is>
      </c>
      <c r="C919" t="inlineStr">
        <is>
          <t>0                      RC 0495000G  6</t>
        </is>
      </c>
      <c r="D919" t="inlineStr">
        <is>
          <t>Handbook of clinical and experimental hypnosis / edited by Jesse E. Gordon.</t>
        </is>
      </c>
      <c r="F919" t="inlineStr">
        <is>
          <t>No</t>
        </is>
      </c>
      <c r="G919" t="inlineStr">
        <is>
          <t>1</t>
        </is>
      </c>
      <c r="H919" t="inlineStr">
        <is>
          <t>No</t>
        </is>
      </c>
      <c r="I919" t="inlineStr">
        <is>
          <t>No</t>
        </is>
      </c>
      <c r="J919" t="inlineStr">
        <is>
          <t>0</t>
        </is>
      </c>
      <c r="K919" t="inlineStr">
        <is>
          <t>Gordon, Jesse E., 1930-, editor.</t>
        </is>
      </c>
      <c r="L919" t="inlineStr">
        <is>
          <t>New York : Macmillan, [c1967]</t>
        </is>
      </c>
      <c r="M919" t="inlineStr">
        <is>
          <t>1967</t>
        </is>
      </c>
      <c r="O919" t="inlineStr">
        <is>
          <t>eng</t>
        </is>
      </c>
      <c r="P919" t="inlineStr">
        <is>
          <t>nyu</t>
        </is>
      </c>
      <c r="R919" t="inlineStr">
        <is>
          <t xml:space="preserve">RC </t>
        </is>
      </c>
      <c r="S919" t="n">
        <v>24</v>
      </c>
      <c r="T919" t="n">
        <v>24</v>
      </c>
      <c r="U919" t="inlineStr">
        <is>
          <t>1998-10-08</t>
        </is>
      </c>
      <c r="V919" t="inlineStr">
        <is>
          <t>1998-10-08</t>
        </is>
      </c>
      <c r="W919" t="inlineStr">
        <is>
          <t>1991-10-28</t>
        </is>
      </c>
      <c r="X919" t="inlineStr">
        <is>
          <t>1991-10-28</t>
        </is>
      </c>
      <c r="Y919" t="n">
        <v>568</v>
      </c>
      <c r="Z919" t="n">
        <v>461</v>
      </c>
      <c r="AA919" t="n">
        <v>465</v>
      </c>
      <c r="AB919" t="n">
        <v>6</v>
      </c>
      <c r="AC919" t="n">
        <v>6</v>
      </c>
      <c r="AD919" t="n">
        <v>24</v>
      </c>
      <c r="AE919" t="n">
        <v>24</v>
      </c>
      <c r="AF919" t="n">
        <v>8</v>
      </c>
      <c r="AG919" t="n">
        <v>8</v>
      </c>
      <c r="AH919" t="n">
        <v>3</v>
      </c>
      <c r="AI919" t="n">
        <v>3</v>
      </c>
      <c r="AJ919" t="n">
        <v>13</v>
      </c>
      <c r="AK919" t="n">
        <v>13</v>
      </c>
      <c r="AL919" t="n">
        <v>5</v>
      </c>
      <c r="AM919" t="n">
        <v>5</v>
      </c>
      <c r="AN919" t="n">
        <v>0</v>
      </c>
      <c r="AO919" t="n">
        <v>0</v>
      </c>
      <c r="AP919" t="inlineStr">
        <is>
          <t>No</t>
        </is>
      </c>
      <c r="AQ919" t="inlineStr">
        <is>
          <t>Yes</t>
        </is>
      </c>
      <c r="AR919">
        <f>HYPERLINK("http://catalog.hathitrust.org/Record/000002610","HathiTrust Record")</f>
        <v/>
      </c>
      <c r="AS919">
        <f>HYPERLINK("https://creighton-primo.hosted.exlibrisgroup.com/primo-explore/search?tab=default_tab&amp;search_scope=EVERYTHING&amp;vid=01CRU&amp;lang=en_US&amp;offset=0&amp;query=any,contains,991001022049702656","Catalog Record")</f>
        <v/>
      </c>
      <c r="AT919">
        <f>HYPERLINK("http://www.worldcat.org/oclc/173982","WorldCat Record")</f>
        <v/>
      </c>
      <c r="AU919" t="inlineStr">
        <is>
          <t>346821060:eng</t>
        </is>
      </c>
      <c r="AV919" t="inlineStr">
        <is>
          <t>173982</t>
        </is>
      </c>
      <c r="AW919" t="inlineStr">
        <is>
          <t>991001022049702656</t>
        </is>
      </c>
      <c r="AX919" t="inlineStr">
        <is>
          <t>991001022049702656</t>
        </is>
      </c>
      <c r="AY919" t="inlineStr">
        <is>
          <t>2268470490002656</t>
        </is>
      </c>
      <c r="AZ919" t="inlineStr">
        <is>
          <t>BOOK</t>
        </is>
      </c>
      <c r="BC919" t="inlineStr">
        <is>
          <t>32285000779230</t>
        </is>
      </c>
      <c r="BD919" t="inlineStr">
        <is>
          <t>893702669</t>
        </is>
      </c>
    </row>
    <row r="920">
      <c r="A920" t="inlineStr">
        <is>
          <t>No</t>
        </is>
      </c>
      <c r="B920" t="inlineStr">
        <is>
          <t>RC495 .H356 1993</t>
        </is>
      </c>
      <c r="C920" t="inlineStr">
        <is>
          <t>0                      RC 0495000H  356         1993</t>
        </is>
      </c>
      <c r="D920" t="inlineStr">
        <is>
          <t>Handbook of clinical hypnosis / edited by Judith W. Rhue, Steven Jay Lynn, and Irving Kirsch.</t>
        </is>
      </c>
      <c r="F920" t="inlineStr">
        <is>
          <t>No</t>
        </is>
      </c>
      <c r="G920" t="inlineStr">
        <is>
          <t>1</t>
        </is>
      </c>
      <c r="H920" t="inlineStr">
        <is>
          <t>No</t>
        </is>
      </c>
      <c r="I920" t="inlineStr">
        <is>
          <t>No</t>
        </is>
      </c>
      <c r="J920" t="inlineStr">
        <is>
          <t>0</t>
        </is>
      </c>
      <c r="L920" t="inlineStr">
        <is>
          <t>Washington, DC : American Psychological Association, c1993.</t>
        </is>
      </c>
      <c r="M920" t="inlineStr">
        <is>
          <t>1993</t>
        </is>
      </c>
      <c r="N920" t="inlineStr">
        <is>
          <t>1st ed.</t>
        </is>
      </c>
      <c r="O920" t="inlineStr">
        <is>
          <t>eng</t>
        </is>
      </c>
      <c r="P920" t="inlineStr">
        <is>
          <t>dcu</t>
        </is>
      </c>
      <c r="R920" t="inlineStr">
        <is>
          <t xml:space="preserve">RC </t>
        </is>
      </c>
      <c r="S920" t="n">
        <v>26</v>
      </c>
      <c r="T920" t="n">
        <v>26</v>
      </c>
      <c r="U920" t="inlineStr">
        <is>
          <t>2007-03-20</t>
        </is>
      </c>
      <c r="V920" t="inlineStr">
        <is>
          <t>2007-03-20</t>
        </is>
      </c>
      <c r="W920" t="inlineStr">
        <is>
          <t>1994-01-11</t>
        </is>
      </c>
      <c r="X920" t="inlineStr">
        <is>
          <t>1994-01-11</t>
        </is>
      </c>
      <c r="Y920" t="n">
        <v>261</v>
      </c>
      <c r="Z920" t="n">
        <v>224</v>
      </c>
      <c r="AA920" t="n">
        <v>433</v>
      </c>
      <c r="AB920" t="n">
        <v>2</v>
      </c>
      <c r="AC920" t="n">
        <v>3</v>
      </c>
      <c r="AD920" t="n">
        <v>12</v>
      </c>
      <c r="AE920" t="n">
        <v>22</v>
      </c>
      <c r="AF920" t="n">
        <v>5</v>
      </c>
      <c r="AG920" t="n">
        <v>9</v>
      </c>
      <c r="AH920" t="n">
        <v>4</v>
      </c>
      <c r="AI920" t="n">
        <v>4</v>
      </c>
      <c r="AJ920" t="n">
        <v>7</v>
      </c>
      <c r="AK920" t="n">
        <v>13</v>
      </c>
      <c r="AL920" t="n">
        <v>1</v>
      </c>
      <c r="AM920" t="n">
        <v>2</v>
      </c>
      <c r="AN920" t="n">
        <v>0</v>
      </c>
      <c r="AO920" t="n">
        <v>0</v>
      </c>
      <c r="AP920" t="inlineStr">
        <is>
          <t>No</t>
        </is>
      </c>
      <c r="AQ920" t="inlineStr">
        <is>
          <t>No</t>
        </is>
      </c>
      <c r="AS920">
        <f>HYPERLINK("https://creighton-primo.hosted.exlibrisgroup.com/primo-explore/search?tab=default_tab&amp;search_scope=EVERYTHING&amp;vid=01CRU&amp;lang=en_US&amp;offset=0&amp;query=any,contains,991002152709702656","Catalog Record")</f>
        <v/>
      </c>
      <c r="AT920">
        <f>HYPERLINK("http://www.worldcat.org/oclc/27728598","WorldCat Record")</f>
        <v/>
      </c>
      <c r="AU920" t="inlineStr">
        <is>
          <t>4916800427:eng</t>
        </is>
      </c>
      <c r="AV920" t="inlineStr">
        <is>
          <t>27728598</t>
        </is>
      </c>
      <c r="AW920" t="inlineStr">
        <is>
          <t>991002152709702656</t>
        </is>
      </c>
      <c r="AX920" t="inlineStr">
        <is>
          <t>991002152709702656</t>
        </is>
      </c>
      <c r="AY920" t="inlineStr">
        <is>
          <t>2265908280002656</t>
        </is>
      </c>
      <c r="AZ920" t="inlineStr">
        <is>
          <t>BOOK</t>
        </is>
      </c>
      <c r="BB920" t="inlineStr">
        <is>
          <t>9781557981998</t>
        </is>
      </c>
      <c r="BC920" t="inlineStr">
        <is>
          <t>32285001830677</t>
        </is>
      </c>
      <c r="BD920" t="inlineStr">
        <is>
          <t>893621964</t>
        </is>
      </c>
    </row>
    <row r="921">
      <c r="A921" t="inlineStr">
        <is>
          <t>No</t>
        </is>
      </c>
      <c r="B921" t="inlineStr">
        <is>
          <t>RC495 .R65 1986</t>
        </is>
      </c>
      <c r="C921" t="inlineStr">
        <is>
          <t>0                      RC 0495000R  65          1986</t>
        </is>
      </c>
      <c r="D921" t="inlineStr">
        <is>
          <t>The psychobiology of mind-body healing : new concepts of therapeutic hypnosis / Ernest Lawrence Rossi.</t>
        </is>
      </c>
      <c r="F921" t="inlineStr">
        <is>
          <t>No</t>
        </is>
      </c>
      <c r="G921" t="inlineStr">
        <is>
          <t>1</t>
        </is>
      </c>
      <c r="H921" t="inlineStr">
        <is>
          <t>No</t>
        </is>
      </c>
      <c r="I921" t="inlineStr">
        <is>
          <t>No</t>
        </is>
      </c>
      <c r="J921" t="inlineStr">
        <is>
          <t>0</t>
        </is>
      </c>
      <c r="K921" t="inlineStr">
        <is>
          <t>Rossi, Ernest Lawrence.</t>
        </is>
      </c>
      <c r="L921" t="inlineStr">
        <is>
          <t>New York : W.W. Norton, c1986.</t>
        </is>
      </c>
      <c r="M921" t="inlineStr">
        <is>
          <t>1986</t>
        </is>
      </c>
      <c r="N921" t="inlineStr">
        <is>
          <t>1st ed.</t>
        </is>
      </c>
      <c r="O921" t="inlineStr">
        <is>
          <t>eng</t>
        </is>
      </c>
      <c r="P921" t="inlineStr">
        <is>
          <t>nyu</t>
        </is>
      </c>
      <c r="R921" t="inlineStr">
        <is>
          <t xml:space="preserve">RC </t>
        </is>
      </c>
      <c r="S921" t="n">
        <v>23</v>
      </c>
      <c r="T921" t="n">
        <v>23</v>
      </c>
      <c r="U921" t="inlineStr">
        <is>
          <t>2009-11-19</t>
        </is>
      </c>
      <c r="V921" t="inlineStr">
        <is>
          <t>2009-11-19</t>
        </is>
      </c>
      <c r="W921" t="inlineStr">
        <is>
          <t>1992-11-03</t>
        </is>
      </c>
      <c r="X921" t="inlineStr">
        <is>
          <t>1992-11-03</t>
        </is>
      </c>
      <c r="Y921" t="n">
        <v>642</v>
      </c>
      <c r="Z921" t="n">
        <v>558</v>
      </c>
      <c r="AA921" t="n">
        <v>733</v>
      </c>
      <c r="AB921" t="n">
        <v>5</v>
      </c>
      <c r="AC921" t="n">
        <v>7</v>
      </c>
      <c r="AD921" t="n">
        <v>18</v>
      </c>
      <c r="AE921" t="n">
        <v>28</v>
      </c>
      <c r="AF921" t="n">
        <v>7</v>
      </c>
      <c r="AG921" t="n">
        <v>14</v>
      </c>
      <c r="AH921" t="n">
        <v>4</v>
      </c>
      <c r="AI921" t="n">
        <v>5</v>
      </c>
      <c r="AJ921" t="n">
        <v>9</v>
      </c>
      <c r="AK921" t="n">
        <v>12</v>
      </c>
      <c r="AL921" t="n">
        <v>3</v>
      </c>
      <c r="AM921" t="n">
        <v>4</v>
      </c>
      <c r="AN921" t="n">
        <v>0</v>
      </c>
      <c r="AO921" t="n">
        <v>0</v>
      </c>
      <c r="AP921" t="inlineStr">
        <is>
          <t>No</t>
        </is>
      </c>
      <c r="AQ921" t="inlineStr">
        <is>
          <t>No</t>
        </is>
      </c>
      <c r="AS921">
        <f>HYPERLINK("https://creighton-primo.hosted.exlibrisgroup.com/primo-explore/search?tab=default_tab&amp;search_scope=EVERYTHING&amp;vid=01CRU&amp;lang=en_US&amp;offset=0&amp;query=any,contains,991000853789702656","Catalog Record")</f>
        <v/>
      </c>
      <c r="AT921">
        <f>HYPERLINK("http://www.worldcat.org/oclc/13642607","WorldCat Record")</f>
        <v/>
      </c>
      <c r="AU921" t="inlineStr">
        <is>
          <t>443239252:eng</t>
        </is>
      </c>
      <c r="AV921" t="inlineStr">
        <is>
          <t>13642607</t>
        </is>
      </c>
      <c r="AW921" t="inlineStr">
        <is>
          <t>991000853789702656</t>
        </is>
      </c>
      <c r="AX921" t="inlineStr">
        <is>
          <t>991000853789702656</t>
        </is>
      </c>
      <c r="AY921" t="inlineStr">
        <is>
          <t>2271846550002656</t>
        </is>
      </c>
      <c r="AZ921" t="inlineStr">
        <is>
          <t>BOOK</t>
        </is>
      </c>
      <c r="BB921" t="inlineStr">
        <is>
          <t>9780393700343</t>
        </is>
      </c>
      <c r="BC921" t="inlineStr">
        <is>
          <t>32285001380491</t>
        </is>
      </c>
      <c r="BD921" t="inlineStr">
        <is>
          <t>893589800</t>
        </is>
      </c>
    </row>
    <row r="922">
      <c r="A922" t="inlineStr">
        <is>
          <t>No</t>
        </is>
      </c>
      <c r="B922" t="inlineStr">
        <is>
          <t>RC497 .C73 1993</t>
        </is>
      </c>
      <c r="C922" t="inlineStr">
        <is>
          <t>0                      RC 0497000C  73          1993</t>
        </is>
      </c>
      <c r="D922" t="inlineStr">
        <is>
          <t>From Mesmer to Freud : magnetic sleep and the roots of psychological healing / Adam Crabtree.</t>
        </is>
      </c>
      <c r="F922" t="inlineStr">
        <is>
          <t>No</t>
        </is>
      </c>
      <c r="G922" t="inlineStr">
        <is>
          <t>1</t>
        </is>
      </c>
      <c r="H922" t="inlineStr">
        <is>
          <t>No</t>
        </is>
      </c>
      <c r="I922" t="inlineStr">
        <is>
          <t>No</t>
        </is>
      </c>
      <c r="J922" t="inlineStr">
        <is>
          <t>0</t>
        </is>
      </c>
      <c r="K922" t="inlineStr">
        <is>
          <t>Crabtree, Adam.</t>
        </is>
      </c>
      <c r="L922" t="inlineStr">
        <is>
          <t>New Haven : Yale University Press, c1993.</t>
        </is>
      </c>
      <c r="M922" t="inlineStr">
        <is>
          <t>1993</t>
        </is>
      </c>
      <c r="O922" t="inlineStr">
        <is>
          <t>eng</t>
        </is>
      </c>
      <c r="P922" t="inlineStr">
        <is>
          <t>ctu</t>
        </is>
      </c>
      <c r="R922" t="inlineStr">
        <is>
          <t xml:space="preserve">RC </t>
        </is>
      </c>
      <c r="S922" t="n">
        <v>7</v>
      </c>
      <c r="T922" t="n">
        <v>7</v>
      </c>
      <c r="U922" t="inlineStr">
        <is>
          <t>2004-02-28</t>
        </is>
      </c>
      <c r="V922" t="inlineStr">
        <is>
          <t>2004-02-28</t>
        </is>
      </c>
      <c r="W922" t="inlineStr">
        <is>
          <t>1994-12-06</t>
        </is>
      </c>
      <c r="X922" t="inlineStr">
        <is>
          <t>1994-12-06</t>
        </is>
      </c>
      <c r="Y922" t="n">
        <v>308</v>
      </c>
      <c r="Z922" t="n">
        <v>220</v>
      </c>
      <c r="AA922" t="n">
        <v>221</v>
      </c>
      <c r="AB922" t="n">
        <v>2</v>
      </c>
      <c r="AC922" t="n">
        <v>2</v>
      </c>
      <c r="AD922" t="n">
        <v>10</v>
      </c>
      <c r="AE922" t="n">
        <v>10</v>
      </c>
      <c r="AF922" t="n">
        <v>3</v>
      </c>
      <c r="AG922" t="n">
        <v>3</v>
      </c>
      <c r="AH922" t="n">
        <v>2</v>
      </c>
      <c r="AI922" t="n">
        <v>2</v>
      </c>
      <c r="AJ922" t="n">
        <v>7</v>
      </c>
      <c r="AK922" t="n">
        <v>7</v>
      </c>
      <c r="AL922" t="n">
        <v>1</v>
      </c>
      <c r="AM922" t="n">
        <v>1</v>
      </c>
      <c r="AN922" t="n">
        <v>0</v>
      </c>
      <c r="AO922" t="n">
        <v>0</v>
      </c>
      <c r="AP922" t="inlineStr">
        <is>
          <t>No</t>
        </is>
      </c>
      <c r="AQ922" t="inlineStr">
        <is>
          <t>No</t>
        </is>
      </c>
      <c r="AS922">
        <f>HYPERLINK("https://creighton-primo.hosted.exlibrisgroup.com/primo-explore/search?tab=default_tab&amp;search_scope=EVERYTHING&amp;vid=01CRU&amp;lang=en_US&amp;offset=0&amp;query=any,contains,991002174099702656","Catalog Record")</f>
        <v/>
      </c>
      <c r="AT922">
        <f>HYPERLINK("http://www.worldcat.org/oclc/27975956","WorldCat Record")</f>
        <v/>
      </c>
      <c r="AU922" t="inlineStr">
        <is>
          <t>253818742:eng</t>
        </is>
      </c>
      <c r="AV922" t="inlineStr">
        <is>
          <t>27975956</t>
        </is>
      </c>
      <c r="AW922" t="inlineStr">
        <is>
          <t>991002174099702656</t>
        </is>
      </c>
      <c r="AX922" t="inlineStr">
        <is>
          <t>991002174099702656</t>
        </is>
      </c>
      <c r="AY922" t="inlineStr">
        <is>
          <t>2262236470002656</t>
        </is>
      </c>
      <c r="AZ922" t="inlineStr">
        <is>
          <t>BOOK</t>
        </is>
      </c>
      <c r="BB922" t="inlineStr">
        <is>
          <t>9780300055887</t>
        </is>
      </c>
      <c r="BC922" t="inlineStr">
        <is>
          <t>32285001975589</t>
        </is>
      </c>
      <c r="BD922" t="inlineStr">
        <is>
          <t>893529630</t>
        </is>
      </c>
    </row>
    <row r="923">
      <c r="A923" t="inlineStr">
        <is>
          <t>No</t>
        </is>
      </c>
      <c r="B923" t="inlineStr">
        <is>
          <t>RC497 .H54</t>
        </is>
      </c>
      <c r="C923" t="inlineStr">
        <is>
          <t>0                      RC 0497000H  54</t>
        </is>
      </c>
      <c r="D923" t="inlineStr">
        <is>
          <t>Hypnosis in the relief of pain / Ernest R. Hilgard, Josephine R. Hilgard.</t>
        </is>
      </c>
      <c r="F923" t="inlineStr">
        <is>
          <t>No</t>
        </is>
      </c>
      <c r="G923" t="inlineStr">
        <is>
          <t>1</t>
        </is>
      </c>
      <c r="H923" t="inlineStr">
        <is>
          <t>No</t>
        </is>
      </c>
      <c r="I923" t="inlineStr">
        <is>
          <t>No</t>
        </is>
      </c>
      <c r="J923" t="inlineStr">
        <is>
          <t>0</t>
        </is>
      </c>
      <c r="K923" t="inlineStr">
        <is>
          <t>Hilgard, Ernest R. (Ernest Ropiequet), 1904-2001.</t>
        </is>
      </c>
      <c r="L923" t="inlineStr">
        <is>
          <t>Los Altos, Calif. : W. Kaufmann, [1975]</t>
        </is>
      </c>
      <c r="M923" t="inlineStr">
        <is>
          <t>1975</t>
        </is>
      </c>
      <c r="O923" t="inlineStr">
        <is>
          <t>eng</t>
        </is>
      </c>
      <c r="P923" t="inlineStr">
        <is>
          <t>cau</t>
        </is>
      </c>
      <c r="R923" t="inlineStr">
        <is>
          <t xml:space="preserve">RC </t>
        </is>
      </c>
      <c r="S923" t="n">
        <v>13</v>
      </c>
      <c r="T923" t="n">
        <v>13</v>
      </c>
      <c r="U923" t="inlineStr">
        <is>
          <t>2007-03-20</t>
        </is>
      </c>
      <c r="V923" t="inlineStr">
        <is>
          <t>2007-03-20</t>
        </is>
      </c>
      <c r="W923" t="inlineStr">
        <is>
          <t>1995-01-03</t>
        </is>
      </c>
      <c r="X923" t="inlineStr">
        <is>
          <t>1995-01-03</t>
        </is>
      </c>
      <c r="Y923" t="n">
        <v>568</v>
      </c>
      <c r="Z923" t="n">
        <v>474</v>
      </c>
      <c r="AA923" t="n">
        <v>704</v>
      </c>
      <c r="AB923" t="n">
        <v>4</v>
      </c>
      <c r="AC923" t="n">
        <v>6</v>
      </c>
      <c r="AD923" t="n">
        <v>19</v>
      </c>
      <c r="AE923" t="n">
        <v>28</v>
      </c>
      <c r="AF923" t="n">
        <v>5</v>
      </c>
      <c r="AG923" t="n">
        <v>9</v>
      </c>
      <c r="AH923" t="n">
        <v>6</v>
      </c>
      <c r="AI923" t="n">
        <v>6</v>
      </c>
      <c r="AJ923" t="n">
        <v>9</v>
      </c>
      <c r="AK923" t="n">
        <v>15</v>
      </c>
      <c r="AL923" t="n">
        <v>3</v>
      </c>
      <c r="AM923" t="n">
        <v>5</v>
      </c>
      <c r="AN923" t="n">
        <v>0</v>
      </c>
      <c r="AO923" t="n">
        <v>0</v>
      </c>
      <c r="AP923" t="inlineStr">
        <is>
          <t>No</t>
        </is>
      </c>
      <c r="AQ923" t="inlineStr">
        <is>
          <t>Yes</t>
        </is>
      </c>
      <c r="AR923">
        <f>HYPERLINK("http://catalog.hathitrust.org/Record/000264341","HathiTrust Record")</f>
        <v/>
      </c>
      <c r="AS923">
        <f>HYPERLINK("https://creighton-primo.hosted.exlibrisgroup.com/primo-explore/search?tab=default_tab&amp;search_scope=EVERYTHING&amp;vid=01CRU&amp;lang=en_US&amp;offset=0&amp;query=any,contains,991003801429702656","Catalog Record")</f>
        <v/>
      </c>
      <c r="AT923">
        <f>HYPERLINK("http://www.worldcat.org/oclc/1527608","WorldCat Record")</f>
        <v/>
      </c>
      <c r="AU923" t="inlineStr">
        <is>
          <t>138060583:eng</t>
        </is>
      </c>
      <c r="AV923" t="inlineStr">
        <is>
          <t>1527608</t>
        </is>
      </c>
      <c r="AW923" t="inlineStr">
        <is>
          <t>991003801429702656</t>
        </is>
      </c>
      <c r="AX923" t="inlineStr">
        <is>
          <t>991003801429702656</t>
        </is>
      </c>
      <c r="AY923" t="inlineStr">
        <is>
          <t>2258113850002656</t>
        </is>
      </c>
      <c r="AZ923" t="inlineStr">
        <is>
          <t>BOOK</t>
        </is>
      </c>
      <c r="BB923" t="inlineStr">
        <is>
          <t>9780913232163</t>
        </is>
      </c>
      <c r="BC923" t="inlineStr">
        <is>
          <t>32285001985695</t>
        </is>
      </c>
      <c r="BD923" t="inlineStr">
        <is>
          <t>893623916</t>
        </is>
      </c>
    </row>
    <row r="924">
      <c r="A924" t="inlineStr">
        <is>
          <t>No</t>
        </is>
      </c>
      <c r="B924" t="inlineStr">
        <is>
          <t>RC499.A8 L55 1990</t>
        </is>
      </c>
      <c r="C924" t="inlineStr">
        <is>
          <t>0                      RC 0499000A  8                  L  55          1990</t>
        </is>
      </c>
      <c r="D924" t="inlineStr">
        <is>
          <t>Autogenic training : a clinical guide / Wolfgang Linden ; foreword by Paul Lehrer.</t>
        </is>
      </c>
      <c r="F924" t="inlineStr">
        <is>
          <t>No</t>
        </is>
      </c>
      <c r="G924" t="inlineStr">
        <is>
          <t>1</t>
        </is>
      </c>
      <c r="H924" t="inlineStr">
        <is>
          <t>No</t>
        </is>
      </c>
      <c r="I924" t="inlineStr">
        <is>
          <t>No</t>
        </is>
      </c>
      <c r="J924" t="inlineStr">
        <is>
          <t>0</t>
        </is>
      </c>
      <c r="K924" t="inlineStr">
        <is>
          <t>Linden, Wolfgang (Professor of clinical and health psychology)</t>
        </is>
      </c>
      <c r="L924" t="inlineStr">
        <is>
          <t>New York : Guilford Press, c1990.</t>
        </is>
      </c>
      <c r="M924" t="inlineStr">
        <is>
          <t>1990</t>
        </is>
      </c>
      <c r="O924" t="inlineStr">
        <is>
          <t>eng</t>
        </is>
      </c>
      <c r="P924" t="inlineStr">
        <is>
          <t>nyu</t>
        </is>
      </c>
      <c r="R924" t="inlineStr">
        <is>
          <t xml:space="preserve">RC </t>
        </is>
      </c>
      <c r="S924" t="n">
        <v>1</v>
      </c>
      <c r="T924" t="n">
        <v>1</v>
      </c>
      <c r="U924" t="inlineStr">
        <is>
          <t>1999-12-04</t>
        </is>
      </c>
      <c r="V924" t="inlineStr">
        <is>
          <t>1999-12-04</t>
        </is>
      </c>
      <c r="W924" t="inlineStr">
        <is>
          <t>1996-11-25</t>
        </is>
      </c>
      <c r="X924" t="inlineStr">
        <is>
          <t>1996-11-25</t>
        </is>
      </c>
      <c r="Y924" t="n">
        <v>150</v>
      </c>
      <c r="Z924" t="n">
        <v>116</v>
      </c>
      <c r="AA924" t="n">
        <v>116</v>
      </c>
      <c r="AB924" t="n">
        <v>1</v>
      </c>
      <c r="AC924" t="n">
        <v>1</v>
      </c>
      <c r="AD924" t="n">
        <v>9</v>
      </c>
      <c r="AE924" t="n">
        <v>9</v>
      </c>
      <c r="AF924" t="n">
        <v>3</v>
      </c>
      <c r="AG924" t="n">
        <v>3</v>
      </c>
      <c r="AH924" t="n">
        <v>2</v>
      </c>
      <c r="AI924" t="n">
        <v>2</v>
      </c>
      <c r="AJ924" t="n">
        <v>6</v>
      </c>
      <c r="AK924" t="n">
        <v>6</v>
      </c>
      <c r="AL924" t="n">
        <v>0</v>
      </c>
      <c r="AM924" t="n">
        <v>0</v>
      </c>
      <c r="AN924" t="n">
        <v>0</v>
      </c>
      <c r="AO924" t="n">
        <v>0</v>
      </c>
      <c r="AP924" t="inlineStr">
        <is>
          <t>No</t>
        </is>
      </c>
      <c r="AQ924" t="inlineStr">
        <is>
          <t>No</t>
        </is>
      </c>
      <c r="AS924">
        <f>HYPERLINK("https://creighton-primo.hosted.exlibrisgroup.com/primo-explore/search?tab=default_tab&amp;search_scope=EVERYTHING&amp;vid=01CRU&amp;lang=en_US&amp;offset=0&amp;query=any,contains,991001768359702656","Catalog Record")</f>
        <v/>
      </c>
      <c r="AT924">
        <f>HYPERLINK("http://www.worldcat.org/oclc/22345117","WorldCat Record")</f>
        <v/>
      </c>
      <c r="AU924" t="inlineStr">
        <is>
          <t>348963443:eng</t>
        </is>
      </c>
      <c r="AV924" t="inlineStr">
        <is>
          <t>22345117</t>
        </is>
      </c>
      <c r="AW924" t="inlineStr">
        <is>
          <t>991001768359702656</t>
        </is>
      </c>
      <c r="AX924" t="inlineStr">
        <is>
          <t>991001768359702656</t>
        </is>
      </c>
      <c r="AY924" t="inlineStr">
        <is>
          <t>2258025730002656</t>
        </is>
      </c>
      <c r="AZ924" t="inlineStr">
        <is>
          <t>BOOK</t>
        </is>
      </c>
      <c r="BB924" t="inlineStr">
        <is>
          <t>9780898625516</t>
        </is>
      </c>
      <c r="BC924" t="inlineStr">
        <is>
          <t>32285002385713</t>
        </is>
      </c>
      <c r="BD924" t="inlineStr">
        <is>
          <t>893334556</t>
        </is>
      </c>
    </row>
    <row r="925">
      <c r="A925" t="inlineStr">
        <is>
          <t>No</t>
        </is>
      </c>
      <c r="B925" t="inlineStr">
        <is>
          <t>RC504 .B35 1990</t>
        </is>
      </c>
      <c r="C925" t="inlineStr">
        <is>
          <t>0                      RC 0504000B  35          1990</t>
        </is>
      </c>
      <c r="D925" t="inlineStr">
        <is>
          <t>Freud's Vienna and other essays / Bruno Bettelheim.</t>
        </is>
      </c>
      <c r="F925" t="inlineStr">
        <is>
          <t>No</t>
        </is>
      </c>
      <c r="G925" t="inlineStr">
        <is>
          <t>1</t>
        </is>
      </c>
      <c r="H925" t="inlineStr">
        <is>
          <t>No</t>
        </is>
      </c>
      <c r="I925" t="inlineStr">
        <is>
          <t>No</t>
        </is>
      </c>
      <c r="J925" t="inlineStr">
        <is>
          <t>0</t>
        </is>
      </c>
      <c r="K925" t="inlineStr">
        <is>
          <t>Bettelheim, Bruno.</t>
        </is>
      </c>
      <c r="L925" t="inlineStr">
        <is>
          <t>New York : Knopf : Distributed by Random House, 1990, c1989.</t>
        </is>
      </c>
      <c r="M925" t="inlineStr">
        <is>
          <t>1990</t>
        </is>
      </c>
      <c r="N925" t="inlineStr">
        <is>
          <t>1st ed.</t>
        </is>
      </c>
      <c r="O925" t="inlineStr">
        <is>
          <t>eng</t>
        </is>
      </c>
      <c r="P925" t="inlineStr">
        <is>
          <t>nyu</t>
        </is>
      </c>
      <c r="R925" t="inlineStr">
        <is>
          <t xml:space="preserve">RC </t>
        </is>
      </c>
      <c r="S925" t="n">
        <v>2</v>
      </c>
      <c r="T925" t="n">
        <v>2</v>
      </c>
      <c r="U925" t="inlineStr">
        <is>
          <t>1998-09-21</t>
        </is>
      </c>
      <c r="V925" t="inlineStr">
        <is>
          <t>1998-09-21</t>
        </is>
      </c>
      <c r="W925" t="inlineStr">
        <is>
          <t>1990-02-13</t>
        </is>
      </c>
      <c r="X925" t="inlineStr">
        <is>
          <t>1990-02-13</t>
        </is>
      </c>
      <c r="Y925" t="n">
        <v>931</v>
      </c>
      <c r="Z925" t="n">
        <v>860</v>
      </c>
      <c r="AA925" t="n">
        <v>947</v>
      </c>
      <c r="AB925" t="n">
        <v>5</v>
      </c>
      <c r="AC925" t="n">
        <v>5</v>
      </c>
      <c r="AD925" t="n">
        <v>30</v>
      </c>
      <c r="AE925" t="n">
        <v>34</v>
      </c>
      <c r="AF925" t="n">
        <v>11</v>
      </c>
      <c r="AG925" t="n">
        <v>12</v>
      </c>
      <c r="AH925" t="n">
        <v>9</v>
      </c>
      <c r="AI925" t="n">
        <v>10</v>
      </c>
      <c r="AJ925" t="n">
        <v>15</v>
      </c>
      <c r="AK925" t="n">
        <v>18</v>
      </c>
      <c r="AL925" t="n">
        <v>3</v>
      </c>
      <c r="AM925" t="n">
        <v>3</v>
      </c>
      <c r="AN925" t="n">
        <v>0</v>
      </c>
      <c r="AO925" t="n">
        <v>0</v>
      </c>
      <c r="AP925" t="inlineStr">
        <is>
          <t>No</t>
        </is>
      </c>
      <c r="AQ925" t="inlineStr">
        <is>
          <t>Yes</t>
        </is>
      </c>
      <c r="AR925">
        <f>HYPERLINK("http://catalog.hathitrust.org/Record/001832840","HathiTrust Record")</f>
        <v/>
      </c>
      <c r="AS925">
        <f>HYPERLINK("https://creighton-primo.hosted.exlibrisgroup.com/primo-explore/search?tab=default_tab&amp;search_scope=EVERYTHING&amp;vid=01CRU&amp;lang=en_US&amp;offset=0&amp;query=any,contains,991001491659702656","Catalog Record")</f>
        <v/>
      </c>
      <c r="AT925">
        <f>HYPERLINK("http://www.worldcat.org/oclc/19723975","WorldCat Record")</f>
        <v/>
      </c>
      <c r="AU925" t="inlineStr">
        <is>
          <t>101211:eng</t>
        </is>
      </c>
      <c r="AV925" t="inlineStr">
        <is>
          <t>19723975</t>
        </is>
      </c>
      <c r="AW925" t="inlineStr">
        <is>
          <t>991001491659702656</t>
        </is>
      </c>
      <c r="AX925" t="inlineStr">
        <is>
          <t>991001491659702656</t>
        </is>
      </c>
      <c r="AY925" t="inlineStr">
        <is>
          <t>2260483550002656</t>
        </is>
      </c>
      <c r="AZ925" t="inlineStr">
        <is>
          <t>BOOK</t>
        </is>
      </c>
      <c r="BB925" t="inlineStr">
        <is>
          <t>9780394572093</t>
        </is>
      </c>
      <c r="BC925" t="inlineStr">
        <is>
          <t>32285000037456</t>
        </is>
      </c>
      <c r="BD925" t="inlineStr">
        <is>
          <t>893596510</t>
        </is>
      </c>
    </row>
    <row r="926">
      <c r="A926" t="inlineStr">
        <is>
          <t>No</t>
        </is>
      </c>
      <c r="B926" t="inlineStr">
        <is>
          <t>RC504 .F32 1973</t>
        </is>
      </c>
      <c r="C926" t="inlineStr">
        <is>
          <t>0                      RC 0504000F  32          1973</t>
        </is>
      </c>
      <c r="D926" t="inlineStr">
        <is>
          <t>Psychoanalytic psychology : the development of Freud's thought / [by] Raymond E. Fancher.</t>
        </is>
      </c>
      <c r="F926" t="inlineStr">
        <is>
          <t>No</t>
        </is>
      </c>
      <c r="G926" t="inlineStr">
        <is>
          <t>1</t>
        </is>
      </c>
      <c r="H926" t="inlineStr">
        <is>
          <t>No</t>
        </is>
      </c>
      <c r="I926" t="inlineStr">
        <is>
          <t>No</t>
        </is>
      </c>
      <c r="J926" t="inlineStr">
        <is>
          <t>0</t>
        </is>
      </c>
      <c r="K926" t="inlineStr">
        <is>
          <t>Fancher, Raymond E.</t>
        </is>
      </c>
      <c r="L926" t="inlineStr">
        <is>
          <t>New York : Norton, [1973]</t>
        </is>
      </c>
      <c r="M926" t="inlineStr">
        <is>
          <t>1973</t>
        </is>
      </c>
      <c r="N926" t="inlineStr">
        <is>
          <t>[1st ed.]</t>
        </is>
      </c>
      <c r="O926" t="inlineStr">
        <is>
          <t>eng</t>
        </is>
      </c>
      <c r="P926" t="inlineStr">
        <is>
          <t>nyu</t>
        </is>
      </c>
      <c r="R926" t="inlineStr">
        <is>
          <t xml:space="preserve">RC </t>
        </is>
      </c>
      <c r="S926" t="n">
        <v>7</v>
      </c>
      <c r="T926" t="n">
        <v>7</v>
      </c>
      <c r="U926" t="inlineStr">
        <is>
          <t>1999-09-25</t>
        </is>
      </c>
      <c r="V926" t="inlineStr">
        <is>
          <t>1999-09-25</t>
        </is>
      </c>
      <c r="W926" t="inlineStr">
        <is>
          <t>1992-11-07</t>
        </is>
      </c>
      <c r="X926" t="inlineStr">
        <is>
          <t>1992-11-07</t>
        </is>
      </c>
      <c r="Y926" t="n">
        <v>845</v>
      </c>
      <c r="Z926" t="n">
        <v>732</v>
      </c>
      <c r="AA926" t="n">
        <v>741</v>
      </c>
      <c r="AB926" t="n">
        <v>6</v>
      </c>
      <c r="AC926" t="n">
        <v>6</v>
      </c>
      <c r="AD926" t="n">
        <v>23</v>
      </c>
      <c r="AE926" t="n">
        <v>23</v>
      </c>
      <c r="AF926" t="n">
        <v>9</v>
      </c>
      <c r="AG926" t="n">
        <v>9</v>
      </c>
      <c r="AH926" t="n">
        <v>5</v>
      </c>
      <c r="AI926" t="n">
        <v>5</v>
      </c>
      <c r="AJ926" t="n">
        <v>10</v>
      </c>
      <c r="AK926" t="n">
        <v>10</v>
      </c>
      <c r="AL926" t="n">
        <v>5</v>
      </c>
      <c r="AM926" t="n">
        <v>5</v>
      </c>
      <c r="AN926" t="n">
        <v>0</v>
      </c>
      <c r="AO926" t="n">
        <v>0</v>
      </c>
      <c r="AP926" t="inlineStr">
        <is>
          <t>No</t>
        </is>
      </c>
      <c r="AQ926" t="inlineStr">
        <is>
          <t>Yes</t>
        </is>
      </c>
      <c r="AR926">
        <f>HYPERLINK("http://catalog.hathitrust.org/Record/001564835","HathiTrust Record")</f>
        <v/>
      </c>
      <c r="AS926">
        <f>HYPERLINK("https://creighton-primo.hosted.exlibrisgroup.com/primo-explore/search?tab=default_tab&amp;search_scope=EVERYTHING&amp;vid=01CRU&amp;lang=en_US&amp;offset=0&amp;query=any,contains,991003005799702656","Catalog Record")</f>
        <v/>
      </c>
      <c r="AT926">
        <f>HYPERLINK("http://www.worldcat.org/oclc/572875","WorldCat Record")</f>
        <v/>
      </c>
      <c r="AU926" t="inlineStr">
        <is>
          <t>422817766:eng</t>
        </is>
      </c>
      <c r="AV926" t="inlineStr">
        <is>
          <t>572875</t>
        </is>
      </c>
      <c r="AW926" t="inlineStr">
        <is>
          <t>991003005799702656</t>
        </is>
      </c>
      <c r="AX926" t="inlineStr">
        <is>
          <t>991003005799702656</t>
        </is>
      </c>
      <c r="AY926" t="inlineStr">
        <is>
          <t>2272574080002656</t>
        </is>
      </c>
      <c r="AZ926" t="inlineStr">
        <is>
          <t>BOOK</t>
        </is>
      </c>
      <c r="BB926" t="inlineStr">
        <is>
          <t>9780393011012</t>
        </is>
      </c>
      <c r="BC926" t="inlineStr">
        <is>
          <t>32285001383115</t>
        </is>
      </c>
      <c r="BD926" t="inlineStr">
        <is>
          <t>893317544</t>
        </is>
      </c>
    </row>
    <row r="927">
      <c r="A927" t="inlineStr">
        <is>
          <t>No</t>
        </is>
      </c>
      <c r="B927" t="inlineStr">
        <is>
          <t>RC504 .G38 1993</t>
        </is>
      </c>
      <c r="C927" t="inlineStr">
        <is>
          <t>0                      RC 0504000G  38          1993</t>
        </is>
      </c>
      <c r="D927" t="inlineStr">
        <is>
          <t>Beyond interpretation : toward a revised theory for psychoanalysis / John E. Gedo.</t>
        </is>
      </c>
      <c r="F927" t="inlineStr">
        <is>
          <t>No</t>
        </is>
      </c>
      <c r="G927" t="inlineStr">
        <is>
          <t>1</t>
        </is>
      </c>
      <c r="H927" t="inlineStr">
        <is>
          <t>No</t>
        </is>
      </c>
      <c r="I927" t="inlineStr">
        <is>
          <t>No</t>
        </is>
      </c>
      <c r="J927" t="inlineStr">
        <is>
          <t>0</t>
        </is>
      </c>
      <c r="K927" t="inlineStr">
        <is>
          <t>Gedo, John E.</t>
        </is>
      </c>
      <c r="L927" t="inlineStr">
        <is>
          <t>Hillsdale, NJ : Analytic Press, 1993.</t>
        </is>
      </c>
      <c r="M927" t="inlineStr">
        <is>
          <t>1993</t>
        </is>
      </c>
      <c r="N927" t="inlineStr">
        <is>
          <t>Rev. ed.</t>
        </is>
      </c>
      <c r="O927" t="inlineStr">
        <is>
          <t>eng</t>
        </is>
      </c>
      <c r="P927" t="inlineStr">
        <is>
          <t>nju</t>
        </is>
      </c>
      <c r="R927" t="inlineStr">
        <is>
          <t xml:space="preserve">RC </t>
        </is>
      </c>
      <c r="S927" t="n">
        <v>3</v>
      </c>
      <c r="T927" t="n">
        <v>3</v>
      </c>
      <c r="U927" t="inlineStr">
        <is>
          <t>1995-02-28</t>
        </is>
      </c>
      <c r="V927" t="inlineStr">
        <is>
          <t>1995-02-28</t>
        </is>
      </c>
      <c r="W927" t="inlineStr">
        <is>
          <t>1994-12-22</t>
        </is>
      </c>
      <c r="X927" t="inlineStr">
        <is>
          <t>1994-12-22</t>
        </is>
      </c>
      <c r="Y927" t="n">
        <v>80</v>
      </c>
      <c r="Z927" t="n">
        <v>66</v>
      </c>
      <c r="AA927" t="n">
        <v>199</v>
      </c>
      <c r="AB927" t="n">
        <v>2</v>
      </c>
      <c r="AC927" t="n">
        <v>3</v>
      </c>
      <c r="AD927" t="n">
        <v>5</v>
      </c>
      <c r="AE927" t="n">
        <v>11</v>
      </c>
      <c r="AF927" t="n">
        <v>1</v>
      </c>
      <c r="AG927" t="n">
        <v>4</v>
      </c>
      <c r="AH927" t="n">
        <v>2</v>
      </c>
      <c r="AI927" t="n">
        <v>2</v>
      </c>
      <c r="AJ927" t="n">
        <v>2</v>
      </c>
      <c r="AK927" t="n">
        <v>5</v>
      </c>
      <c r="AL927" t="n">
        <v>1</v>
      </c>
      <c r="AM927" t="n">
        <v>2</v>
      </c>
      <c r="AN927" t="n">
        <v>0</v>
      </c>
      <c r="AO927" t="n">
        <v>0</v>
      </c>
      <c r="AP927" t="inlineStr">
        <is>
          <t>No</t>
        </is>
      </c>
      <c r="AQ927" t="inlineStr">
        <is>
          <t>No</t>
        </is>
      </c>
      <c r="AS927">
        <f>HYPERLINK("https://creighton-primo.hosted.exlibrisgroup.com/primo-explore/search?tab=default_tab&amp;search_scope=EVERYTHING&amp;vid=01CRU&amp;lang=en_US&amp;offset=0&amp;query=any,contains,991002235219702656","Catalog Record")</f>
        <v/>
      </c>
      <c r="AT927">
        <f>HYPERLINK("http://www.worldcat.org/oclc/28801802","WorldCat Record")</f>
        <v/>
      </c>
      <c r="AU927" t="inlineStr">
        <is>
          <t>9380875218:eng</t>
        </is>
      </c>
      <c r="AV927" t="inlineStr">
        <is>
          <t>28801802</t>
        </is>
      </c>
      <c r="AW927" t="inlineStr">
        <is>
          <t>991002235219702656</t>
        </is>
      </c>
      <c r="AX927" t="inlineStr">
        <is>
          <t>991002235219702656</t>
        </is>
      </c>
      <c r="AY927" t="inlineStr">
        <is>
          <t>2258991550002656</t>
        </is>
      </c>
      <c r="AZ927" t="inlineStr">
        <is>
          <t>BOOK</t>
        </is>
      </c>
      <c r="BB927" t="inlineStr">
        <is>
          <t>9780881631647</t>
        </is>
      </c>
      <c r="BC927" t="inlineStr">
        <is>
          <t>32285001978831</t>
        </is>
      </c>
      <c r="BD927" t="inlineStr">
        <is>
          <t>893523360</t>
        </is>
      </c>
    </row>
    <row r="928">
      <c r="A928" t="inlineStr">
        <is>
          <t>No</t>
        </is>
      </c>
      <c r="B928" t="inlineStr">
        <is>
          <t>RC504 .G7 v...</t>
        </is>
      </c>
      <c r="C928" t="inlineStr">
        <is>
          <t>0                      RC 0504000G  7                                                       v...</t>
        </is>
      </c>
      <c r="D928" t="inlineStr">
        <is>
          <t>The technique and practice of psychoanalysis [by] Ralph R. Greenson.</t>
        </is>
      </c>
      <c r="E928" t="inlineStr">
        <is>
          <t>v...*</t>
        </is>
      </c>
      <c r="F928" t="inlineStr">
        <is>
          <t>No</t>
        </is>
      </c>
      <c r="G928" t="inlineStr">
        <is>
          <t>1</t>
        </is>
      </c>
      <c r="H928" t="inlineStr">
        <is>
          <t>No</t>
        </is>
      </c>
      <c r="I928" t="inlineStr">
        <is>
          <t>No</t>
        </is>
      </c>
      <c r="J928" t="inlineStr">
        <is>
          <t>0</t>
        </is>
      </c>
      <c r="K928" t="inlineStr">
        <is>
          <t>Greenson, Ralph R. (Ralph Romeo), 1911-1979.</t>
        </is>
      </c>
      <c r="L928" t="inlineStr">
        <is>
          <t>New York, International Universities Press [1967-</t>
        </is>
      </c>
      <c r="M928" t="inlineStr">
        <is>
          <t>1967</t>
        </is>
      </c>
      <c r="O928" t="inlineStr">
        <is>
          <t>eng</t>
        </is>
      </c>
      <c r="P928" t="inlineStr">
        <is>
          <t>nyu</t>
        </is>
      </c>
      <c r="R928" t="inlineStr">
        <is>
          <t xml:space="preserve">RC </t>
        </is>
      </c>
      <c r="S928" t="n">
        <v>3</v>
      </c>
      <c r="T928" t="n">
        <v>3</v>
      </c>
      <c r="U928" t="inlineStr">
        <is>
          <t>1994-12-01</t>
        </is>
      </c>
      <c r="V928" t="inlineStr">
        <is>
          <t>1994-12-01</t>
        </is>
      </c>
      <c r="W928" t="inlineStr">
        <is>
          <t>1993-03-23</t>
        </is>
      </c>
      <c r="X928" t="inlineStr">
        <is>
          <t>1993-03-23</t>
        </is>
      </c>
      <c r="Y928" t="n">
        <v>466</v>
      </c>
      <c r="Z928" t="n">
        <v>434</v>
      </c>
      <c r="AA928" t="n">
        <v>471</v>
      </c>
      <c r="AB928" t="n">
        <v>4</v>
      </c>
      <c r="AC928" t="n">
        <v>4</v>
      </c>
      <c r="AD928" t="n">
        <v>15</v>
      </c>
      <c r="AE928" t="n">
        <v>17</v>
      </c>
      <c r="AF928" t="n">
        <v>3</v>
      </c>
      <c r="AG928" t="n">
        <v>3</v>
      </c>
      <c r="AH928" t="n">
        <v>2</v>
      </c>
      <c r="AI928" t="n">
        <v>3</v>
      </c>
      <c r="AJ928" t="n">
        <v>9</v>
      </c>
      <c r="AK928" t="n">
        <v>10</v>
      </c>
      <c r="AL928" t="n">
        <v>3</v>
      </c>
      <c r="AM928" t="n">
        <v>3</v>
      </c>
      <c r="AN928" t="n">
        <v>0</v>
      </c>
      <c r="AO928" t="n">
        <v>0</v>
      </c>
      <c r="AP928" t="inlineStr">
        <is>
          <t>No</t>
        </is>
      </c>
      <c r="AQ928" t="inlineStr">
        <is>
          <t>Yes</t>
        </is>
      </c>
      <c r="AR928">
        <f>HYPERLINK("http://catalog.hathitrust.org/Record/000737678","HathiTrust Record")</f>
        <v/>
      </c>
      <c r="AS928">
        <f>HYPERLINK("https://creighton-primo.hosted.exlibrisgroup.com/primo-explore/search?tab=default_tab&amp;search_scope=EVERYTHING&amp;vid=01CRU&amp;lang=en_US&amp;offset=0&amp;query=any,contains,991000961169702656","Catalog Record")</f>
        <v/>
      </c>
      <c r="AT928">
        <f>HYPERLINK("http://www.worldcat.org/oclc/169313","WorldCat Record")</f>
        <v/>
      </c>
      <c r="AU928" t="inlineStr">
        <is>
          <t>8907298267:eng</t>
        </is>
      </c>
      <c r="AV928" t="inlineStr">
        <is>
          <t>169313</t>
        </is>
      </c>
      <c r="AW928" t="inlineStr">
        <is>
          <t>991000961169702656</t>
        </is>
      </c>
      <c r="AX928" t="inlineStr">
        <is>
          <t>991000961169702656</t>
        </is>
      </c>
      <c r="AY928" t="inlineStr">
        <is>
          <t>2264013470002656</t>
        </is>
      </c>
      <c r="AZ928" t="inlineStr">
        <is>
          <t>BOOK</t>
        </is>
      </c>
      <c r="BC928" t="inlineStr">
        <is>
          <t>32285001607174</t>
        </is>
      </c>
      <c r="BD928" t="inlineStr">
        <is>
          <t>893897374</t>
        </is>
      </c>
    </row>
    <row r="929">
      <c r="A929" t="inlineStr">
        <is>
          <t>No</t>
        </is>
      </c>
      <c r="B929" t="inlineStr">
        <is>
          <t>RC506 .C58 1992</t>
        </is>
      </c>
      <c r="C929" t="inlineStr">
        <is>
          <t>0                      RC 0506000C  58          1992</t>
        </is>
      </c>
      <c r="D929" t="inlineStr">
        <is>
          <t>Child and adult development : a psychoanalytic introduction for clinicians / Calvin A. Colarusso.</t>
        </is>
      </c>
      <c r="F929" t="inlineStr">
        <is>
          <t>No</t>
        </is>
      </c>
      <c r="G929" t="inlineStr">
        <is>
          <t>1</t>
        </is>
      </c>
      <c r="H929" t="inlineStr">
        <is>
          <t>No</t>
        </is>
      </c>
      <c r="I929" t="inlineStr">
        <is>
          <t>No</t>
        </is>
      </c>
      <c r="J929" t="inlineStr">
        <is>
          <t>0</t>
        </is>
      </c>
      <c r="K929" t="inlineStr">
        <is>
          <t>Colarusso, Calvin A.</t>
        </is>
      </c>
      <c r="L929" t="inlineStr">
        <is>
          <t>New York : Plenum Press, c1992.</t>
        </is>
      </c>
      <c r="M929" t="inlineStr">
        <is>
          <t>1992</t>
        </is>
      </c>
      <c r="O929" t="inlineStr">
        <is>
          <t>eng</t>
        </is>
      </c>
      <c r="P929" t="inlineStr">
        <is>
          <t>nyu</t>
        </is>
      </c>
      <c r="Q929" t="inlineStr">
        <is>
          <t>Critical issues in psychiatry</t>
        </is>
      </c>
      <c r="R929" t="inlineStr">
        <is>
          <t xml:space="preserve">RC </t>
        </is>
      </c>
      <c r="S929" t="n">
        <v>17</v>
      </c>
      <c r="T929" t="n">
        <v>17</v>
      </c>
      <c r="U929" t="inlineStr">
        <is>
          <t>2009-02-18</t>
        </is>
      </c>
      <c r="V929" t="inlineStr">
        <is>
          <t>2009-02-18</t>
        </is>
      </c>
      <c r="W929" t="inlineStr">
        <is>
          <t>1993-01-14</t>
        </is>
      </c>
      <c r="X929" t="inlineStr">
        <is>
          <t>1993-01-14</t>
        </is>
      </c>
      <c r="Y929" t="n">
        <v>237</v>
      </c>
      <c r="Z929" t="n">
        <v>178</v>
      </c>
      <c r="AA929" t="n">
        <v>195</v>
      </c>
      <c r="AB929" t="n">
        <v>3</v>
      </c>
      <c r="AC929" t="n">
        <v>3</v>
      </c>
      <c r="AD929" t="n">
        <v>7</v>
      </c>
      <c r="AE929" t="n">
        <v>7</v>
      </c>
      <c r="AF929" t="n">
        <v>1</v>
      </c>
      <c r="AG929" t="n">
        <v>1</v>
      </c>
      <c r="AH929" t="n">
        <v>2</v>
      </c>
      <c r="AI929" t="n">
        <v>2</v>
      </c>
      <c r="AJ929" t="n">
        <v>4</v>
      </c>
      <c r="AK929" t="n">
        <v>4</v>
      </c>
      <c r="AL929" t="n">
        <v>2</v>
      </c>
      <c r="AM929" t="n">
        <v>2</v>
      </c>
      <c r="AN929" t="n">
        <v>0</v>
      </c>
      <c r="AO929" t="n">
        <v>0</v>
      </c>
      <c r="AP929" t="inlineStr">
        <is>
          <t>No</t>
        </is>
      </c>
      <c r="AQ929" t="inlineStr">
        <is>
          <t>No</t>
        </is>
      </c>
      <c r="AS929">
        <f>HYPERLINK("https://creighton-primo.hosted.exlibrisgroup.com/primo-explore/search?tab=default_tab&amp;search_scope=EVERYTHING&amp;vid=01CRU&amp;lang=en_US&amp;offset=0&amp;query=any,contains,991002051169702656","Catalog Record")</f>
        <v/>
      </c>
      <c r="AT929">
        <f>HYPERLINK("http://www.worldcat.org/oclc/26163655","WorldCat Record")</f>
        <v/>
      </c>
      <c r="AU929" t="inlineStr">
        <is>
          <t>796281862:eng</t>
        </is>
      </c>
      <c r="AV929" t="inlineStr">
        <is>
          <t>26163655</t>
        </is>
      </c>
      <c r="AW929" t="inlineStr">
        <is>
          <t>991002051169702656</t>
        </is>
      </c>
      <c r="AX929" t="inlineStr">
        <is>
          <t>991002051169702656</t>
        </is>
      </c>
      <c r="AY929" t="inlineStr">
        <is>
          <t>2271042690002656</t>
        </is>
      </c>
      <c r="AZ929" t="inlineStr">
        <is>
          <t>BOOK</t>
        </is>
      </c>
      <c r="BB929" t="inlineStr">
        <is>
          <t>9780306442858</t>
        </is>
      </c>
      <c r="BC929" t="inlineStr">
        <is>
          <t>32285001446037</t>
        </is>
      </c>
      <c r="BD929" t="inlineStr">
        <is>
          <t>893427152</t>
        </is>
      </c>
    </row>
    <row r="930">
      <c r="A930" t="inlineStr">
        <is>
          <t>No</t>
        </is>
      </c>
      <c r="B930" t="inlineStr">
        <is>
          <t>RC506 .F558</t>
        </is>
      </c>
      <c r="C930" t="inlineStr">
        <is>
          <t>0                      RC 0506000F  558</t>
        </is>
      </c>
      <c r="D930" t="inlineStr">
        <is>
          <t>Hello Sigmund, this is Eric : psychoanalysis and TA in dialogue / Louis H. Forman and Janelle Smith Ramsburg.</t>
        </is>
      </c>
      <c r="F930" t="inlineStr">
        <is>
          <t>No</t>
        </is>
      </c>
      <c r="G930" t="inlineStr">
        <is>
          <t>1</t>
        </is>
      </c>
      <c r="H930" t="inlineStr">
        <is>
          <t>No</t>
        </is>
      </c>
      <c r="I930" t="inlineStr">
        <is>
          <t>No</t>
        </is>
      </c>
      <c r="J930" t="inlineStr">
        <is>
          <t>0</t>
        </is>
      </c>
      <c r="K930" t="inlineStr">
        <is>
          <t>Forman, Louis H.</t>
        </is>
      </c>
      <c r="L930" t="inlineStr">
        <is>
          <t>Kansas City : S. Andrews and McMeel, c1978.</t>
        </is>
      </c>
      <c r="M930" t="inlineStr">
        <is>
          <t>1978</t>
        </is>
      </c>
      <c r="O930" t="inlineStr">
        <is>
          <t>eng</t>
        </is>
      </c>
      <c r="P930" t="inlineStr">
        <is>
          <t>ksu</t>
        </is>
      </c>
      <c r="R930" t="inlineStr">
        <is>
          <t xml:space="preserve">RC </t>
        </is>
      </c>
      <c r="S930" t="n">
        <v>7</v>
      </c>
      <c r="T930" t="n">
        <v>7</v>
      </c>
      <c r="U930" t="inlineStr">
        <is>
          <t>1997-01-09</t>
        </is>
      </c>
      <c r="V930" t="inlineStr">
        <is>
          <t>1997-01-09</t>
        </is>
      </c>
      <c r="W930" t="inlineStr">
        <is>
          <t>1993-03-23</t>
        </is>
      </c>
      <c r="X930" t="inlineStr">
        <is>
          <t>1993-03-23</t>
        </is>
      </c>
      <c r="Y930" t="n">
        <v>116</v>
      </c>
      <c r="Z930" t="n">
        <v>106</v>
      </c>
      <c r="AA930" t="n">
        <v>106</v>
      </c>
      <c r="AB930" t="n">
        <v>2</v>
      </c>
      <c r="AC930" t="n">
        <v>2</v>
      </c>
      <c r="AD930" t="n">
        <v>2</v>
      </c>
      <c r="AE930" t="n">
        <v>2</v>
      </c>
      <c r="AF930" t="n">
        <v>0</v>
      </c>
      <c r="AG930" t="n">
        <v>0</v>
      </c>
      <c r="AH930" t="n">
        <v>0</v>
      </c>
      <c r="AI930" t="n">
        <v>0</v>
      </c>
      <c r="AJ930" t="n">
        <v>1</v>
      </c>
      <c r="AK930" t="n">
        <v>1</v>
      </c>
      <c r="AL930" t="n">
        <v>1</v>
      </c>
      <c r="AM930" t="n">
        <v>1</v>
      </c>
      <c r="AN930" t="n">
        <v>0</v>
      </c>
      <c r="AO930" t="n">
        <v>0</v>
      </c>
      <c r="AP930" t="inlineStr">
        <is>
          <t>No</t>
        </is>
      </c>
      <c r="AQ930" t="inlineStr">
        <is>
          <t>No</t>
        </is>
      </c>
      <c r="AS930">
        <f>HYPERLINK("https://creighton-primo.hosted.exlibrisgroup.com/primo-explore/search?tab=default_tab&amp;search_scope=EVERYTHING&amp;vid=01CRU&amp;lang=en_US&amp;offset=0&amp;query=any,contains,991004561769702656","Catalog Record")</f>
        <v/>
      </c>
      <c r="AT930">
        <f>HYPERLINK("http://www.worldcat.org/oclc/4003442","WorldCat Record")</f>
        <v/>
      </c>
      <c r="AU930" t="inlineStr">
        <is>
          <t>13596506:eng</t>
        </is>
      </c>
      <c r="AV930" t="inlineStr">
        <is>
          <t>4003442</t>
        </is>
      </c>
      <c r="AW930" t="inlineStr">
        <is>
          <t>991004561769702656</t>
        </is>
      </c>
      <c r="AX930" t="inlineStr">
        <is>
          <t>991004561769702656</t>
        </is>
      </c>
      <c r="AY930" t="inlineStr">
        <is>
          <t>2267663590002656</t>
        </is>
      </c>
      <c r="AZ930" t="inlineStr">
        <is>
          <t>BOOK</t>
        </is>
      </c>
      <c r="BB930" t="inlineStr">
        <is>
          <t>9780836207545</t>
        </is>
      </c>
      <c r="BC930" t="inlineStr">
        <is>
          <t>32285001607190</t>
        </is>
      </c>
      <c r="BD930" t="inlineStr">
        <is>
          <t>893532541</t>
        </is>
      </c>
    </row>
    <row r="931">
      <c r="A931" t="inlineStr">
        <is>
          <t>No</t>
        </is>
      </c>
      <c r="B931" t="inlineStr">
        <is>
          <t>RC506 .F69713</t>
        </is>
      </c>
      <c r="C931" t="inlineStr">
        <is>
          <t>0                      RC 0506000F  69713</t>
        </is>
      </c>
      <c r="D931" t="inlineStr">
        <is>
          <t>The Freud/Jung letters; the correspondence between Sigmund Freud and C. G. Jung. Edited by William McGuire. Translated by Ralph Manheim and R. F. C. Hull.</t>
        </is>
      </c>
      <c r="F931" t="inlineStr">
        <is>
          <t>No</t>
        </is>
      </c>
      <c r="G931" t="inlineStr">
        <is>
          <t>1</t>
        </is>
      </c>
      <c r="H931" t="inlineStr">
        <is>
          <t>No</t>
        </is>
      </c>
      <c r="I931" t="inlineStr">
        <is>
          <t>Yes</t>
        </is>
      </c>
      <c r="J931" t="inlineStr">
        <is>
          <t>0</t>
        </is>
      </c>
      <c r="K931" t="inlineStr">
        <is>
          <t>Freud, Sigmund, 1856-1939.</t>
        </is>
      </c>
      <c r="L931" t="inlineStr">
        <is>
          <t>[Princeton, N.J.] Princeton University Press [1974]</t>
        </is>
      </c>
      <c r="M931" t="inlineStr">
        <is>
          <t>1974</t>
        </is>
      </c>
      <c r="O931" t="inlineStr">
        <is>
          <t>eng</t>
        </is>
      </c>
      <c r="P931" t="inlineStr">
        <is>
          <t>nju</t>
        </is>
      </c>
      <c r="Q931" t="inlineStr">
        <is>
          <t>Bollingen series ; 94</t>
        </is>
      </c>
      <c r="R931" t="inlineStr">
        <is>
          <t xml:space="preserve">RC </t>
        </is>
      </c>
      <c r="S931" t="n">
        <v>3</v>
      </c>
      <c r="T931" t="n">
        <v>3</v>
      </c>
      <c r="U931" t="inlineStr">
        <is>
          <t>1999-04-27</t>
        </is>
      </c>
      <c r="V931" t="inlineStr">
        <is>
          <t>1999-04-27</t>
        </is>
      </c>
      <c r="W931" t="inlineStr">
        <is>
          <t>1997-08-12</t>
        </is>
      </c>
      <c r="X931" t="inlineStr">
        <is>
          <t>1997-08-12</t>
        </is>
      </c>
      <c r="Y931" t="n">
        <v>1328</v>
      </c>
      <c r="Z931" t="n">
        <v>1211</v>
      </c>
      <c r="AA931" t="n">
        <v>1336</v>
      </c>
      <c r="AB931" t="n">
        <v>8</v>
      </c>
      <c r="AC931" t="n">
        <v>9</v>
      </c>
      <c r="AD931" t="n">
        <v>41</v>
      </c>
      <c r="AE931" t="n">
        <v>44</v>
      </c>
      <c r="AF931" t="n">
        <v>18</v>
      </c>
      <c r="AG931" t="n">
        <v>18</v>
      </c>
      <c r="AH931" t="n">
        <v>9</v>
      </c>
      <c r="AI931" t="n">
        <v>10</v>
      </c>
      <c r="AJ931" t="n">
        <v>19</v>
      </c>
      <c r="AK931" t="n">
        <v>20</v>
      </c>
      <c r="AL931" t="n">
        <v>5</v>
      </c>
      <c r="AM931" t="n">
        <v>6</v>
      </c>
      <c r="AN931" t="n">
        <v>0</v>
      </c>
      <c r="AO931" t="n">
        <v>0</v>
      </c>
      <c r="AP931" t="inlineStr">
        <is>
          <t>No</t>
        </is>
      </c>
      <c r="AQ931" t="inlineStr">
        <is>
          <t>No</t>
        </is>
      </c>
      <c r="AS931">
        <f>HYPERLINK("https://creighton-primo.hosted.exlibrisgroup.com/primo-explore/search?tab=default_tab&amp;search_scope=EVERYTHING&amp;vid=01CRU&amp;lang=en_US&amp;offset=0&amp;query=any,contains,991003190109702656","Catalog Record")</f>
        <v/>
      </c>
      <c r="AT931">
        <f>HYPERLINK("http://www.worldcat.org/oclc/715417","WorldCat Record")</f>
        <v/>
      </c>
      <c r="AU931" t="inlineStr">
        <is>
          <t>1059148331:eng</t>
        </is>
      </c>
      <c r="AV931" t="inlineStr">
        <is>
          <t>715417</t>
        </is>
      </c>
      <c r="AW931" t="inlineStr">
        <is>
          <t>991003190109702656</t>
        </is>
      </c>
      <c r="AX931" t="inlineStr">
        <is>
          <t>991003190109702656</t>
        </is>
      </c>
      <c r="AY931" t="inlineStr">
        <is>
          <t>2256975070002656</t>
        </is>
      </c>
      <c r="AZ931" t="inlineStr">
        <is>
          <t>BOOK</t>
        </is>
      </c>
      <c r="BB931" t="inlineStr">
        <is>
          <t>9780691098906</t>
        </is>
      </c>
      <c r="BC931" t="inlineStr">
        <is>
          <t>32285003092243</t>
        </is>
      </c>
      <c r="BD931" t="inlineStr">
        <is>
          <t>893717396</t>
        </is>
      </c>
    </row>
    <row r="932">
      <c r="A932" t="inlineStr">
        <is>
          <t>No</t>
        </is>
      </c>
      <c r="B932" t="inlineStr">
        <is>
          <t>RC506 .G7613 1977</t>
        </is>
      </c>
      <c r="C932" t="inlineStr">
        <is>
          <t>0                      RC 0506000G  7613        1977</t>
        </is>
      </c>
      <c r="D932" t="inlineStr">
        <is>
          <t>The meaning of illness : selected psychoanalytic writings / by Georg Groddeck, including his correspondence with Sigmund Freud ; selected, and with an introd. by Lore Schacht ; translated by Gertrud Mander.</t>
        </is>
      </c>
      <c r="F932" t="inlineStr">
        <is>
          <t>No</t>
        </is>
      </c>
      <c r="G932" t="inlineStr">
        <is>
          <t>1</t>
        </is>
      </c>
      <c r="H932" t="inlineStr">
        <is>
          <t>No</t>
        </is>
      </c>
      <c r="I932" t="inlineStr">
        <is>
          <t>No</t>
        </is>
      </c>
      <c r="J932" t="inlineStr">
        <is>
          <t>0</t>
        </is>
      </c>
      <c r="K932" t="inlineStr">
        <is>
          <t>Groddeck, Georg, 1866-1934.</t>
        </is>
      </c>
      <c r="L932" t="inlineStr">
        <is>
          <t>New York : International Universities Press, 1977.</t>
        </is>
      </c>
      <c r="M932" t="inlineStr">
        <is>
          <t>1977</t>
        </is>
      </c>
      <c r="O932" t="inlineStr">
        <is>
          <t>eng</t>
        </is>
      </c>
      <c r="P932" t="inlineStr">
        <is>
          <t>nyu</t>
        </is>
      </c>
      <c r="R932" t="inlineStr">
        <is>
          <t xml:space="preserve">RC </t>
        </is>
      </c>
      <c r="S932" t="n">
        <v>2</v>
      </c>
      <c r="T932" t="n">
        <v>2</v>
      </c>
      <c r="U932" t="inlineStr">
        <is>
          <t>1993-11-13</t>
        </is>
      </c>
      <c r="V932" t="inlineStr">
        <is>
          <t>1993-11-13</t>
        </is>
      </c>
      <c r="W932" t="inlineStr">
        <is>
          <t>1993-03-23</t>
        </is>
      </c>
      <c r="X932" t="inlineStr">
        <is>
          <t>1993-03-23</t>
        </is>
      </c>
      <c r="Y932" t="n">
        <v>241</v>
      </c>
      <c r="Z932" t="n">
        <v>214</v>
      </c>
      <c r="AA932" t="n">
        <v>244</v>
      </c>
      <c r="AB932" t="n">
        <v>2</v>
      </c>
      <c r="AC932" t="n">
        <v>2</v>
      </c>
      <c r="AD932" t="n">
        <v>5</v>
      </c>
      <c r="AE932" t="n">
        <v>6</v>
      </c>
      <c r="AF932" t="n">
        <v>0</v>
      </c>
      <c r="AG932" t="n">
        <v>0</v>
      </c>
      <c r="AH932" t="n">
        <v>1</v>
      </c>
      <c r="AI932" t="n">
        <v>2</v>
      </c>
      <c r="AJ932" t="n">
        <v>3</v>
      </c>
      <c r="AK932" t="n">
        <v>4</v>
      </c>
      <c r="AL932" t="n">
        <v>1</v>
      </c>
      <c r="AM932" t="n">
        <v>1</v>
      </c>
      <c r="AN932" t="n">
        <v>0</v>
      </c>
      <c r="AO932" t="n">
        <v>0</v>
      </c>
      <c r="AP932" t="inlineStr">
        <is>
          <t>No</t>
        </is>
      </c>
      <c r="AQ932" t="inlineStr">
        <is>
          <t>Yes</t>
        </is>
      </c>
      <c r="AR932">
        <f>HYPERLINK("http://catalog.hathitrust.org/Record/002190693","HathiTrust Record")</f>
        <v/>
      </c>
      <c r="AS932">
        <f>HYPERLINK("https://creighton-primo.hosted.exlibrisgroup.com/primo-explore/search?tab=default_tab&amp;search_scope=EVERYTHING&amp;vid=01CRU&amp;lang=en_US&amp;offset=0&amp;query=any,contains,991004388339702656","Catalog Record")</f>
        <v/>
      </c>
      <c r="AT932">
        <f>HYPERLINK("http://www.worldcat.org/oclc/3252103","WorldCat Record")</f>
        <v/>
      </c>
      <c r="AU932" t="inlineStr">
        <is>
          <t>11580061:eng</t>
        </is>
      </c>
      <c r="AV932" t="inlineStr">
        <is>
          <t>3252103</t>
        </is>
      </c>
      <c r="AW932" t="inlineStr">
        <is>
          <t>991004388339702656</t>
        </is>
      </c>
      <c r="AX932" t="inlineStr">
        <is>
          <t>991004388339702656</t>
        </is>
      </c>
      <c r="AY932" t="inlineStr">
        <is>
          <t>2255441440002656</t>
        </is>
      </c>
      <c r="AZ932" t="inlineStr">
        <is>
          <t>BOOK</t>
        </is>
      </c>
      <c r="BB932" t="inlineStr">
        <is>
          <t>9780823632053</t>
        </is>
      </c>
      <c r="BC932" t="inlineStr">
        <is>
          <t>32285001607497</t>
        </is>
      </c>
      <c r="BD932" t="inlineStr">
        <is>
          <t>893337667</t>
        </is>
      </c>
    </row>
    <row r="933">
      <c r="A933" t="inlineStr">
        <is>
          <t>No</t>
        </is>
      </c>
      <c r="B933" t="inlineStr">
        <is>
          <t>RC506 .I553 1992</t>
        </is>
      </c>
      <c r="C933" t="inlineStr">
        <is>
          <t>0                      RC 0506000I  553         1992</t>
        </is>
      </c>
      <c r="D933" t="inlineStr">
        <is>
          <t>Interface of psychoanalysis and psychology / James W. Barron, Morris N. Eagle, David L. Wolitzky, editors.</t>
        </is>
      </c>
      <c r="F933" t="inlineStr">
        <is>
          <t>No</t>
        </is>
      </c>
      <c r="G933" t="inlineStr">
        <is>
          <t>1</t>
        </is>
      </c>
      <c r="H933" t="inlineStr">
        <is>
          <t>No</t>
        </is>
      </c>
      <c r="I933" t="inlineStr">
        <is>
          <t>No</t>
        </is>
      </c>
      <c r="J933" t="inlineStr">
        <is>
          <t>0</t>
        </is>
      </c>
      <c r="L933" t="inlineStr">
        <is>
          <t>Washington, DC : American Psychological Association, 1992.</t>
        </is>
      </c>
      <c r="M933" t="inlineStr">
        <is>
          <t>1992</t>
        </is>
      </c>
      <c r="O933" t="inlineStr">
        <is>
          <t>eng</t>
        </is>
      </c>
      <c r="P933" t="inlineStr">
        <is>
          <t>dcu</t>
        </is>
      </c>
      <c r="R933" t="inlineStr">
        <is>
          <t xml:space="preserve">RC </t>
        </is>
      </c>
      <c r="S933" t="n">
        <v>4</v>
      </c>
      <c r="T933" t="n">
        <v>4</v>
      </c>
      <c r="U933" t="inlineStr">
        <is>
          <t>2004-06-16</t>
        </is>
      </c>
      <c r="V933" t="inlineStr">
        <is>
          <t>2004-06-16</t>
        </is>
      </c>
      <c r="W933" t="inlineStr">
        <is>
          <t>1992-10-09</t>
        </is>
      </c>
      <c r="X933" t="inlineStr">
        <is>
          <t>1992-10-09</t>
        </is>
      </c>
      <c r="Y933" t="n">
        <v>298</v>
      </c>
      <c r="Z933" t="n">
        <v>225</v>
      </c>
      <c r="AA933" t="n">
        <v>297</v>
      </c>
      <c r="AB933" t="n">
        <v>1</v>
      </c>
      <c r="AC933" t="n">
        <v>2</v>
      </c>
      <c r="AD933" t="n">
        <v>9</v>
      </c>
      <c r="AE933" t="n">
        <v>14</v>
      </c>
      <c r="AF933" t="n">
        <v>4</v>
      </c>
      <c r="AG933" t="n">
        <v>6</v>
      </c>
      <c r="AH933" t="n">
        <v>2</v>
      </c>
      <c r="AI933" t="n">
        <v>2</v>
      </c>
      <c r="AJ933" t="n">
        <v>6</v>
      </c>
      <c r="AK933" t="n">
        <v>8</v>
      </c>
      <c r="AL933" t="n">
        <v>0</v>
      </c>
      <c r="AM933" t="n">
        <v>1</v>
      </c>
      <c r="AN933" t="n">
        <v>0</v>
      </c>
      <c r="AO933" t="n">
        <v>0</v>
      </c>
      <c r="AP933" t="inlineStr">
        <is>
          <t>No</t>
        </is>
      </c>
      <c r="AQ933" t="inlineStr">
        <is>
          <t>No</t>
        </is>
      </c>
      <c r="AS933">
        <f>HYPERLINK("https://creighton-primo.hosted.exlibrisgroup.com/primo-explore/search?tab=default_tab&amp;search_scope=EVERYTHING&amp;vid=01CRU&amp;lang=en_US&amp;offset=0&amp;query=any,contains,991002013569702656","Catalog Record")</f>
        <v/>
      </c>
      <c r="AT933">
        <f>HYPERLINK("http://www.worldcat.org/oclc/25593453","WorldCat Record")</f>
        <v/>
      </c>
      <c r="AU933" t="inlineStr">
        <is>
          <t>1078472538:eng</t>
        </is>
      </c>
      <c r="AV933" t="inlineStr">
        <is>
          <t>25593453</t>
        </is>
      </c>
      <c r="AW933" t="inlineStr">
        <is>
          <t>991002013569702656</t>
        </is>
      </c>
      <c r="AX933" t="inlineStr">
        <is>
          <t>991002013569702656</t>
        </is>
      </c>
      <c r="AY933" t="inlineStr">
        <is>
          <t>2259894210002656</t>
        </is>
      </c>
      <c r="AZ933" t="inlineStr">
        <is>
          <t>BOOK</t>
        </is>
      </c>
      <c r="BB933" t="inlineStr">
        <is>
          <t>9781557981561</t>
        </is>
      </c>
      <c r="BC933" t="inlineStr">
        <is>
          <t>32285001369478</t>
        </is>
      </c>
      <c r="BD933" t="inlineStr">
        <is>
          <t>893885747</t>
        </is>
      </c>
    </row>
    <row r="934">
      <c r="A934" t="inlineStr">
        <is>
          <t>No</t>
        </is>
      </c>
      <c r="B934" t="inlineStr">
        <is>
          <t>RC506 .L58</t>
        </is>
      </c>
      <c r="C934" t="inlineStr">
        <is>
          <t>0                      RC 0506000L  58</t>
        </is>
      </c>
      <c r="D934" t="inlineStr">
        <is>
          <t>Adolescents : psychoanalytic approach to problems and therapy / by 19 contributors. Edited by Sandor Lorand and Henry I. Schneer. Foreword by David M. Engelhardt.</t>
        </is>
      </c>
      <c r="F934" t="inlineStr">
        <is>
          <t>No</t>
        </is>
      </c>
      <c r="G934" t="inlineStr">
        <is>
          <t>1</t>
        </is>
      </c>
      <c r="H934" t="inlineStr">
        <is>
          <t>No</t>
        </is>
      </c>
      <c r="I934" t="inlineStr">
        <is>
          <t>No</t>
        </is>
      </c>
      <c r="J934" t="inlineStr">
        <is>
          <t>0</t>
        </is>
      </c>
      <c r="K934" t="inlineStr">
        <is>
          <t>Lorand, Sándor, 1892-1987, editor.</t>
        </is>
      </c>
      <c r="L934" t="inlineStr">
        <is>
          <t>[New York] : P. B. Hoeber, [1961]</t>
        </is>
      </c>
      <c r="M934" t="inlineStr">
        <is>
          <t>1961</t>
        </is>
      </c>
      <c r="O934" t="inlineStr">
        <is>
          <t>eng</t>
        </is>
      </c>
      <c r="P934" t="inlineStr">
        <is>
          <t>nyu</t>
        </is>
      </c>
      <c r="R934" t="inlineStr">
        <is>
          <t xml:space="preserve">RC </t>
        </is>
      </c>
      <c r="S934" t="n">
        <v>2</v>
      </c>
      <c r="T934" t="n">
        <v>2</v>
      </c>
      <c r="U934" t="inlineStr">
        <is>
          <t>1994-01-31</t>
        </is>
      </c>
      <c r="V934" t="inlineStr">
        <is>
          <t>1994-01-31</t>
        </is>
      </c>
      <c r="W934" t="inlineStr">
        <is>
          <t>1993-12-13</t>
        </is>
      </c>
      <c r="X934" t="inlineStr">
        <is>
          <t>1993-12-13</t>
        </is>
      </c>
      <c r="Y934" t="n">
        <v>468</v>
      </c>
      <c r="Z934" t="n">
        <v>413</v>
      </c>
      <c r="AA934" t="n">
        <v>458</v>
      </c>
      <c r="AB934" t="n">
        <v>5</v>
      </c>
      <c r="AC934" t="n">
        <v>6</v>
      </c>
      <c r="AD934" t="n">
        <v>18</v>
      </c>
      <c r="AE934" t="n">
        <v>22</v>
      </c>
      <c r="AF934" t="n">
        <v>4</v>
      </c>
      <c r="AG934" t="n">
        <v>5</v>
      </c>
      <c r="AH934" t="n">
        <v>5</v>
      </c>
      <c r="AI934" t="n">
        <v>6</v>
      </c>
      <c r="AJ934" t="n">
        <v>10</v>
      </c>
      <c r="AK934" t="n">
        <v>12</v>
      </c>
      <c r="AL934" t="n">
        <v>3</v>
      </c>
      <c r="AM934" t="n">
        <v>4</v>
      </c>
      <c r="AN934" t="n">
        <v>0</v>
      </c>
      <c r="AO934" t="n">
        <v>0</v>
      </c>
      <c r="AP934" t="inlineStr">
        <is>
          <t>No</t>
        </is>
      </c>
      <c r="AQ934" t="inlineStr">
        <is>
          <t>No</t>
        </is>
      </c>
      <c r="AR934">
        <f>HYPERLINK("http://catalog.hathitrust.org/Record/001564900","HathiTrust Record")</f>
        <v/>
      </c>
      <c r="AS934">
        <f>HYPERLINK("https://creighton-primo.hosted.exlibrisgroup.com/primo-explore/search?tab=default_tab&amp;search_scope=EVERYTHING&amp;vid=01CRU&amp;lang=en_US&amp;offset=0&amp;query=any,contains,991001814959702656","Catalog Record")</f>
        <v/>
      </c>
      <c r="AT934">
        <f>HYPERLINK("http://www.worldcat.org/oclc/22808538","WorldCat Record")</f>
        <v/>
      </c>
      <c r="AU934" t="inlineStr">
        <is>
          <t>314848174:eng</t>
        </is>
      </c>
      <c r="AV934" t="inlineStr">
        <is>
          <t>22808538</t>
        </is>
      </c>
      <c r="AW934" t="inlineStr">
        <is>
          <t>991001814959702656</t>
        </is>
      </c>
      <c r="AX934" t="inlineStr">
        <is>
          <t>991001814959702656</t>
        </is>
      </c>
      <c r="AY934" t="inlineStr">
        <is>
          <t>2257609240002656</t>
        </is>
      </c>
      <c r="AZ934" t="inlineStr">
        <is>
          <t>BOOK</t>
        </is>
      </c>
      <c r="BC934" t="inlineStr">
        <is>
          <t>32285001807618</t>
        </is>
      </c>
      <c r="BD934" t="inlineStr">
        <is>
          <t>893426891</t>
        </is>
      </c>
    </row>
    <row r="935">
      <c r="A935" t="inlineStr">
        <is>
          <t>No</t>
        </is>
      </c>
      <c r="B935" t="inlineStr">
        <is>
          <t>RC506 .P77 1978</t>
        </is>
      </c>
      <c r="C935" t="inlineStr">
        <is>
          <t>0                      RC 0506000P  77          1978</t>
        </is>
      </c>
      <c r="D935" t="inlineStr">
        <is>
          <t>Psychoanalysis, creativity, and literature : a French-American inquiry / Alan Roland, editor.</t>
        </is>
      </c>
      <c r="F935" t="inlineStr">
        <is>
          <t>No</t>
        </is>
      </c>
      <c r="G935" t="inlineStr">
        <is>
          <t>1</t>
        </is>
      </c>
      <c r="H935" t="inlineStr">
        <is>
          <t>No</t>
        </is>
      </c>
      <c r="I935" t="inlineStr">
        <is>
          <t>No</t>
        </is>
      </c>
      <c r="J935" t="inlineStr">
        <is>
          <t>0</t>
        </is>
      </c>
      <c r="L935" t="inlineStr">
        <is>
          <t>New York : Columbia University Press, 1978.</t>
        </is>
      </c>
      <c r="M935" t="inlineStr">
        <is>
          <t>1978</t>
        </is>
      </c>
      <c r="O935" t="inlineStr">
        <is>
          <t>eng</t>
        </is>
      </c>
      <c r="P935" t="inlineStr">
        <is>
          <t>nyu</t>
        </is>
      </c>
      <c r="R935" t="inlineStr">
        <is>
          <t xml:space="preserve">RC </t>
        </is>
      </c>
      <c r="S935" t="n">
        <v>6</v>
      </c>
      <c r="T935" t="n">
        <v>6</v>
      </c>
      <c r="U935" t="inlineStr">
        <is>
          <t>2003-12-05</t>
        </is>
      </c>
      <c r="V935" t="inlineStr">
        <is>
          <t>2003-12-05</t>
        </is>
      </c>
      <c r="W935" t="inlineStr">
        <is>
          <t>1993-03-23</t>
        </is>
      </c>
      <c r="X935" t="inlineStr">
        <is>
          <t>1993-03-23</t>
        </is>
      </c>
      <c r="Y935" t="n">
        <v>520</v>
      </c>
      <c r="Z935" t="n">
        <v>409</v>
      </c>
      <c r="AA935" t="n">
        <v>414</v>
      </c>
      <c r="AB935" t="n">
        <v>5</v>
      </c>
      <c r="AC935" t="n">
        <v>5</v>
      </c>
      <c r="AD935" t="n">
        <v>23</v>
      </c>
      <c r="AE935" t="n">
        <v>23</v>
      </c>
      <c r="AF935" t="n">
        <v>8</v>
      </c>
      <c r="AG935" t="n">
        <v>8</v>
      </c>
      <c r="AH935" t="n">
        <v>6</v>
      </c>
      <c r="AI935" t="n">
        <v>6</v>
      </c>
      <c r="AJ935" t="n">
        <v>10</v>
      </c>
      <c r="AK935" t="n">
        <v>10</v>
      </c>
      <c r="AL935" t="n">
        <v>4</v>
      </c>
      <c r="AM935" t="n">
        <v>4</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HYPERLINK("https://creighton-primo.hosted.exlibrisgroup.com/primo-explore/search?tab=default_tab&amp;search_scope=EVERYTHING&amp;vid=01CRU&amp;lang=en_US&amp;offset=0&amp;query=any,contains,991004453269702656","Catalog Record")</f>
        <v/>
      </c>
      <c r="AT935">
        <f>HYPERLINK("http://www.worldcat.org/oclc/3516696","WorldCat Record")</f>
        <v/>
      </c>
      <c r="AU935" t="inlineStr">
        <is>
          <t>878520456:eng</t>
        </is>
      </c>
      <c r="AV935" t="inlineStr">
        <is>
          <t>3516696</t>
        </is>
      </c>
      <c r="AW935" t="inlineStr">
        <is>
          <t>991004453269702656</t>
        </is>
      </c>
      <c r="AX935" t="inlineStr">
        <is>
          <t>991004453269702656</t>
        </is>
      </c>
      <c r="AY935" t="inlineStr">
        <is>
          <t>2272509060002656</t>
        </is>
      </c>
      <c r="AZ935" t="inlineStr">
        <is>
          <t>BOOK</t>
        </is>
      </c>
      <c r="BB935" t="inlineStr">
        <is>
          <t>9780231043243</t>
        </is>
      </c>
      <c r="BC935" t="inlineStr">
        <is>
          <t>32285001607257</t>
        </is>
      </c>
      <c r="BD935" t="inlineStr">
        <is>
          <t>893526109</t>
        </is>
      </c>
    </row>
    <row r="936">
      <c r="A936" t="inlineStr">
        <is>
          <t>No</t>
        </is>
      </c>
      <c r="B936" t="inlineStr">
        <is>
          <t>RC506 .P79</t>
        </is>
      </c>
      <c r="C936" t="inlineStr">
        <is>
          <t>0                      RC 0506000P  79</t>
        </is>
      </c>
      <c r="D936" t="inlineStr">
        <is>
          <t>The Psychology of the self : a casebook / written with the collaboration of Heinz Kohut ; editor, Arnold Goldberg, contributing editors, Michael Pranz Pasch ... [et al.]. --</t>
        </is>
      </c>
      <c r="F936" t="inlineStr">
        <is>
          <t>No</t>
        </is>
      </c>
      <c r="G936" t="inlineStr">
        <is>
          <t>1</t>
        </is>
      </c>
      <c r="H936" t="inlineStr">
        <is>
          <t>No</t>
        </is>
      </c>
      <c r="I936" t="inlineStr">
        <is>
          <t>No</t>
        </is>
      </c>
      <c r="J936" t="inlineStr">
        <is>
          <t>0</t>
        </is>
      </c>
      <c r="L936" t="inlineStr">
        <is>
          <t>New York : International Universities Press, c1978.</t>
        </is>
      </c>
      <c r="M936" t="inlineStr">
        <is>
          <t>1978</t>
        </is>
      </c>
      <c r="O936" t="inlineStr">
        <is>
          <t>eng</t>
        </is>
      </c>
      <c r="P936" t="inlineStr">
        <is>
          <t>nyu</t>
        </is>
      </c>
      <c r="R936" t="inlineStr">
        <is>
          <t xml:space="preserve">RC </t>
        </is>
      </c>
      <c r="S936" t="n">
        <v>5</v>
      </c>
      <c r="T936" t="n">
        <v>5</v>
      </c>
      <c r="U936" t="inlineStr">
        <is>
          <t>1994-11-16</t>
        </is>
      </c>
      <c r="V936" t="inlineStr">
        <is>
          <t>1994-11-16</t>
        </is>
      </c>
      <c r="W936" t="inlineStr">
        <is>
          <t>1993-03-23</t>
        </is>
      </c>
      <c r="X936" t="inlineStr">
        <is>
          <t>1993-03-23</t>
        </is>
      </c>
      <c r="Y936" t="n">
        <v>371</v>
      </c>
      <c r="Z936" t="n">
        <v>314</v>
      </c>
      <c r="AA936" t="n">
        <v>321</v>
      </c>
      <c r="AB936" t="n">
        <v>3</v>
      </c>
      <c r="AC936" t="n">
        <v>3</v>
      </c>
      <c r="AD936" t="n">
        <v>11</v>
      </c>
      <c r="AE936" t="n">
        <v>11</v>
      </c>
      <c r="AF936" t="n">
        <v>3</v>
      </c>
      <c r="AG936" t="n">
        <v>3</v>
      </c>
      <c r="AH936" t="n">
        <v>3</v>
      </c>
      <c r="AI936" t="n">
        <v>3</v>
      </c>
      <c r="AJ936" t="n">
        <v>6</v>
      </c>
      <c r="AK936" t="n">
        <v>6</v>
      </c>
      <c r="AL936" t="n">
        <v>1</v>
      </c>
      <c r="AM936" t="n">
        <v>1</v>
      </c>
      <c r="AN936" t="n">
        <v>0</v>
      </c>
      <c r="AO936" t="n">
        <v>0</v>
      </c>
      <c r="AP936" t="inlineStr">
        <is>
          <t>No</t>
        </is>
      </c>
      <c r="AQ936" t="inlineStr">
        <is>
          <t>Yes</t>
        </is>
      </c>
      <c r="AR936">
        <f>HYPERLINK("http://catalog.hathitrust.org/Record/000136466","HathiTrust Record")</f>
        <v/>
      </c>
      <c r="AS936">
        <f>HYPERLINK("https://creighton-primo.hosted.exlibrisgroup.com/primo-explore/search?tab=default_tab&amp;search_scope=EVERYTHING&amp;vid=01CRU&amp;lang=en_US&amp;offset=0&amp;query=any,contains,991005265829702656","Catalog Record")</f>
        <v/>
      </c>
      <c r="AT936">
        <f>HYPERLINK("http://www.worldcat.org/oclc/3869061","WorldCat Record")</f>
        <v/>
      </c>
      <c r="AU936" t="inlineStr">
        <is>
          <t>920385310:eng</t>
        </is>
      </c>
      <c r="AV936" t="inlineStr">
        <is>
          <t>3869061</t>
        </is>
      </c>
      <c r="AW936" t="inlineStr">
        <is>
          <t>991005265829702656</t>
        </is>
      </c>
      <c r="AX936" t="inlineStr">
        <is>
          <t>991005265829702656</t>
        </is>
      </c>
      <c r="AY936" t="inlineStr">
        <is>
          <t>2263010080002656</t>
        </is>
      </c>
      <c r="AZ936" t="inlineStr">
        <is>
          <t>BOOK</t>
        </is>
      </c>
      <c r="BB936" t="inlineStr">
        <is>
          <t>9780823655823</t>
        </is>
      </c>
      <c r="BC936" t="inlineStr">
        <is>
          <t>32285001607265</t>
        </is>
      </c>
      <c r="BD936" t="inlineStr">
        <is>
          <t>893437428</t>
        </is>
      </c>
    </row>
    <row r="937">
      <c r="A937" t="inlineStr">
        <is>
          <t>No</t>
        </is>
      </c>
      <c r="B937" t="inlineStr">
        <is>
          <t>RC506 .S27</t>
        </is>
      </c>
      <c r="C937" t="inlineStr">
        <is>
          <t>0                      RC 0506000S  27</t>
        </is>
      </c>
      <c r="D937" t="inlineStr">
        <is>
          <t>The childhood emotional pattern : the key to personality, its disorders and therapy / Leon J. Saul. --</t>
        </is>
      </c>
      <c r="F937" t="inlineStr">
        <is>
          <t>No</t>
        </is>
      </c>
      <c r="G937" t="inlineStr">
        <is>
          <t>1</t>
        </is>
      </c>
      <c r="H937" t="inlineStr">
        <is>
          <t>No</t>
        </is>
      </c>
      <c r="I937" t="inlineStr">
        <is>
          <t>No</t>
        </is>
      </c>
      <c r="J937" t="inlineStr">
        <is>
          <t>0</t>
        </is>
      </c>
      <c r="K937" t="inlineStr">
        <is>
          <t>Saul, Leon J. (Leon Joseph), 1901-1983.</t>
        </is>
      </c>
      <c r="L937" t="inlineStr">
        <is>
          <t>New York : Van Nostrand Reinhold Co., c1977.</t>
        </is>
      </c>
      <c r="M937" t="inlineStr">
        <is>
          <t>1977</t>
        </is>
      </c>
      <c r="O937" t="inlineStr">
        <is>
          <t>eng</t>
        </is>
      </c>
      <c r="P937" t="inlineStr">
        <is>
          <t>nyu</t>
        </is>
      </c>
      <c r="R937" t="inlineStr">
        <is>
          <t xml:space="preserve">RC </t>
        </is>
      </c>
      <c r="S937" t="n">
        <v>3</v>
      </c>
      <c r="T937" t="n">
        <v>3</v>
      </c>
      <c r="U937" t="inlineStr">
        <is>
          <t>1993-11-30</t>
        </is>
      </c>
      <c r="V937" t="inlineStr">
        <is>
          <t>1993-11-30</t>
        </is>
      </c>
      <c r="W937" t="inlineStr">
        <is>
          <t>1993-03-23</t>
        </is>
      </c>
      <c r="X937" t="inlineStr">
        <is>
          <t>1993-03-23</t>
        </is>
      </c>
      <c r="Y937" t="n">
        <v>410</v>
      </c>
      <c r="Z937" t="n">
        <v>346</v>
      </c>
      <c r="AA937" t="n">
        <v>355</v>
      </c>
      <c r="AB937" t="n">
        <v>3</v>
      </c>
      <c r="AC937" t="n">
        <v>3</v>
      </c>
      <c r="AD937" t="n">
        <v>10</v>
      </c>
      <c r="AE937" t="n">
        <v>10</v>
      </c>
      <c r="AF937" t="n">
        <v>2</v>
      </c>
      <c r="AG937" t="n">
        <v>2</v>
      </c>
      <c r="AH937" t="n">
        <v>3</v>
      </c>
      <c r="AI937" t="n">
        <v>3</v>
      </c>
      <c r="AJ937" t="n">
        <v>7</v>
      </c>
      <c r="AK937" t="n">
        <v>7</v>
      </c>
      <c r="AL937" t="n">
        <v>1</v>
      </c>
      <c r="AM937" t="n">
        <v>1</v>
      </c>
      <c r="AN937" t="n">
        <v>0</v>
      </c>
      <c r="AO937" t="n">
        <v>0</v>
      </c>
      <c r="AP937" t="inlineStr">
        <is>
          <t>No</t>
        </is>
      </c>
      <c r="AQ937" t="inlineStr">
        <is>
          <t>Yes</t>
        </is>
      </c>
      <c r="AR937">
        <f>HYPERLINK("http://catalog.hathitrust.org/Record/007406428","HathiTrust Record")</f>
        <v/>
      </c>
      <c r="AS937">
        <f>HYPERLINK("https://creighton-primo.hosted.exlibrisgroup.com/primo-explore/search?tab=default_tab&amp;search_scope=EVERYTHING&amp;vid=01CRU&amp;lang=en_US&amp;offset=0&amp;query=any,contains,991004279659702656","Catalog Record")</f>
        <v/>
      </c>
      <c r="AT937">
        <f>HYPERLINK("http://www.worldcat.org/oclc/2905703","WorldCat Record")</f>
        <v/>
      </c>
      <c r="AU937" t="inlineStr">
        <is>
          <t>316534855:eng</t>
        </is>
      </c>
      <c r="AV937" t="inlineStr">
        <is>
          <t>2905703</t>
        </is>
      </c>
      <c r="AW937" t="inlineStr">
        <is>
          <t>991004279659702656</t>
        </is>
      </c>
      <c r="AX937" t="inlineStr">
        <is>
          <t>991004279659702656</t>
        </is>
      </c>
      <c r="AY937" t="inlineStr">
        <is>
          <t>2271821170002656</t>
        </is>
      </c>
      <c r="AZ937" t="inlineStr">
        <is>
          <t>BOOK</t>
        </is>
      </c>
      <c r="BB937" t="inlineStr">
        <is>
          <t>9780442273606</t>
        </is>
      </c>
      <c r="BC937" t="inlineStr">
        <is>
          <t>32285001607281</t>
        </is>
      </c>
      <c r="BD937" t="inlineStr">
        <is>
          <t>893687561</t>
        </is>
      </c>
    </row>
    <row r="938">
      <c r="A938" t="inlineStr">
        <is>
          <t>No</t>
        </is>
      </c>
      <c r="B938" t="inlineStr">
        <is>
          <t>RC509 .G73</t>
        </is>
      </c>
      <c r="C938" t="inlineStr">
        <is>
          <t>0                      RC 0509000G  73</t>
        </is>
      </c>
      <c r="D938" t="inlineStr">
        <is>
          <t>Explorations in psychoanalysis / Ralph R. Greenson.</t>
        </is>
      </c>
      <c r="F938" t="inlineStr">
        <is>
          <t>No</t>
        </is>
      </c>
      <c r="G938" t="inlineStr">
        <is>
          <t>1</t>
        </is>
      </c>
      <c r="H938" t="inlineStr">
        <is>
          <t>No</t>
        </is>
      </c>
      <c r="I938" t="inlineStr">
        <is>
          <t>No</t>
        </is>
      </c>
      <c r="J938" t="inlineStr">
        <is>
          <t>0</t>
        </is>
      </c>
      <c r="K938" t="inlineStr">
        <is>
          <t>Greenson, Ralph R. (Ralph Romeo), 1911-1979.</t>
        </is>
      </c>
      <c r="L938" t="inlineStr">
        <is>
          <t>New York : International Universities Press, c1978.</t>
        </is>
      </c>
      <c r="M938" t="inlineStr">
        <is>
          <t>1978</t>
        </is>
      </c>
      <c r="O938" t="inlineStr">
        <is>
          <t>eng</t>
        </is>
      </c>
      <c r="P938" t="inlineStr">
        <is>
          <t>nyu</t>
        </is>
      </c>
      <c r="R938" t="inlineStr">
        <is>
          <t xml:space="preserve">RC </t>
        </is>
      </c>
      <c r="S938" t="n">
        <v>2</v>
      </c>
      <c r="T938" t="n">
        <v>2</v>
      </c>
      <c r="U938" t="inlineStr">
        <is>
          <t>1993-11-17</t>
        </is>
      </c>
      <c r="V938" t="inlineStr">
        <is>
          <t>1993-11-17</t>
        </is>
      </c>
      <c r="W938" t="inlineStr">
        <is>
          <t>1993-03-23</t>
        </is>
      </c>
      <c r="X938" t="inlineStr">
        <is>
          <t>1993-03-23</t>
        </is>
      </c>
      <c r="Y938" t="n">
        <v>269</v>
      </c>
      <c r="Z938" t="n">
        <v>235</v>
      </c>
      <c r="AA938" t="n">
        <v>242</v>
      </c>
      <c r="AB938" t="n">
        <v>2</v>
      </c>
      <c r="AC938" t="n">
        <v>2</v>
      </c>
      <c r="AD938" t="n">
        <v>12</v>
      </c>
      <c r="AE938" t="n">
        <v>12</v>
      </c>
      <c r="AF938" t="n">
        <v>3</v>
      </c>
      <c r="AG938" t="n">
        <v>3</v>
      </c>
      <c r="AH938" t="n">
        <v>4</v>
      </c>
      <c r="AI938" t="n">
        <v>4</v>
      </c>
      <c r="AJ938" t="n">
        <v>8</v>
      </c>
      <c r="AK938" t="n">
        <v>8</v>
      </c>
      <c r="AL938" t="n">
        <v>1</v>
      </c>
      <c r="AM938" t="n">
        <v>1</v>
      </c>
      <c r="AN938" t="n">
        <v>0</v>
      </c>
      <c r="AO938" t="n">
        <v>0</v>
      </c>
      <c r="AP938" t="inlineStr">
        <is>
          <t>No</t>
        </is>
      </c>
      <c r="AQ938" t="inlineStr">
        <is>
          <t>Yes</t>
        </is>
      </c>
      <c r="AR938">
        <f>HYPERLINK("http://catalog.hathitrust.org/Record/000093019","HathiTrust Record")</f>
        <v/>
      </c>
      <c r="AS938">
        <f>HYPERLINK("https://creighton-primo.hosted.exlibrisgroup.com/primo-explore/search?tab=default_tab&amp;search_scope=EVERYTHING&amp;vid=01CRU&amp;lang=en_US&amp;offset=0&amp;query=any,contains,991004488919702656","Catalog Record")</f>
        <v/>
      </c>
      <c r="AT938">
        <f>HYPERLINK("http://www.worldcat.org/oclc/3650694","WorldCat Record")</f>
        <v/>
      </c>
      <c r="AU938" t="inlineStr">
        <is>
          <t>489249:eng</t>
        </is>
      </c>
      <c r="AV938" t="inlineStr">
        <is>
          <t>3650694</t>
        </is>
      </c>
      <c r="AW938" t="inlineStr">
        <is>
          <t>991004488919702656</t>
        </is>
      </c>
      <c r="AX938" t="inlineStr">
        <is>
          <t>991004488919702656</t>
        </is>
      </c>
      <c r="AY938" t="inlineStr">
        <is>
          <t>2261411690002656</t>
        </is>
      </c>
      <c r="AZ938" t="inlineStr">
        <is>
          <t>BOOK</t>
        </is>
      </c>
      <c r="BB938" t="inlineStr">
        <is>
          <t>9780823618101</t>
        </is>
      </c>
      <c r="BC938" t="inlineStr">
        <is>
          <t>32285001607315</t>
        </is>
      </c>
      <c r="BD938" t="inlineStr">
        <is>
          <t>893687795</t>
        </is>
      </c>
    </row>
    <row r="939">
      <c r="A939" t="inlineStr">
        <is>
          <t>No</t>
        </is>
      </c>
      <c r="B939" t="inlineStr">
        <is>
          <t>RC509.8 .I5 1985</t>
        </is>
      </c>
      <c r="C939" t="inlineStr">
        <is>
          <t>0                      RC 0509800I  5           1985</t>
        </is>
      </c>
      <c r="D939" t="inlineStr">
        <is>
          <t>In Dora's case : Freud--hysteria--feminism / Charles Bernheimer and Claire Kahane, editors.</t>
        </is>
      </c>
      <c r="F939" t="inlineStr">
        <is>
          <t>No</t>
        </is>
      </c>
      <c r="G939" t="inlineStr">
        <is>
          <t>1</t>
        </is>
      </c>
      <c r="H939" t="inlineStr">
        <is>
          <t>No</t>
        </is>
      </c>
      <c r="I939" t="inlineStr">
        <is>
          <t>No</t>
        </is>
      </c>
      <c r="J939" t="inlineStr">
        <is>
          <t>0</t>
        </is>
      </c>
      <c r="L939" t="inlineStr">
        <is>
          <t>New York : Columbia University Press, 1985.</t>
        </is>
      </c>
      <c r="M939" t="inlineStr">
        <is>
          <t>1985</t>
        </is>
      </c>
      <c r="O939" t="inlineStr">
        <is>
          <t>eng</t>
        </is>
      </c>
      <c r="P939" t="inlineStr">
        <is>
          <t>nyu</t>
        </is>
      </c>
      <c r="Q939" t="inlineStr">
        <is>
          <t>Gender and culture</t>
        </is>
      </c>
      <c r="R939" t="inlineStr">
        <is>
          <t xml:space="preserve">RC </t>
        </is>
      </c>
      <c r="S939" t="n">
        <v>2</v>
      </c>
      <c r="T939" t="n">
        <v>2</v>
      </c>
      <c r="U939" t="inlineStr">
        <is>
          <t>1994-12-01</t>
        </is>
      </c>
      <c r="V939" t="inlineStr">
        <is>
          <t>1994-12-01</t>
        </is>
      </c>
      <c r="W939" t="inlineStr">
        <is>
          <t>1993-03-23</t>
        </is>
      </c>
      <c r="X939" t="inlineStr">
        <is>
          <t>1993-03-23</t>
        </is>
      </c>
      <c r="Y939" t="n">
        <v>552</v>
      </c>
      <c r="Z939" t="n">
        <v>466</v>
      </c>
      <c r="AA939" t="n">
        <v>556</v>
      </c>
      <c r="AB939" t="n">
        <v>3</v>
      </c>
      <c r="AC939" t="n">
        <v>3</v>
      </c>
      <c r="AD939" t="n">
        <v>24</v>
      </c>
      <c r="AE939" t="n">
        <v>29</v>
      </c>
      <c r="AF939" t="n">
        <v>7</v>
      </c>
      <c r="AG939" t="n">
        <v>9</v>
      </c>
      <c r="AH939" t="n">
        <v>9</v>
      </c>
      <c r="AI939" t="n">
        <v>10</v>
      </c>
      <c r="AJ939" t="n">
        <v>15</v>
      </c>
      <c r="AK939" t="n">
        <v>17</v>
      </c>
      <c r="AL939" t="n">
        <v>2</v>
      </c>
      <c r="AM939" t="n">
        <v>2</v>
      </c>
      <c r="AN939" t="n">
        <v>0</v>
      </c>
      <c r="AO939" t="n">
        <v>1</v>
      </c>
      <c r="AP939" t="inlineStr">
        <is>
          <t>No</t>
        </is>
      </c>
      <c r="AQ939" t="inlineStr">
        <is>
          <t>No</t>
        </is>
      </c>
      <c r="AS939">
        <f>HYPERLINK("https://creighton-primo.hosted.exlibrisgroup.com/primo-explore/search?tab=default_tab&amp;search_scope=EVERYTHING&amp;vid=01CRU&amp;lang=en_US&amp;offset=0&amp;query=any,contains,991000498359702656","Catalog Record")</f>
        <v/>
      </c>
      <c r="AT939">
        <f>HYPERLINK("http://www.worldcat.org/oclc/11158895","WorldCat Record")</f>
        <v/>
      </c>
      <c r="AU939" t="inlineStr">
        <is>
          <t>795556610:eng</t>
        </is>
      </c>
      <c r="AV939" t="inlineStr">
        <is>
          <t>11158895</t>
        </is>
      </c>
      <c r="AW939" t="inlineStr">
        <is>
          <t>991000498359702656</t>
        </is>
      </c>
      <c r="AX939" t="inlineStr">
        <is>
          <t>991000498359702656</t>
        </is>
      </c>
      <c r="AY939" t="inlineStr">
        <is>
          <t>2255031200002656</t>
        </is>
      </c>
      <c r="AZ939" t="inlineStr">
        <is>
          <t>BOOK</t>
        </is>
      </c>
      <c r="BB939" t="inlineStr">
        <is>
          <t>9780231059114</t>
        </is>
      </c>
      <c r="BC939" t="inlineStr">
        <is>
          <t>32285001607323</t>
        </is>
      </c>
      <c r="BD939" t="inlineStr">
        <is>
          <t>893515313</t>
        </is>
      </c>
    </row>
    <row r="940">
      <c r="A940" t="inlineStr">
        <is>
          <t>No</t>
        </is>
      </c>
      <c r="B940" t="inlineStr">
        <is>
          <t>RC509.8 .L64 1996</t>
        </is>
      </c>
      <c r="C940" t="inlineStr">
        <is>
          <t>0                      RC 0509800L  64          1996</t>
        </is>
      </c>
      <c r="D940" t="inlineStr">
        <is>
          <t>Unorthodox Freud : the view from the couch / Beate Lohser, Peter M. Newton.</t>
        </is>
      </c>
      <c r="F940" t="inlineStr">
        <is>
          <t>No</t>
        </is>
      </c>
      <c r="G940" t="inlineStr">
        <is>
          <t>1</t>
        </is>
      </c>
      <c r="H940" t="inlineStr">
        <is>
          <t>No</t>
        </is>
      </c>
      <c r="I940" t="inlineStr">
        <is>
          <t>No</t>
        </is>
      </c>
      <c r="J940" t="inlineStr">
        <is>
          <t>0</t>
        </is>
      </c>
      <c r="K940" t="inlineStr">
        <is>
          <t>Lohser, Beate.</t>
        </is>
      </c>
      <c r="L940" t="inlineStr">
        <is>
          <t>New York : Guilford Press, c1996.</t>
        </is>
      </c>
      <c r="M940" t="inlineStr">
        <is>
          <t>1996</t>
        </is>
      </c>
      <c r="O940" t="inlineStr">
        <is>
          <t>eng</t>
        </is>
      </c>
      <c r="P940" t="inlineStr">
        <is>
          <t>nyu</t>
        </is>
      </c>
      <c r="R940" t="inlineStr">
        <is>
          <t xml:space="preserve">RC </t>
        </is>
      </c>
      <c r="S940" t="n">
        <v>3</v>
      </c>
      <c r="T940" t="n">
        <v>3</v>
      </c>
      <c r="U940" t="inlineStr">
        <is>
          <t>1999-03-22</t>
        </is>
      </c>
      <c r="V940" t="inlineStr">
        <is>
          <t>1999-03-22</t>
        </is>
      </c>
      <c r="W940" t="inlineStr">
        <is>
          <t>1996-10-15</t>
        </is>
      </c>
      <c r="X940" t="inlineStr">
        <is>
          <t>1996-10-15</t>
        </is>
      </c>
      <c r="Y940" t="n">
        <v>197</v>
      </c>
      <c r="Z940" t="n">
        <v>169</v>
      </c>
      <c r="AA940" t="n">
        <v>169</v>
      </c>
      <c r="AB940" t="n">
        <v>1</v>
      </c>
      <c r="AC940" t="n">
        <v>1</v>
      </c>
      <c r="AD940" t="n">
        <v>12</v>
      </c>
      <c r="AE940" t="n">
        <v>12</v>
      </c>
      <c r="AF940" t="n">
        <v>4</v>
      </c>
      <c r="AG940" t="n">
        <v>4</v>
      </c>
      <c r="AH940" t="n">
        <v>1</v>
      </c>
      <c r="AI940" t="n">
        <v>1</v>
      </c>
      <c r="AJ940" t="n">
        <v>10</v>
      </c>
      <c r="AK940" t="n">
        <v>10</v>
      </c>
      <c r="AL940" t="n">
        <v>0</v>
      </c>
      <c r="AM940" t="n">
        <v>0</v>
      </c>
      <c r="AN940" t="n">
        <v>0</v>
      </c>
      <c r="AO940" t="n">
        <v>0</v>
      </c>
      <c r="AP940" t="inlineStr">
        <is>
          <t>No</t>
        </is>
      </c>
      <c r="AQ940" t="inlineStr">
        <is>
          <t>No</t>
        </is>
      </c>
      <c r="AS940">
        <f>HYPERLINK("https://creighton-primo.hosted.exlibrisgroup.com/primo-explore/search?tab=default_tab&amp;search_scope=EVERYTHING&amp;vid=01CRU&amp;lang=en_US&amp;offset=0&amp;query=any,contains,991002627489702656","Catalog Record")</f>
        <v/>
      </c>
      <c r="AT940">
        <f>HYPERLINK("http://www.worldcat.org/oclc/34470960","WorldCat Record")</f>
        <v/>
      </c>
      <c r="AU940" t="inlineStr">
        <is>
          <t>836924802:eng</t>
        </is>
      </c>
      <c r="AV940" t="inlineStr">
        <is>
          <t>34470960</t>
        </is>
      </c>
      <c r="AW940" t="inlineStr">
        <is>
          <t>991002627489702656</t>
        </is>
      </c>
      <c r="AX940" t="inlineStr">
        <is>
          <t>991002627489702656</t>
        </is>
      </c>
      <c r="AY940" t="inlineStr">
        <is>
          <t>2268003450002656</t>
        </is>
      </c>
      <c r="AZ940" t="inlineStr">
        <is>
          <t>BOOK</t>
        </is>
      </c>
      <c r="BB940" t="inlineStr">
        <is>
          <t>9781572301283</t>
        </is>
      </c>
      <c r="BC940" t="inlineStr">
        <is>
          <t>32285002366036</t>
        </is>
      </c>
      <c r="BD940" t="inlineStr">
        <is>
          <t>893323159</t>
        </is>
      </c>
    </row>
    <row r="941">
      <c r="A941" t="inlineStr">
        <is>
          <t>No</t>
        </is>
      </c>
      <c r="B941" t="inlineStr">
        <is>
          <t>RC510 .W67 1993</t>
        </is>
      </c>
      <c r="C941" t="inlineStr">
        <is>
          <t>0                      RC 0510000W  67          1993</t>
        </is>
      </c>
      <c r="D941" t="inlineStr">
        <is>
          <t>A Work book of group-analytic interventions / David Kennard, Jeff Roberts, and David A. Winter, with contributions from Yiannis Arzoumanides and Malcolm Pines.</t>
        </is>
      </c>
      <c r="F941" t="inlineStr">
        <is>
          <t>No</t>
        </is>
      </c>
      <c r="G941" t="inlineStr">
        <is>
          <t>1</t>
        </is>
      </c>
      <c r="H941" t="inlineStr">
        <is>
          <t>No</t>
        </is>
      </c>
      <c r="I941" t="inlineStr">
        <is>
          <t>No</t>
        </is>
      </c>
      <c r="J941" t="inlineStr">
        <is>
          <t>0</t>
        </is>
      </c>
      <c r="L941" t="inlineStr">
        <is>
          <t>London ; New York : Routledge, 1993.</t>
        </is>
      </c>
      <c r="M941" t="inlineStr">
        <is>
          <t>1993</t>
        </is>
      </c>
      <c r="O941" t="inlineStr">
        <is>
          <t>eng</t>
        </is>
      </c>
      <c r="P941" t="inlineStr">
        <is>
          <t>enk</t>
        </is>
      </c>
      <c r="Q941" t="inlineStr">
        <is>
          <t>The International library of group psychotherapy and group process</t>
        </is>
      </c>
      <c r="R941" t="inlineStr">
        <is>
          <t xml:space="preserve">RC </t>
        </is>
      </c>
      <c r="S941" t="n">
        <v>3</v>
      </c>
      <c r="T941" t="n">
        <v>3</v>
      </c>
      <c r="U941" t="inlineStr">
        <is>
          <t>1999-04-08</t>
        </is>
      </c>
      <c r="V941" t="inlineStr">
        <is>
          <t>1999-04-08</t>
        </is>
      </c>
      <c r="W941" t="inlineStr">
        <is>
          <t>1995-02-02</t>
        </is>
      </c>
      <c r="X941" t="inlineStr">
        <is>
          <t>1995-02-02</t>
        </is>
      </c>
      <c r="Y941" t="n">
        <v>105</v>
      </c>
      <c r="Z941" t="n">
        <v>46</v>
      </c>
      <c r="AA941" t="n">
        <v>63</v>
      </c>
      <c r="AB941" t="n">
        <v>1</v>
      </c>
      <c r="AC941" t="n">
        <v>1</v>
      </c>
      <c r="AD941" t="n">
        <v>1</v>
      </c>
      <c r="AE941" t="n">
        <v>3</v>
      </c>
      <c r="AF941" t="n">
        <v>1</v>
      </c>
      <c r="AG941" t="n">
        <v>3</v>
      </c>
      <c r="AH941" t="n">
        <v>0</v>
      </c>
      <c r="AI941" t="n">
        <v>1</v>
      </c>
      <c r="AJ941" t="n">
        <v>1</v>
      </c>
      <c r="AK941" t="n">
        <v>2</v>
      </c>
      <c r="AL941" t="n">
        <v>0</v>
      </c>
      <c r="AM941" t="n">
        <v>0</v>
      </c>
      <c r="AN941" t="n">
        <v>0</v>
      </c>
      <c r="AO941" t="n">
        <v>0</v>
      </c>
      <c r="AP941" t="inlineStr">
        <is>
          <t>No</t>
        </is>
      </c>
      <c r="AQ941" t="inlineStr">
        <is>
          <t>No</t>
        </is>
      </c>
      <c r="AS941">
        <f>HYPERLINK("https://creighton-primo.hosted.exlibrisgroup.com/primo-explore/search?tab=default_tab&amp;search_scope=EVERYTHING&amp;vid=01CRU&amp;lang=en_US&amp;offset=0&amp;query=any,contains,991002131109702656","Catalog Record")</f>
        <v/>
      </c>
      <c r="AT941">
        <f>HYPERLINK("http://www.worldcat.org/oclc/27311153","WorldCat Record")</f>
        <v/>
      </c>
      <c r="AU941" t="inlineStr">
        <is>
          <t>40650879:eng</t>
        </is>
      </c>
      <c r="AV941" t="inlineStr">
        <is>
          <t>27311153</t>
        </is>
      </c>
      <c r="AW941" t="inlineStr">
        <is>
          <t>991002131109702656</t>
        </is>
      </c>
      <c r="AX941" t="inlineStr">
        <is>
          <t>991002131109702656</t>
        </is>
      </c>
      <c r="AY941" t="inlineStr">
        <is>
          <t>2255706920002656</t>
        </is>
      </c>
      <c r="AZ941" t="inlineStr">
        <is>
          <t>BOOK</t>
        </is>
      </c>
      <c r="BB941" t="inlineStr">
        <is>
          <t>9780415087834</t>
        </is>
      </c>
      <c r="BC941" t="inlineStr">
        <is>
          <t>32285001996759</t>
        </is>
      </c>
      <c r="BD941" t="inlineStr">
        <is>
          <t>893798223</t>
        </is>
      </c>
    </row>
    <row r="942">
      <c r="A942" t="inlineStr">
        <is>
          <t>No</t>
        </is>
      </c>
      <c r="B942" t="inlineStr">
        <is>
          <t>RC512 .F18 1978</t>
        </is>
      </c>
      <c r="C942" t="inlineStr">
        <is>
          <t>0                      RC 0512000F  18          1978</t>
        </is>
      </c>
      <c r="D942" t="inlineStr">
        <is>
          <t>Exploring madness : experience, theory, and research / edited by James Fadiman, Donald Kewman.</t>
        </is>
      </c>
      <c r="F942" t="inlineStr">
        <is>
          <t>No</t>
        </is>
      </c>
      <c r="G942" t="inlineStr">
        <is>
          <t>1</t>
        </is>
      </c>
      <c r="H942" t="inlineStr">
        <is>
          <t>No</t>
        </is>
      </c>
      <c r="I942" t="inlineStr">
        <is>
          <t>No</t>
        </is>
      </c>
      <c r="J942" t="inlineStr">
        <is>
          <t>0</t>
        </is>
      </c>
      <c r="K942" t="inlineStr">
        <is>
          <t>Fadiman, James, 1939- compiler.</t>
        </is>
      </c>
      <c r="L942" t="inlineStr">
        <is>
          <t>Monterey, Calif. : Brooks/Cole Pub. Co., c1979.</t>
        </is>
      </c>
      <c r="M942" t="inlineStr">
        <is>
          <t>1979</t>
        </is>
      </c>
      <c r="N942" t="inlineStr">
        <is>
          <t>2d ed.</t>
        </is>
      </c>
      <c r="O942" t="inlineStr">
        <is>
          <t>eng</t>
        </is>
      </c>
      <c r="P942" t="inlineStr">
        <is>
          <t>cau</t>
        </is>
      </c>
      <c r="R942" t="inlineStr">
        <is>
          <t xml:space="preserve">RC </t>
        </is>
      </c>
      <c r="S942" t="n">
        <v>5</v>
      </c>
      <c r="T942" t="n">
        <v>5</v>
      </c>
      <c r="U942" t="inlineStr">
        <is>
          <t>2004-03-04</t>
        </is>
      </c>
      <c r="V942" t="inlineStr">
        <is>
          <t>2004-03-04</t>
        </is>
      </c>
      <c r="W942" t="inlineStr">
        <is>
          <t>1993-03-23</t>
        </is>
      </c>
      <c r="X942" t="inlineStr">
        <is>
          <t>1993-03-23</t>
        </is>
      </c>
      <c r="Y942" t="n">
        <v>162</v>
      </c>
      <c r="Z942" t="n">
        <v>125</v>
      </c>
      <c r="AA942" t="n">
        <v>280</v>
      </c>
      <c r="AB942" t="n">
        <v>3</v>
      </c>
      <c r="AC942" t="n">
        <v>4</v>
      </c>
      <c r="AD942" t="n">
        <v>5</v>
      </c>
      <c r="AE942" t="n">
        <v>12</v>
      </c>
      <c r="AF942" t="n">
        <v>1</v>
      </c>
      <c r="AG942" t="n">
        <v>2</v>
      </c>
      <c r="AH942" t="n">
        <v>1</v>
      </c>
      <c r="AI942" t="n">
        <v>4</v>
      </c>
      <c r="AJ942" t="n">
        <v>1</v>
      </c>
      <c r="AK942" t="n">
        <v>5</v>
      </c>
      <c r="AL942" t="n">
        <v>2</v>
      </c>
      <c r="AM942" t="n">
        <v>3</v>
      </c>
      <c r="AN942" t="n">
        <v>0</v>
      </c>
      <c r="AO942" t="n">
        <v>0</v>
      </c>
      <c r="AP942" t="inlineStr">
        <is>
          <t>No</t>
        </is>
      </c>
      <c r="AQ942" t="inlineStr">
        <is>
          <t>No</t>
        </is>
      </c>
      <c r="AS942">
        <f>HYPERLINK("https://creighton-primo.hosted.exlibrisgroup.com/primo-explore/search?tab=default_tab&amp;search_scope=EVERYTHING&amp;vid=01CRU&amp;lang=en_US&amp;offset=0&amp;query=any,contains,991004573079702656","Catalog Record")</f>
        <v/>
      </c>
      <c r="AT942">
        <f>HYPERLINK("http://www.worldcat.org/oclc/4036616","WorldCat Record")</f>
        <v/>
      </c>
      <c r="AU942" t="inlineStr">
        <is>
          <t>1745754:eng</t>
        </is>
      </c>
      <c r="AV942" t="inlineStr">
        <is>
          <t>4036616</t>
        </is>
      </c>
      <c r="AW942" t="inlineStr">
        <is>
          <t>991004573079702656</t>
        </is>
      </c>
      <c r="AX942" t="inlineStr">
        <is>
          <t>991004573079702656</t>
        </is>
      </c>
      <c r="AY942" t="inlineStr">
        <is>
          <t>2269511460002656</t>
        </is>
      </c>
      <c r="AZ942" t="inlineStr">
        <is>
          <t>BOOK</t>
        </is>
      </c>
      <c r="BB942" t="inlineStr">
        <is>
          <t>9780818502811</t>
        </is>
      </c>
      <c r="BC942" t="inlineStr">
        <is>
          <t>32285001607331</t>
        </is>
      </c>
      <c r="BD942" t="inlineStr">
        <is>
          <t>893247728</t>
        </is>
      </c>
    </row>
    <row r="943">
      <c r="A943" t="inlineStr">
        <is>
          <t>No</t>
        </is>
      </c>
      <c r="B943" t="inlineStr">
        <is>
          <t>RC512 .F75</t>
        </is>
      </c>
      <c r="C943" t="inlineStr">
        <is>
          <t>0                      RC 0512000F  75</t>
        </is>
      </c>
      <c r="D943" t="inlineStr">
        <is>
          <t>Going crazy : an inquiry into madness in our time / Otto Friedrich.</t>
        </is>
      </c>
      <c r="F943" t="inlineStr">
        <is>
          <t>No</t>
        </is>
      </c>
      <c r="G943" t="inlineStr">
        <is>
          <t>1</t>
        </is>
      </c>
      <c r="H943" t="inlineStr">
        <is>
          <t>No</t>
        </is>
      </c>
      <c r="I943" t="inlineStr">
        <is>
          <t>No</t>
        </is>
      </c>
      <c r="J943" t="inlineStr">
        <is>
          <t>0</t>
        </is>
      </c>
      <c r="K943" t="inlineStr">
        <is>
          <t>Friedrich, Otto, 1929-1995.</t>
        </is>
      </c>
      <c r="L943" t="inlineStr">
        <is>
          <t>New York : Simon and Schuster, c1976.</t>
        </is>
      </c>
      <c r="M943" t="inlineStr">
        <is>
          <t>1976</t>
        </is>
      </c>
      <c r="O943" t="inlineStr">
        <is>
          <t>eng</t>
        </is>
      </c>
      <c r="P943" t="inlineStr">
        <is>
          <t>nyu</t>
        </is>
      </c>
      <c r="R943" t="inlineStr">
        <is>
          <t xml:space="preserve">RC </t>
        </is>
      </c>
      <c r="S943" t="n">
        <v>4</v>
      </c>
      <c r="T943" t="n">
        <v>4</v>
      </c>
      <c r="U943" t="inlineStr">
        <is>
          <t>2001-06-01</t>
        </is>
      </c>
      <c r="V943" t="inlineStr">
        <is>
          <t>2001-06-01</t>
        </is>
      </c>
      <c r="W943" t="inlineStr">
        <is>
          <t>1993-01-08</t>
        </is>
      </c>
      <c r="X943" t="inlineStr">
        <is>
          <t>1993-01-08</t>
        </is>
      </c>
      <c r="Y943" t="n">
        <v>614</v>
      </c>
      <c r="Z943" t="n">
        <v>557</v>
      </c>
      <c r="AA943" t="n">
        <v>611</v>
      </c>
      <c r="AB943" t="n">
        <v>9</v>
      </c>
      <c r="AC943" t="n">
        <v>10</v>
      </c>
      <c r="AD943" t="n">
        <v>22</v>
      </c>
      <c r="AE943" t="n">
        <v>23</v>
      </c>
      <c r="AF943" t="n">
        <v>7</v>
      </c>
      <c r="AG943" t="n">
        <v>7</v>
      </c>
      <c r="AH943" t="n">
        <v>6</v>
      </c>
      <c r="AI943" t="n">
        <v>6</v>
      </c>
      <c r="AJ943" t="n">
        <v>8</v>
      </c>
      <c r="AK943" t="n">
        <v>8</v>
      </c>
      <c r="AL943" t="n">
        <v>5</v>
      </c>
      <c r="AM943" t="n">
        <v>6</v>
      </c>
      <c r="AN943" t="n">
        <v>0</v>
      </c>
      <c r="AO943" t="n">
        <v>0</v>
      </c>
      <c r="AP943" t="inlineStr">
        <is>
          <t>No</t>
        </is>
      </c>
      <c r="AQ943" t="inlineStr">
        <is>
          <t>Yes</t>
        </is>
      </c>
      <c r="AR943">
        <f>HYPERLINK("http://catalog.hathitrust.org/Record/000033873","HathiTrust Record")</f>
        <v/>
      </c>
      <c r="AS943">
        <f>HYPERLINK("https://creighton-primo.hosted.exlibrisgroup.com/primo-explore/search?tab=default_tab&amp;search_scope=EVERYTHING&amp;vid=01CRU&amp;lang=en_US&amp;offset=0&amp;query=any,contains,991003829129702656","Catalog Record")</f>
        <v/>
      </c>
      <c r="AT943">
        <f>HYPERLINK("http://www.worldcat.org/oclc/1582777","WorldCat Record")</f>
        <v/>
      </c>
      <c r="AU943" t="inlineStr">
        <is>
          <t>918612309:eng</t>
        </is>
      </c>
      <c r="AV943" t="inlineStr">
        <is>
          <t>1582777</t>
        </is>
      </c>
      <c r="AW943" t="inlineStr">
        <is>
          <t>991003829129702656</t>
        </is>
      </c>
      <c r="AX943" t="inlineStr">
        <is>
          <t>991003829129702656</t>
        </is>
      </c>
      <c r="AY943" t="inlineStr">
        <is>
          <t>2270793710002656</t>
        </is>
      </c>
      <c r="AZ943" t="inlineStr">
        <is>
          <t>BOOK</t>
        </is>
      </c>
      <c r="BB943" t="inlineStr">
        <is>
          <t>9780671221744</t>
        </is>
      </c>
      <c r="BC943" t="inlineStr">
        <is>
          <t>32285001473940</t>
        </is>
      </c>
      <c r="BD943" t="inlineStr">
        <is>
          <t>893258914</t>
        </is>
      </c>
    </row>
    <row r="944">
      <c r="A944" t="inlineStr">
        <is>
          <t>No</t>
        </is>
      </c>
      <c r="B944" t="inlineStr">
        <is>
          <t>RC512 .P737 1986</t>
        </is>
      </c>
      <c r="C944" t="inlineStr">
        <is>
          <t>0                      RC 0512000P  737         1986</t>
        </is>
      </c>
      <c r="D944" t="inlineStr">
        <is>
          <t>Psychoses, affective disorders, and dementia / [edited by] John E. Helzer, Samuel B. Guze.</t>
        </is>
      </c>
      <c r="F944" t="inlineStr">
        <is>
          <t>No</t>
        </is>
      </c>
      <c r="G944" t="inlineStr">
        <is>
          <t>1</t>
        </is>
      </c>
      <c r="H944" t="inlineStr">
        <is>
          <t>Yes</t>
        </is>
      </c>
      <c r="I944" t="inlineStr">
        <is>
          <t>No</t>
        </is>
      </c>
      <c r="J944" t="inlineStr">
        <is>
          <t>0</t>
        </is>
      </c>
      <c r="L944" t="inlineStr">
        <is>
          <t>New York : Basic Books ; Philadelphia : Lippincott, c1986.</t>
        </is>
      </c>
      <c r="M944" t="inlineStr">
        <is>
          <t>1986</t>
        </is>
      </c>
      <c r="O944" t="inlineStr">
        <is>
          <t>eng</t>
        </is>
      </c>
      <c r="P944" t="inlineStr">
        <is>
          <t>nyu</t>
        </is>
      </c>
      <c r="Q944" t="inlineStr">
        <is>
          <t>Psychiatry ; v. 2</t>
        </is>
      </c>
      <c r="R944" t="inlineStr">
        <is>
          <t xml:space="preserve">RC </t>
        </is>
      </c>
      <c r="S944" t="n">
        <v>13</v>
      </c>
      <c r="T944" t="n">
        <v>13</v>
      </c>
      <c r="U944" t="inlineStr">
        <is>
          <t>2010-10-03</t>
        </is>
      </c>
      <c r="V944" t="inlineStr">
        <is>
          <t>2010-10-03</t>
        </is>
      </c>
      <c r="W944" t="inlineStr">
        <is>
          <t>1990-02-28</t>
        </is>
      </c>
      <c r="X944" t="inlineStr">
        <is>
          <t>1990-02-28</t>
        </is>
      </c>
      <c r="Y944" t="n">
        <v>105</v>
      </c>
      <c r="Z944" t="n">
        <v>87</v>
      </c>
      <c r="AA944" t="n">
        <v>87</v>
      </c>
      <c r="AB944" t="n">
        <v>2</v>
      </c>
      <c r="AC944" t="n">
        <v>2</v>
      </c>
      <c r="AD944" t="n">
        <v>2</v>
      </c>
      <c r="AE944" t="n">
        <v>2</v>
      </c>
      <c r="AF944" t="n">
        <v>0</v>
      </c>
      <c r="AG944" t="n">
        <v>0</v>
      </c>
      <c r="AH944" t="n">
        <v>0</v>
      </c>
      <c r="AI944" t="n">
        <v>0</v>
      </c>
      <c r="AJ944" t="n">
        <v>2</v>
      </c>
      <c r="AK944" t="n">
        <v>2</v>
      </c>
      <c r="AL944" t="n">
        <v>0</v>
      </c>
      <c r="AM944" t="n">
        <v>0</v>
      </c>
      <c r="AN944" t="n">
        <v>0</v>
      </c>
      <c r="AO944" t="n">
        <v>0</v>
      </c>
      <c r="AP944" t="inlineStr">
        <is>
          <t>No</t>
        </is>
      </c>
      <c r="AQ944" t="inlineStr">
        <is>
          <t>No</t>
        </is>
      </c>
      <c r="AS944">
        <f>HYPERLINK("https://creighton-primo.hosted.exlibrisgroup.com/primo-explore/search?tab=default_tab&amp;search_scope=EVERYTHING&amp;vid=01CRU&amp;lang=en_US&amp;offset=0&amp;query=any,contains,991000857089702656","Catalog Record")</f>
        <v/>
      </c>
      <c r="AT944">
        <f>HYPERLINK("http://www.worldcat.org/oclc/13665558","WorldCat Record")</f>
        <v/>
      </c>
      <c r="AU944" t="inlineStr">
        <is>
          <t>474978108:eng</t>
        </is>
      </c>
      <c r="AV944" t="inlineStr">
        <is>
          <t>13665558</t>
        </is>
      </c>
      <c r="AW944" t="inlineStr">
        <is>
          <t>991000857089702656</t>
        </is>
      </c>
      <c r="AX944" t="inlineStr">
        <is>
          <t>991000857089702656</t>
        </is>
      </c>
      <c r="AY944" t="inlineStr">
        <is>
          <t>2269886350002656</t>
        </is>
      </c>
      <c r="AZ944" t="inlineStr">
        <is>
          <t>BOOK</t>
        </is>
      </c>
      <c r="BB944" t="inlineStr">
        <is>
          <t>9780397508112</t>
        </is>
      </c>
      <c r="BC944" t="inlineStr">
        <is>
          <t>32285000072446</t>
        </is>
      </c>
      <c r="BD944" t="inlineStr">
        <is>
          <t>893872069</t>
        </is>
      </c>
    </row>
    <row r="945">
      <c r="A945" t="inlineStr">
        <is>
          <t>No</t>
        </is>
      </c>
      <c r="B945" t="inlineStr">
        <is>
          <t>RC512 .P79</t>
        </is>
      </c>
      <c r="C945" t="inlineStr">
        <is>
          <t>0                      RC 0512000P  79</t>
        </is>
      </c>
      <c r="D945" t="inlineStr">
        <is>
          <t>Psychotic children grown up : a prospective follow-up study in adolescence and adulthood / William Goldfarb, Donald Meyers, Judy Florsheim, Nathan Goldfarb.</t>
        </is>
      </c>
      <c r="F945" t="inlineStr">
        <is>
          <t>No</t>
        </is>
      </c>
      <c r="G945" t="inlineStr">
        <is>
          <t>1</t>
        </is>
      </c>
      <c r="H945" t="inlineStr">
        <is>
          <t>No</t>
        </is>
      </c>
      <c r="I945" t="inlineStr">
        <is>
          <t>No</t>
        </is>
      </c>
      <c r="J945" t="inlineStr">
        <is>
          <t>0</t>
        </is>
      </c>
      <c r="L945" t="inlineStr">
        <is>
          <t>New York : Human Sciences Press, c1978.</t>
        </is>
      </c>
      <c r="M945" t="inlineStr">
        <is>
          <t>1978</t>
        </is>
      </c>
      <c r="O945" t="inlineStr">
        <is>
          <t>eng</t>
        </is>
      </c>
      <c r="P945" t="inlineStr">
        <is>
          <t>nyu</t>
        </is>
      </c>
      <c r="Q945" t="inlineStr">
        <is>
          <t>Issues in child mental health ; v. 5, no. 2</t>
        </is>
      </c>
      <c r="R945" t="inlineStr">
        <is>
          <t xml:space="preserve">RC </t>
        </is>
      </c>
      <c r="S945" t="n">
        <v>6</v>
      </c>
      <c r="T945" t="n">
        <v>6</v>
      </c>
      <c r="U945" t="inlineStr">
        <is>
          <t>2002-08-28</t>
        </is>
      </c>
      <c r="V945" t="inlineStr">
        <is>
          <t>2002-08-28</t>
        </is>
      </c>
      <c r="W945" t="inlineStr">
        <is>
          <t>1992-12-03</t>
        </is>
      </c>
      <c r="X945" t="inlineStr">
        <is>
          <t>1992-12-03</t>
        </is>
      </c>
      <c r="Y945" t="n">
        <v>187</v>
      </c>
      <c r="Z945" t="n">
        <v>155</v>
      </c>
      <c r="AA945" t="n">
        <v>156</v>
      </c>
      <c r="AB945" t="n">
        <v>1</v>
      </c>
      <c r="AC945" t="n">
        <v>1</v>
      </c>
      <c r="AD945" t="n">
        <v>3</v>
      </c>
      <c r="AE945" t="n">
        <v>3</v>
      </c>
      <c r="AF945" t="n">
        <v>0</v>
      </c>
      <c r="AG945" t="n">
        <v>0</v>
      </c>
      <c r="AH945" t="n">
        <v>1</v>
      </c>
      <c r="AI945" t="n">
        <v>1</v>
      </c>
      <c r="AJ945" t="n">
        <v>2</v>
      </c>
      <c r="AK945" t="n">
        <v>2</v>
      </c>
      <c r="AL945" t="n">
        <v>0</v>
      </c>
      <c r="AM945" t="n">
        <v>0</v>
      </c>
      <c r="AN945" t="n">
        <v>0</v>
      </c>
      <c r="AO945" t="n">
        <v>0</v>
      </c>
      <c r="AP945" t="inlineStr">
        <is>
          <t>No</t>
        </is>
      </c>
      <c r="AQ945" t="inlineStr">
        <is>
          <t>Yes</t>
        </is>
      </c>
      <c r="AR945">
        <f>HYPERLINK("http://catalog.hathitrust.org/Record/000302167","HathiTrust Record")</f>
        <v/>
      </c>
      <c r="AS945">
        <f>HYPERLINK("https://creighton-primo.hosted.exlibrisgroup.com/primo-explore/search?tab=default_tab&amp;search_scope=EVERYTHING&amp;vid=01CRU&amp;lang=en_US&amp;offset=0&amp;query=any,contains,991004764259702656","Catalog Record")</f>
        <v/>
      </c>
      <c r="AT945">
        <f>HYPERLINK("http://www.worldcat.org/oclc/5023423","WorldCat Record")</f>
        <v/>
      </c>
      <c r="AU945" t="inlineStr">
        <is>
          <t>3859224350:eng</t>
        </is>
      </c>
      <c r="AV945" t="inlineStr">
        <is>
          <t>5023423</t>
        </is>
      </c>
      <c r="AW945" t="inlineStr">
        <is>
          <t>991004764259702656</t>
        </is>
      </c>
      <c r="AX945" t="inlineStr">
        <is>
          <t>991004764259702656</t>
        </is>
      </c>
      <c r="AY945" t="inlineStr">
        <is>
          <t>2257265590002656</t>
        </is>
      </c>
      <c r="AZ945" t="inlineStr">
        <is>
          <t>BOOK</t>
        </is>
      </c>
      <c r="BB945" t="inlineStr">
        <is>
          <t>9780877053316</t>
        </is>
      </c>
      <c r="BC945" t="inlineStr">
        <is>
          <t>32285001411932</t>
        </is>
      </c>
      <c r="BD945" t="inlineStr">
        <is>
          <t>893353527</t>
        </is>
      </c>
    </row>
    <row r="946">
      <c r="A946" t="inlineStr">
        <is>
          <t>No</t>
        </is>
      </c>
      <c r="B946" t="inlineStr">
        <is>
          <t>RC512 .W313</t>
        </is>
      </c>
      <c r="C946" t="inlineStr">
        <is>
          <t>0                      RC 0512000W  313</t>
        </is>
      </c>
      <c r="D946" t="inlineStr">
        <is>
          <t>Schizophrenia : a philosophical reflection on Lacan's structuralist interpretation / Alphonse de Waelhens ; translated, with introd., notes, and bibliography by W. Ver Eecke.</t>
        </is>
      </c>
      <c r="F946" t="inlineStr">
        <is>
          <t>No</t>
        </is>
      </c>
      <c r="G946" t="inlineStr">
        <is>
          <t>1</t>
        </is>
      </c>
      <c r="H946" t="inlineStr">
        <is>
          <t>No</t>
        </is>
      </c>
      <c r="I946" t="inlineStr">
        <is>
          <t>No</t>
        </is>
      </c>
      <c r="J946" t="inlineStr">
        <is>
          <t>0</t>
        </is>
      </c>
      <c r="K946" t="inlineStr">
        <is>
          <t>Waelhens, Alphonse de.</t>
        </is>
      </c>
      <c r="L946" t="inlineStr">
        <is>
          <t>Pittsburgh : Duquesne University Press ; Atlantic Highlands, N.J. : distributed by Humanities Press, c1978.</t>
        </is>
      </c>
      <c r="M946" t="inlineStr">
        <is>
          <t>1978</t>
        </is>
      </c>
      <c r="O946" t="inlineStr">
        <is>
          <t>eng</t>
        </is>
      </c>
      <c r="P946" t="inlineStr">
        <is>
          <t>pau</t>
        </is>
      </c>
      <c r="Q946" t="inlineStr">
        <is>
          <t>Philosophical series ; v. 35</t>
        </is>
      </c>
      <c r="R946" t="inlineStr">
        <is>
          <t xml:space="preserve">RC </t>
        </is>
      </c>
      <c r="S946" t="n">
        <v>33</v>
      </c>
      <c r="T946" t="n">
        <v>33</v>
      </c>
      <c r="U946" t="inlineStr">
        <is>
          <t>2007-10-08</t>
        </is>
      </c>
      <c r="V946" t="inlineStr">
        <is>
          <t>2007-10-08</t>
        </is>
      </c>
      <c r="W946" t="inlineStr">
        <is>
          <t>1990-03-29</t>
        </is>
      </c>
      <c r="X946" t="inlineStr">
        <is>
          <t>1990-03-29</t>
        </is>
      </c>
      <c r="Y946" t="n">
        <v>304</v>
      </c>
      <c r="Z946" t="n">
        <v>258</v>
      </c>
      <c r="AA946" t="n">
        <v>265</v>
      </c>
      <c r="AB946" t="n">
        <v>2</v>
      </c>
      <c r="AC946" t="n">
        <v>2</v>
      </c>
      <c r="AD946" t="n">
        <v>22</v>
      </c>
      <c r="AE946" t="n">
        <v>22</v>
      </c>
      <c r="AF946" t="n">
        <v>6</v>
      </c>
      <c r="AG946" t="n">
        <v>6</v>
      </c>
      <c r="AH946" t="n">
        <v>7</v>
      </c>
      <c r="AI946" t="n">
        <v>7</v>
      </c>
      <c r="AJ946" t="n">
        <v>15</v>
      </c>
      <c r="AK946" t="n">
        <v>15</v>
      </c>
      <c r="AL946" t="n">
        <v>1</v>
      </c>
      <c r="AM946" t="n">
        <v>1</v>
      </c>
      <c r="AN946" t="n">
        <v>0</v>
      </c>
      <c r="AO946" t="n">
        <v>0</v>
      </c>
      <c r="AP946" t="inlineStr">
        <is>
          <t>No</t>
        </is>
      </c>
      <c r="AQ946" t="inlineStr">
        <is>
          <t>No</t>
        </is>
      </c>
      <c r="AS946">
        <f>HYPERLINK("https://creighton-primo.hosted.exlibrisgroup.com/primo-explore/search?tab=default_tab&amp;search_scope=EVERYTHING&amp;vid=01CRU&amp;lang=en_US&amp;offset=0&amp;query=any,contains,991004394009702656","Catalog Record")</f>
        <v/>
      </c>
      <c r="AT946">
        <f>HYPERLINK("http://www.worldcat.org/oclc/3274093","WorldCat Record")</f>
        <v/>
      </c>
      <c r="AU946" t="inlineStr">
        <is>
          <t>890717101:eng</t>
        </is>
      </c>
      <c r="AV946" t="inlineStr">
        <is>
          <t>3274093</t>
        </is>
      </c>
      <c r="AW946" t="inlineStr">
        <is>
          <t>991004394009702656</t>
        </is>
      </c>
      <c r="AX946" t="inlineStr">
        <is>
          <t>991004394009702656</t>
        </is>
      </c>
      <c r="AY946" t="inlineStr">
        <is>
          <t>2256177660002656</t>
        </is>
      </c>
      <c r="AZ946" t="inlineStr">
        <is>
          <t>BOOK</t>
        </is>
      </c>
      <c r="BB946" t="inlineStr">
        <is>
          <t>9780391006584</t>
        </is>
      </c>
      <c r="BC946" t="inlineStr">
        <is>
          <t>32285000106814</t>
        </is>
      </c>
      <c r="BD946" t="inlineStr">
        <is>
          <t>893500499</t>
        </is>
      </c>
    </row>
    <row r="947">
      <c r="A947" t="inlineStr">
        <is>
          <t>No</t>
        </is>
      </c>
      <c r="B947" t="inlineStr">
        <is>
          <t>RC514 .A63</t>
        </is>
      </c>
      <c r="C947" t="inlineStr">
        <is>
          <t>0                      RC 0514000A  63</t>
        </is>
      </c>
      <c r="D947" t="inlineStr">
        <is>
          <t>Psychopathology of schizophrenia / edited by Paul H. Hoch and Joseph Zubin.</t>
        </is>
      </c>
      <c r="F947" t="inlineStr">
        <is>
          <t>No</t>
        </is>
      </c>
      <c r="G947" t="inlineStr">
        <is>
          <t>1</t>
        </is>
      </c>
      <c r="H947" t="inlineStr">
        <is>
          <t>No</t>
        </is>
      </c>
      <c r="I947" t="inlineStr">
        <is>
          <t>No</t>
        </is>
      </c>
      <c r="J947" t="inlineStr">
        <is>
          <t>0</t>
        </is>
      </c>
      <c r="K947" t="inlineStr">
        <is>
          <t>American Psychopathological Association.</t>
        </is>
      </c>
      <c r="L947" t="inlineStr">
        <is>
          <t>New York : Grune &amp; Stratton, 1966.</t>
        </is>
      </c>
      <c r="M947" t="inlineStr">
        <is>
          <t>1966</t>
        </is>
      </c>
      <c r="O947" t="inlineStr">
        <is>
          <t>eng</t>
        </is>
      </c>
      <c r="P947" t="inlineStr">
        <is>
          <t>nyu</t>
        </is>
      </c>
      <c r="R947" t="inlineStr">
        <is>
          <t xml:space="preserve">RC </t>
        </is>
      </c>
      <c r="S947" t="n">
        <v>6</v>
      </c>
      <c r="T947" t="n">
        <v>6</v>
      </c>
      <c r="U947" t="inlineStr">
        <is>
          <t>2002-11-01</t>
        </is>
      </c>
      <c r="V947" t="inlineStr">
        <is>
          <t>2002-11-01</t>
        </is>
      </c>
      <c r="W947" t="inlineStr">
        <is>
          <t>1992-02-26</t>
        </is>
      </c>
      <c r="X947" t="inlineStr">
        <is>
          <t>1992-02-26</t>
        </is>
      </c>
      <c r="Y947" t="n">
        <v>231</v>
      </c>
      <c r="Z947" t="n">
        <v>193</v>
      </c>
      <c r="AA947" t="n">
        <v>205</v>
      </c>
      <c r="AB947" t="n">
        <v>2</v>
      </c>
      <c r="AC947" t="n">
        <v>2</v>
      </c>
      <c r="AD947" t="n">
        <v>12</v>
      </c>
      <c r="AE947" t="n">
        <v>12</v>
      </c>
      <c r="AF947" t="n">
        <v>2</v>
      </c>
      <c r="AG947" t="n">
        <v>2</v>
      </c>
      <c r="AH947" t="n">
        <v>3</v>
      </c>
      <c r="AI947" t="n">
        <v>3</v>
      </c>
      <c r="AJ947" t="n">
        <v>9</v>
      </c>
      <c r="AK947" t="n">
        <v>9</v>
      </c>
      <c r="AL947" t="n">
        <v>1</v>
      </c>
      <c r="AM947" t="n">
        <v>1</v>
      </c>
      <c r="AN947" t="n">
        <v>0</v>
      </c>
      <c r="AO947" t="n">
        <v>0</v>
      </c>
      <c r="AP947" t="inlineStr">
        <is>
          <t>No</t>
        </is>
      </c>
      <c r="AQ947" t="inlineStr">
        <is>
          <t>Yes</t>
        </is>
      </c>
      <c r="AR947">
        <f>HYPERLINK("http://catalog.hathitrust.org/Record/001564954","HathiTrust Record")</f>
        <v/>
      </c>
      <c r="AS947">
        <f>HYPERLINK("https://creighton-primo.hosted.exlibrisgroup.com/primo-explore/search?tab=default_tab&amp;search_scope=EVERYTHING&amp;vid=01CRU&amp;lang=en_US&amp;offset=0&amp;query=any,contains,991003469529702656","Catalog Record")</f>
        <v/>
      </c>
      <c r="AT947">
        <f>HYPERLINK("http://www.worldcat.org/oclc/14491452","WorldCat Record")</f>
        <v/>
      </c>
      <c r="AU947" t="inlineStr">
        <is>
          <t>350730931:eng</t>
        </is>
      </c>
      <c r="AV947" t="inlineStr">
        <is>
          <t>14491452</t>
        </is>
      </c>
      <c r="AW947" t="inlineStr">
        <is>
          <t>991003469529702656</t>
        </is>
      </c>
      <c r="AX947" t="inlineStr">
        <is>
          <t>991003469529702656</t>
        </is>
      </c>
      <c r="AY947" t="inlineStr">
        <is>
          <t>2255337960002656</t>
        </is>
      </c>
      <c r="AZ947" t="inlineStr">
        <is>
          <t>BOOK</t>
        </is>
      </c>
      <c r="BC947" t="inlineStr">
        <is>
          <t>32285000975473</t>
        </is>
      </c>
      <c r="BD947" t="inlineStr">
        <is>
          <t>893246374</t>
        </is>
      </c>
    </row>
    <row r="948">
      <c r="A948" t="inlineStr">
        <is>
          <t>No</t>
        </is>
      </c>
      <c r="B948" t="inlineStr">
        <is>
          <t>RC514 .A633 1984</t>
        </is>
      </c>
      <c r="C948" t="inlineStr">
        <is>
          <t>0                      RC 0514000A  633         1984</t>
        </is>
      </c>
      <c r="D948" t="inlineStr">
        <is>
          <t>Controversies in schizophrenia : changes and constancies : proceedings on the 74th Annual Meeting of the American Psychopathological Association, New York City, March 1-3, 1984 / edited by Murray Alpert.</t>
        </is>
      </c>
      <c r="F948" t="inlineStr">
        <is>
          <t>No</t>
        </is>
      </c>
      <c r="G948" t="inlineStr">
        <is>
          <t>1</t>
        </is>
      </c>
      <c r="H948" t="inlineStr">
        <is>
          <t>No</t>
        </is>
      </c>
      <c r="I948" t="inlineStr">
        <is>
          <t>No</t>
        </is>
      </c>
      <c r="J948" t="inlineStr">
        <is>
          <t>0</t>
        </is>
      </c>
      <c r="K948" t="inlineStr">
        <is>
          <t>American Psychopathological Association. Meeting (74th : 1984 : New York, N.Y.)</t>
        </is>
      </c>
      <c r="L948" t="inlineStr">
        <is>
          <t>New York : Guilford Press, c1985.</t>
        </is>
      </c>
      <c r="M948" t="inlineStr">
        <is>
          <t>1985</t>
        </is>
      </c>
      <c r="O948" t="inlineStr">
        <is>
          <t>eng</t>
        </is>
      </c>
      <c r="P948" t="inlineStr">
        <is>
          <t>nyu</t>
        </is>
      </c>
      <c r="R948" t="inlineStr">
        <is>
          <t xml:space="preserve">RC </t>
        </is>
      </c>
      <c r="S948" t="n">
        <v>16</v>
      </c>
      <c r="T948" t="n">
        <v>16</v>
      </c>
      <c r="U948" t="inlineStr">
        <is>
          <t>2007-10-12</t>
        </is>
      </c>
      <c r="V948" t="inlineStr">
        <is>
          <t>2007-10-12</t>
        </is>
      </c>
      <c r="W948" t="inlineStr">
        <is>
          <t>1990-04-09</t>
        </is>
      </c>
      <c r="X948" t="inlineStr">
        <is>
          <t>1990-04-09</t>
        </is>
      </c>
      <c r="Y948" t="n">
        <v>257</v>
      </c>
      <c r="Z948" t="n">
        <v>216</v>
      </c>
      <c r="AA948" t="n">
        <v>216</v>
      </c>
      <c r="AB948" t="n">
        <v>2</v>
      </c>
      <c r="AC948" t="n">
        <v>2</v>
      </c>
      <c r="AD948" t="n">
        <v>7</v>
      </c>
      <c r="AE948" t="n">
        <v>7</v>
      </c>
      <c r="AF948" t="n">
        <v>1</v>
      </c>
      <c r="AG948" t="n">
        <v>1</v>
      </c>
      <c r="AH948" t="n">
        <v>3</v>
      </c>
      <c r="AI948" t="n">
        <v>3</v>
      </c>
      <c r="AJ948" t="n">
        <v>4</v>
      </c>
      <c r="AK948" t="n">
        <v>4</v>
      </c>
      <c r="AL948" t="n">
        <v>1</v>
      </c>
      <c r="AM948" t="n">
        <v>1</v>
      </c>
      <c r="AN948" t="n">
        <v>0</v>
      </c>
      <c r="AO948" t="n">
        <v>0</v>
      </c>
      <c r="AP948" t="inlineStr">
        <is>
          <t>No</t>
        </is>
      </c>
      <c r="AQ948" t="inlineStr">
        <is>
          <t>No</t>
        </is>
      </c>
      <c r="AS948">
        <f>HYPERLINK("https://creighton-primo.hosted.exlibrisgroup.com/primo-explore/search?tab=default_tab&amp;search_scope=EVERYTHING&amp;vid=01CRU&amp;lang=en_US&amp;offset=0&amp;query=any,contains,991000542609702656","Catalog Record")</f>
        <v/>
      </c>
      <c r="AT948">
        <f>HYPERLINK("http://www.worldcat.org/oclc/11496832","WorldCat Record")</f>
        <v/>
      </c>
      <c r="AU948" t="inlineStr">
        <is>
          <t>143825047:eng</t>
        </is>
      </c>
      <c r="AV948" t="inlineStr">
        <is>
          <t>11496832</t>
        </is>
      </c>
      <c r="AW948" t="inlineStr">
        <is>
          <t>991000542609702656</t>
        </is>
      </c>
      <c r="AX948" t="inlineStr">
        <is>
          <t>991000542609702656</t>
        </is>
      </c>
      <c r="AY948" t="inlineStr">
        <is>
          <t>2260775300002656</t>
        </is>
      </c>
      <c r="AZ948" t="inlineStr">
        <is>
          <t>BOOK</t>
        </is>
      </c>
      <c r="BB948" t="inlineStr">
        <is>
          <t>9780898626575</t>
        </is>
      </c>
      <c r="BC948" t="inlineStr">
        <is>
          <t>32285000112986</t>
        </is>
      </c>
      <c r="BD948" t="inlineStr">
        <is>
          <t>893871772</t>
        </is>
      </c>
    </row>
    <row r="949">
      <c r="A949" t="inlineStr">
        <is>
          <t>No</t>
        </is>
      </c>
      <c r="B949" t="inlineStr">
        <is>
          <t>RC514 .A7 1974</t>
        </is>
      </c>
      <c r="C949" t="inlineStr">
        <is>
          <t>0                      RC 0514000A  7           1974</t>
        </is>
      </c>
      <c r="D949" t="inlineStr">
        <is>
          <t>Interpretation of schizophrenia.</t>
        </is>
      </c>
      <c r="F949" t="inlineStr">
        <is>
          <t>No</t>
        </is>
      </c>
      <c r="G949" t="inlineStr">
        <is>
          <t>1</t>
        </is>
      </c>
      <c r="H949" t="inlineStr">
        <is>
          <t>No</t>
        </is>
      </c>
      <c r="I949" t="inlineStr">
        <is>
          <t>Yes</t>
        </is>
      </c>
      <c r="J949" t="inlineStr">
        <is>
          <t>0</t>
        </is>
      </c>
      <c r="K949" t="inlineStr">
        <is>
          <t>Arieti, Silvano.</t>
        </is>
      </c>
      <c r="L949" t="inlineStr">
        <is>
          <t>New York : Basic Books, [1974]</t>
        </is>
      </c>
      <c r="M949" t="inlineStr">
        <is>
          <t>1974</t>
        </is>
      </c>
      <c r="N949" t="inlineStr">
        <is>
          <t>2d ed., completely rev. and expanded.</t>
        </is>
      </c>
      <c r="O949" t="inlineStr">
        <is>
          <t>eng</t>
        </is>
      </c>
      <c r="P949" t="inlineStr">
        <is>
          <t>nyu</t>
        </is>
      </c>
      <c r="R949" t="inlineStr">
        <is>
          <t xml:space="preserve">RC </t>
        </is>
      </c>
      <c r="S949" t="n">
        <v>9</v>
      </c>
      <c r="T949" t="n">
        <v>9</v>
      </c>
      <c r="U949" t="inlineStr">
        <is>
          <t>2002-11-01</t>
        </is>
      </c>
      <c r="V949" t="inlineStr">
        <is>
          <t>2002-11-01</t>
        </is>
      </c>
      <c r="W949" t="inlineStr">
        <is>
          <t>1992-03-13</t>
        </is>
      </c>
      <c r="X949" t="inlineStr">
        <is>
          <t>1992-03-13</t>
        </is>
      </c>
      <c r="Y949" t="n">
        <v>887</v>
      </c>
      <c r="Z949" t="n">
        <v>785</v>
      </c>
      <c r="AA949" t="n">
        <v>1055</v>
      </c>
      <c r="AB949" t="n">
        <v>7</v>
      </c>
      <c r="AC949" t="n">
        <v>8</v>
      </c>
      <c r="AD949" t="n">
        <v>34</v>
      </c>
      <c r="AE949" t="n">
        <v>45</v>
      </c>
      <c r="AF949" t="n">
        <v>15</v>
      </c>
      <c r="AG949" t="n">
        <v>19</v>
      </c>
      <c r="AH949" t="n">
        <v>7</v>
      </c>
      <c r="AI949" t="n">
        <v>9</v>
      </c>
      <c r="AJ949" t="n">
        <v>14</v>
      </c>
      <c r="AK949" t="n">
        <v>20</v>
      </c>
      <c r="AL949" t="n">
        <v>5</v>
      </c>
      <c r="AM949" t="n">
        <v>6</v>
      </c>
      <c r="AN949" t="n">
        <v>0</v>
      </c>
      <c r="AO949" t="n">
        <v>1</v>
      </c>
      <c r="AP949" t="inlineStr">
        <is>
          <t>No</t>
        </is>
      </c>
      <c r="AQ949" t="inlineStr">
        <is>
          <t>Yes</t>
        </is>
      </c>
      <c r="AR949">
        <f>HYPERLINK("http://catalog.hathitrust.org/Record/000016919","HathiTrust Record")</f>
        <v/>
      </c>
      <c r="AS949">
        <f>HYPERLINK("https://creighton-primo.hosted.exlibrisgroup.com/primo-explore/search?tab=default_tab&amp;search_scope=EVERYTHING&amp;vid=01CRU&amp;lang=en_US&amp;offset=0&amp;query=any,contains,991005243339702656","Catalog Record")</f>
        <v/>
      </c>
      <c r="AT949">
        <f>HYPERLINK("http://www.worldcat.org/oclc/1029523","WorldCat Record")</f>
        <v/>
      </c>
      <c r="AU949" t="inlineStr">
        <is>
          <t>487457:eng</t>
        </is>
      </c>
      <c r="AV949" t="inlineStr">
        <is>
          <t>1029523</t>
        </is>
      </c>
      <c r="AW949" t="inlineStr">
        <is>
          <t>991005243339702656</t>
        </is>
      </c>
      <c r="AX949" t="inlineStr">
        <is>
          <t>991005243339702656</t>
        </is>
      </c>
      <c r="AY949" t="inlineStr">
        <is>
          <t>2255304250002656</t>
        </is>
      </c>
      <c r="AZ949" t="inlineStr">
        <is>
          <t>BOOK</t>
        </is>
      </c>
      <c r="BB949" t="inlineStr">
        <is>
          <t>9780465034291</t>
        </is>
      </c>
      <c r="BC949" t="inlineStr">
        <is>
          <t>32285001020220</t>
        </is>
      </c>
      <c r="BD949" t="inlineStr">
        <is>
          <t>893424789</t>
        </is>
      </c>
    </row>
    <row r="950">
      <c r="A950" t="inlineStr">
        <is>
          <t>No</t>
        </is>
      </c>
      <c r="B950" t="inlineStr">
        <is>
          <t>RC514 .A838 1995</t>
        </is>
      </c>
      <c r="C950" t="inlineStr">
        <is>
          <t>0                      RC 0514000A  838         1995</t>
        </is>
      </c>
      <c r="D950" t="inlineStr">
        <is>
          <t>Families coping with schizophrenia : a practitioner's guide to family groups / Jacqueline M. Atkinson and Denise A. Coia.</t>
        </is>
      </c>
      <c r="F950" t="inlineStr">
        <is>
          <t>No</t>
        </is>
      </c>
      <c r="G950" t="inlineStr">
        <is>
          <t>1</t>
        </is>
      </c>
      <c r="H950" t="inlineStr">
        <is>
          <t>No</t>
        </is>
      </c>
      <c r="I950" t="inlineStr">
        <is>
          <t>No</t>
        </is>
      </c>
      <c r="J950" t="inlineStr">
        <is>
          <t>0</t>
        </is>
      </c>
      <c r="K950" t="inlineStr">
        <is>
          <t>Atkinson, Jacqueline M.</t>
        </is>
      </c>
      <c r="L950" t="inlineStr">
        <is>
          <t>Chichester ; New York : J. Wiley &amp; Sons, 1995.</t>
        </is>
      </c>
      <c r="M950" t="inlineStr">
        <is>
          <t>1995</t>
        </is>
      </c>
      <c r="O950" t="inlineStr">
        <is>
          <t>eng</t>
        </is>
      </c>
      <c r="P950" t="inlineStr">
        <is>
          <t>enk</t>
        </is>
      </c>
      <c r="R950" t="inlineStr">
        <is>
          <t xml:space="preserve">RC </t>
        </is>
      </c>
      <c r="S950" t="n">
        <v>16</v>
      </c>
      <c r="T950" t="n">
        <v>16</v>
      </c>
      <c r="U950" t="inlineStr">
        <is>
          <t>2009-03-11</t>
        </is>
      </c>
      <c r="V950" t="inlineStr">
        <is>
          <t>2009-03-11</t>
        </is>
      </c>
      <c r="W950" t="inlineStr">
        <is>
          <t>1996-08-23</t>
        </is>
      </c>
      <c r="X950" t="inlineStr">
        <is>
          <t>1996-08-23</t>
        </is>
      </c>
      <c r="Y950" t="n">
        <v>212</v>
      </c>
      <c r="Z950" t="n">
        <v>129</v>
      </c>
      <c r="AA950" t="n">
        <v>131</v>
      </c>
      <c r="AB950" t="n">
        <v>2</v>
      </c>
      <c r="AC950" t="n">
        <v>2</v>
      </c>
      <c r="AD950" t="n">
        <v>7</v>
      </c>
      <c r="AE950" t="n">
        <v>7</v>
      </c>
      <c r="AF950" t="n">
        <v>3</v>
      </c>
      <c r="AG950" t="n">
        <v>3</v>
      </c>
      <c r="AH950" t="n">
        <v>0</v>
      </c>
      <c r="AI950" t="n">
        <v>0</v>
      </c>
      <c r="AJ950" t="n">
        <v>6</v>
      </c>
      <c r="AK950" t="n">
        <v>6</v>
      </c>
      <c r="AL950" t="n">
        <v>1</v>
      </c>
      <c r="AM950" t="n">
        <v>1</v>
      </c>
      <c r="AN950" t="n">
        <v>0</v>
      </c>
      <c r="AO950" t="n">
        <v>0</v>
      </c>
      <c r="AP950" t="inlineStr">
        <is>
          <t>No</t>
        </is>
      </c>
      <c r="AQ950" t="inlineStr">
        <is>
          <t>Yes</t>
        </is>
      </c>
      <c r="AR950">
        <f>HYPERLINK("http://catalog.hathitrust.org/Record/002974386","HathiTrust Record")</f>
        <v/>
      </c>
      <c r="AS950">
        <f>HYPERLINK("https://creighton-primo.hosted.exlibrisgroup.com/primo-explore/search?tab=default_tab&amp;search_scope=EVERYTHING&amp;vid=01CRU&amp;lang=en_US&amp;offset=0&amp;query=any,contains,991002398579702656","Catalog Record")</f>
        <v/>
      </c>
      <c r="AT950">
        <f>HYPERLINK("http://www.worldcat.org/oclc/31170457","WorldCat Record")</f>
        <v/>
      </c>
      <c r="AU950" t="inlineStr">
        <is>
          <t>32921926:eng</t>
        </is>
      </c>
      <c r="AV950" t="inlineStr">
        <is>
          <t>31170457</t>
        </is>
      </c>
      <c r="AW950" t="inlineStr">
        <is>
          <t>991002398579702656</t>
        </is>
      </c>
      <c r="AX950" t="inlineStr">
        <is>
          <t>991002398579702656</t>
        </is>
      </c>
      <c r="AY950" t="inlineStr">
        <is>
          <t>2256213990002656</t>
        </is>
      </c>
      <c r="AZ950" t="inlineStr">
        <is>
          <t>BOOK</t>
        </is>
      </c>
      <c r="BB950" t="inlineStr">
        <is>
          <t>9780471941811</t>
        </is>
      </c>
      <c r="BC950" t="inlineStr">
        <is>
          <t>32285002291853</t>
        </is>
      </c>
      <c r="BD950" t="inlineStr">
        <is>
          <t>893341380</t>
        </is>
      </c>
    </row>
    <row r="951">
      <c r="A951" t="inlineStr">
        <is>
          <t>No</t>
        </is>
      </c>
      <c r="B951" t="inlineStr">
        <is>
          <t>RC514 .B28 1994</t>
        </is>
      </c>
      <c r="C951" t="inlineStr">
        <is>
          <t>0                      RC 0514000B  28          1994</t>
        </is>
      </c>
      <c r="D951" t="inlineStr">
        <is>
          <t>The family face of schizophrenia : practical counsel from America's leading experts / by Patricia Backlar ; introduction by Nancy C. Andreasen.</t>
        </is>
      </c>
      <c r="F951" t="inlineStr">
        <is>
          <t>No</t>
        </is>
      </c>
      <c r="G951" t="inlineStr">
        <is>
          <t>1</t>
        </is>
      </c>
      <c r="H951" t="inlineStr">
        <is>
          <t>No</t>
        </is>
      </c>
      <c r="I951" t="inlineStr">
        <is>
          <t>No</t>
        </is>
      </c>
      <c r="J951" t="inlineStr">
        <is>
          <t>0</t>
        </is>
      </c>
      <c r="K951" t="inlineStr">
        <is>
          <t>Backlar, Patricia, 1932-</t>
        </is>
      </c>
      <c r="L951" t="inlineStr">
        <is>
          <t>New York : Putnam, c1994.</t>
        </is>
      </c>
      <c r="M951" t="inlineStr">
        <is>
          <t>1994</t>
        </is>
      </c>
      <c r="O951" t="inlineStr">
        <is>
          <t>eng</t>
        </is>
      </c>
      <c r="P951" t="inlineStr">
        <is>
          <t>nyu</t>
        </is>
      </c>
      <c r="R951" t="inlineStr">
        <is>
          <t xml:space="preserve">RC </t>
        </is>
      </c>
      <c r="S951" t="n">
        <v>13</v>
      </c>
      <c r="T951" t="n">
        <v>13</v>
      </c>
      <c r="U951" t="inlineStr">
        <is>
          <t>2009-03-11</t>
        </is>
      </c>
      <c r="V951" t="inlineStr">
        <is>
          <t>2009-03-11</t>
        </is>
      </c>
      <c r="W951" t="inlineStr">
        <is>
          <t>1995-04-10</t>
        </is>
      </c>
      <c r="X951" t="inlineStr">
        <is>
          <t>1995-04-10</t>
        </is>
      </c>
      <c r="Y951" t="n">
        <v>223</v>
      </c>
      <c r="Z951" t="n">
        <v>205</v>
      </c>
      <c r="AA951" t="n">
        <v>280</v>
      </c>
      <c r="AB951" t="n">
        <v>1</v>
      </c>
      <c r="AC951" t="n">
        <v>2</v>
      </c>
      <c r="AD951" t="n">
        <v>2</v>
      </c>
      <c r="AE951" t="n">
        <v>3</v>
      </c>
      <c r="AF951" t="n">
        <v>1</v>
      </c>
      <c r="AG951" t="n">
        <v>1</v>
      </c>
      <c r="AH951" t="n">
        <v>1</v>
      </c>
      <c r="AI951" t="n">
        <v>1</v>
      </c>
      <c r="AJ951" t="n">
        <v>1</v>
      </c>
      <c r="AK951" t="n">
        <v>1</v>
      </c>
      <c r="AL951" t="n">
        <v>0</v>
      </c>
      <c r="AM951" t="n">
        <v>1</v>
      </c>
      <c r="AN951" t="n">
        <v>0</v>
      </c>
      <c r="AO951" t="n">
        <v>0</v>
      </c>
      <c r="AP951" t="inlineStr">
        <is>
          <t>No</t>
        </is>
      </c>
      <c r="AQ951" t="inlineStr">
        <is>
          <t>Yes</t>
        </is>
      </c>
      <c r="AR951">
        <f>HYPERLINK("http://catalog.hathitrust.org/Record/008513970","HathiTrust Record")</f>
        <v/>
      </c>
      <c r="AS951">
        <f>HYPERLINK("https://creighton-primo.hosted.exlibrisgroup.com/primo-explore/search?tab=default_tab&amp;search_scope=EVERYTHING&amp;vid=01CRU&amp;lang=en_US&amp;offset=0&amp;query=any,contains,991002157459702656","Catalog Record")</f>
        <v/>
      </c>
      <c r="AT951">
        <f>HYPERLINK("http://www.worldcat.org/oclc/27810551","WorldCat Record")</f>
        <v/>
      </c>
      <c r="AU951" t="inlineStr">
        <is>
          <t>230320480:eng</t>
        </is>
      </c>
      <c r="AV951" t="inlineStr">
        <is>
          <t>27810551</t>
        </is>
      </c>
      <c r="AW951" t="inlineStr">
        <is>
          <t>991002157459702656</t>
        </is>
      </c>
      <c r="AX951" t="inlineStr">
        <is>
          <t>991002157459702656</t>
        </is>
      </c>
      <c r="AY951" t="inlineStr">
        <is>
          <t>2259167330002656</t>
        </is>
      </c>
      <c r="AZ951" t="inlineStr">
        <is>
          <t>BOOK</t>
        </is>
      </c>
      <c r="BB951" t="inlineStr">
        <is>
          <t>9780874777468</t>
        </is>
      </c>
      <c r="BC951" t="inlineStr">
        <is>
          <t>32285002017993</t>
        </is>
      </c>
      <c r="BD951" t="inlineStr">
        <is>
          <t>893590981</t>
        </is>
      </c>
    </row>
    <row r="952">
      <c r="A952" t="inlineStr">
        <is>
          <t>No</t>
        </is>
      </c>
      <c r="B952" t="inlineStr">
        <is>
          <t>RC514 .B44</t>
        </is>
      </c>
      <c r="C952" t="inlineStr">
        <is>
          <t>0                      RC 0514000B  44</t>
        </is>
      </c>
      <c r="D952" t="inlineStr">
        <is>
          <t>The schizophrenic syndrome. Leopold Bellak and Laurence Loeb, editors.</t>
        </is>
      </c>
      <c r="F952" t="inlineStr">
        <is>
          <t>No</t>
        </is>
      </c>
      <c r="G952" t="inlineStr">
        <is>
          <t>1</t>
        </is>
      </c>
      <c r="H952" t="inlineStr">
        <is>
          <t>No</t>
        </is>
      </c>
      <c r="I952" t="inlineStr">
        <is>
          <t>No</t>
        </is>
      </c>
      <c r="J952" t="inlineStr">
        <is>
          <t>0</t>
        </is>
      </c>
      <c r="K952" t="inlineStr">
        <is>
          <t>Bellak, Leopold, 1916-2000.</t>
        </is>
      </c>
      <c r="L952" t="inlineStr">
        <is>
          <t>New York, Grune &amp; Stratton [1969]</t>
        </is>
      </c>
      <c r="M952" t="inlineStr">
        <is>
          <t>1969</t>
        </is>
      </c>
      <c r="O952" t="inlineStr">
        <is>
          <t>eng</t>
        </is>
      </c>
      <c r="P952" t="inlineStr">
        <is>
          <t>nyu</t>
        </is>
      </c>
      <c r="R952" t="inlineStr">
        <is>
          <t xml:space="preserve">RC </t>
        </is>
      </c>
      <c r="S952" t="n">
        <v>3</v>
      </c>
      <c r="T952" t="n">
        <v>3</v>
      </c>
      <c r="U952" t="inlineStr">
        <is>
          <t>1999-11-01</t>
        </is>
      </c>
      <c r="V952" t="inlineStr">
        <is>
          <t>1999-11-01</t>
        </is>
      </c>
      <c r="W952" t="inlineStr">
        <is>
          <t>1997-08-12</t>
        </is>
      </c>
      <c r="X952" t="inlineStr">
        <is>
          <t>1997-08-12</t>
        </is>
      </c>
      <c r="Y952" t="n">
        <v>359</v>
      </c>
      <c r="Z952" t="n">
        <v>276</v>
      </c>
      <c r="AA952" t="n">
        <v>280</v>
      </c>
      <c r="AB952" t="n">
        <v>1</v>
      </c>
      <c r="AC952" t="n">
        <v>1</v>
      </c>
      <c r="AD952" t="n">
        <v>17</v>
      </c>
      <c r="AE952" t="n">
        <v>17</v>
      </c>
      <c r="AF952" t="n">
        <v>5</v>
      </c>
      <c r="AG952" t="n">
        <v>5</v>
      </c>
      <c r="AH952" t="n">
        <v>6</v>
      </c>
      <c r="AI952" t="n">
        <v>6</v>
      </c>
      <c r="AJ952" t="n">
        <v>10</v>
      </c>
      <c r="AK952" t="n">
        <v>10</v>
      </c>
      <c r="AL952" t="n">
        <v>0</v>
      </c>
      <c r="AM952" t="n">
        <v>0</v>
      </c>
      <c r="AN952" t="n">
        <v>0</v>
      </c>
      <c r="AO952" t="n">
        <v>0</v>
      </c>
      <c r="AP952" t="inlineStr">
        <is>
          <t>No</t>
        </is>
      </c>
      <c r="AQ952" t="inlineStr">
        <is>
          <t>Yes</t>
        </is>
      </c>
      <c r="AR952">
        <f>HYPERLINK("http://catalog.hathitrust.org/Record/001564960","HathiTrust Record")</f>
        <v/>
      </c>
      <c r="AS952">
        <f>HYPERLINK("https://creighton-primo.hosted.exlibrisgroup.com/primo-explore/search?tab=default_tab&amp;search_scope=EVERYTHING&amp;vid=01CRU&amp;lang=en_US&amp;offset=0&amp;query=any,contains,991000039239702656","Catalog Record")</f>
        <v/>
      </c>
      <c r="AT952">
        <f>HYPERLINK("http://www.worldcat.org/oclc/21444","WorldCat Record")</f>
        <v/>
      </c>
      <c r="AU952" t="inlineStr">
        <is>
          <t>1143769:eng</t>
        </is>
      </c>
      <c r="AV952" t="inlineStr">
        <is>
          <t>21444</t>
        </is>
      </c>
      <c r="AW952" t="inlineStr">
        <is>
          <t>991000039239702656</t>
        </is>
      </c>
      <c r="AX952" t="inlineStr">
        <is>
          <t>991000039239702656</t>
        </is>
      </c>
      <c r="AY952" t="inlineStr">
        <is>
          <t>2261503080002656</t>
        </is>
      </c>
      <c r="AZ952" t="inlineStr">
        <is>
          <t>BOOK</t>
        </is>
      </c>
      <c r="BC952" t="inlineStr">
        <is>
          <t>32285003092359</t>
        </is>
      </c>
      <c r="BD952" t="inlineStr">
        <is>
          <t>893437946</t>
        </is>
      </c>
    </row>
    <row r="953">
      <c r="A953" t="inlineStr">
        <is>
          <t>No</t>
        </is>
      </c>
      <c r="B953" t="inlineStr">
        <is>
          <t>RC514 .B47 1979</t>
        </is>
      </c>
      <c r="C953" t="inlineStr">
        <is>
          <t>0                      RC 0514000B  47          1979</t>
        </is>
      </c>
      <c r="D953" t="inlineStr">
        <is>
          <t>Schizophrenia : symptoms, causes, treatments / Kayla F. Bernheim, Richard R. J. Lewine.</t>
        </is>
      </c>
      <c r="F953" t="inlineStr">
        <is>
          <t>No</t>
        </is>
      </c>
      <c r="G953" t="inlineStr">
        <is>
          <t>1</t>
        </is>
      </c>
      <c r="H953" t="inlineStr">
        <is>
          <t>No</t>
        </is>
      </c>
      <c r="I953" t="inlineStr">
        <is>
          <t>No</t>
        </is>
      </c>
      <c r="J953" t="inlineStr">
        <is>
          <t>0</t>
        </is>
      </c>
      <c r="K953" t="inlineStr">
        <is>
          <t>Bernheim, Kayla F.</t>
        </is>
      </c>
      <c r="L953" t="inlineStr">
        <is>
          <t>New York : Norton, c1979.</t>
        </is>
      </c>
      <c r="M953" t="inlineStr">
        <is>
          <t>1979</t>
        </is>
      </c>
      <c r="N953" t="inlineStr">
        <is>
          <t>1st ed.</t>
        </is>
      </c>
      <c r="O953" t="inlineStr">
        <is>
          <t>eng</t>
        </is>
      </c>
      <c r="P953" t="inlineStr">
        <is>
          <t>nyu</t>
        </is>
      </c>
      <c r="R953" t="inlineStr">
        <is>
          <t xml:space="preserve">RC </t>
        </is>
      </c>
      <c r="S953" t="n">
        <v>62</v>
      </c>
      <c r="T953" t="n">
        <v>62</v>
      </c>
      <c r="U953" t="inlineStr">
        <is>
          <t>2009-03-11</t>
        </is>
      </c>
      <c r="V953" t="inlineStr">
        <is>
          <t>2009-03-11</t>
        </is>
      </c>
      <c r="W953" t="inlineStr">
        <is>
          <t>1998-08-06</t>
        </is>
      </c>
      <c r="X953" t="inlineStr">
        <is>
          <t>1998-08-06</t>
        </is>
      </c>
      <c r="Y953" t="n">
        <v>754</v>
      </c>
      <c r="Z953" t="n">
        <v>658</v>
      </c>
      <c r="AA953" t="n">
        <v>662</v>
      </c>
      <c r="AB953" t="n">
        <v>6</v>
      </c>
      <c r="AC953" t="n">
        <v>6</v>
      </c>
      <c r="AD953" t="n">
        <v>21</v>
      </c>
      <c r="AE953" t="n">
        <v>21</v>
      </c>
      <c r="AF953" t="n">
        <v>8</v>
      </c>
      <c r="AG953" t="n">
        <v>8</v>
      </c>
      <c r="AH953" t="n">
        <v>4</v>
      </c>
      <c r="AI953" t="n">
        <v>4</v>
      </c>
      <c r="AJ953" t="n">
        <v>11</v>
      </c>
      <c r="AK953" t="n">
        <v>11</v>
      </c>
      <c r="AL953" t="n">
        <v>3</v>
      </c>
      <c r="AM953" t="n">
        <v>3</v>
      </c>
      <c r="AN953" t="n">
        <v>0</v>
      </c>
      <c r="AO953" t="n">
        <v>0</v>
      </c>
      <c r="AP953" t="inlineStr">
        <is>
          <t>No</t>
        </is>
      </c>
      <c r="AQ953" t="inlineStr">
        <is>
          <t>No</t>
        </is>
      </c>
      <c r="AS953">
        <f>HYPERLINK("https://creighton-primo.hosted.exlibrisgroup.com/primo-explore/search?tab=default_tab&amp;search_scope=EVERYTHING&amp;vid=01CRU&amp;lang=en_US&amp;offset=0&amp;query=any,contains,991004605659702656","Catalog Record")</f>
        <v/>
      </c>
      <c r="AT953">
        <f>HYPERLINK("http://www.worldcat.org/oclc/4194393","WorldCat Record")</f>
        <v/>
      </c>
      <c r="AU953" t="inlineStr">
        <is>
          <t>425174186:eng</t>
        </is>
      </c>
      <c r="AV953" t="inlineStr">
        <is>
          <t>4194393</t>
        </is>
      </c>
      <c r="AW953" t="inlineStr">
        <is>
          <t>991004605659702656</t>
        </is>
      </c>
      <c r="AX953" t="inlineStr">
        <is>
          <t>991004605659702656</t>
        </is>
      </c>
      <c r="AY953" t="inlineStr">
        <is>
          <t>2262474410002656</t>
        </is>
      </c>
      <c r="AZ953" t="inlineStr">
        <is>
          <t>BOOK</t>
        </is>
      </c>
      <c r="BB953" t="inlineStr">
        <is>
          <t>9780393011746</t>
        </is>
      </c>
      <c r="BC953" t="inlineStr">
        <is>
          <t>32285003262184</t>
        </is>
      </c>
      <c r="BD953" t="inlineStr">
        <is>
          <t>893618859</t>
        </is>
      </c>
    </row>
    <row r="954">
      <c r="A954" t="inlineStr">
        <is>
          <t>No</t>
        </is>
      </c>
      <c r="B954" t="inlineStr">
        <is>
          <t>RC514 .B48</t>
        </is>
      </c>
      <c r="C954" t="inlineStr">
        <is>
          <t>0                      RC 0514000B  48</t>
        </is>
      </c>
      <c r="D954" t="inlineStr">
        <is>
          <t>Beyond the double bind : communication and family systems, theories, and techniques with schizophrenics / edited by Milton M. Berger.</t>
        </is>
      </c>
      <c r="F954" t="inlineStr">
        <is>
          <t>No</t>
        </is>
      </c>
      <c r="G954" t="inlineStr">
        <is>
          <t>1</t>
        </is>
      </c>
      <c r="H954" t="inlineStr">
        <is>
          <t>No</t>
        </is>
      </c>
      <c r="I954" t="inlineStr">
        <is>
          <t>No</t>
        </is>
      </c>
      <c r="J954" t="inlineStr">
        <is>
          <t>0</t>
        </is>
      </c>
      <c r="L954" t="inlineStr">
        <is>
          <t>New York : Brunner/Mazel, c1978.</t>
        </is>
      </c>
      <c r="M954" t="inlineStr">
        <is>
          <t>1978</t>
        </is>
      </c>
      <c r="O954" t="inlineStr">
        <is>
          <t>eng</t>
        </is>
      </c>
      <c r="P954" t="inlineStr">
        <is>
          <t>nyu</t>
        </is>
      </c>
      <c r="R954" t="inlineStr">
        <is>
          <t xml:space="preserve">RC </t>
        </is>
      </c>
      <c r="S954" t="n">
        <v>2</v>
      </c>
      <c r="T954" t="n">
        <v>2</v>
      </c>
      <c r="U954" t="inlineStr">
        <is>
          <t>1995-04-06</t>
        </is>
      </c>
      <c r="V954" t="inlineStr">
        <is>
          <t>1995-04-06</t>
        </is>
      </c>
      <c r="W954" t="inlineStr">
        <is>
          <t>1993-03-23</t>
        </is>
      </c>
      <c r="X954" t="inlineStr">
        <is>
          <t>1993-03-23</t>
        </is>
      </c>
      <c r="Y954" t="n">
        <v>453</v>
      </c>
      <c r="Z954" t="n">
        <v>369</v>
      </c>
      <c r="AA954" t="n">
        <v>385</v>
      </c>
      <c r="AB954" t="n">
        <v>2</v>
      </c>
      <c r="AC954" t="n">
        <v>2</v>
      </c>
      <c r="AD954" t="n">
        <v>14</v>
      </c>
      <c r="AE954" t="n">
        <v>16</v>
      </c>
      <c r="AF954" t="n">
        <v>4</v>
      </c>
      <c r="AG954" t="n">
        <v>5</v>
      </c>
      <c r="AH954" t="n">
        <v>3</v>
      </c>
      <c r="AI954" t="n">
        <v>4</v>
      </c>
      <c r="AJ954" t="n">
        <v>9</v>
      </c>
      <c r="AK954" t="n">
        <v>9</v>
      </c>
      <c r="AL954" t="n">
        <v>1</v>
      </c>
      <c r="AM954" t="n">
        <v>1</v>
      </c>
      <c r="AN954" t="n">
        <v>0</v>
      </c>
      <c r="AO954" t="n">
        <v>0</v>
      </c>
      <c r="AP954" t="inlineStr">
        <is>
          <t>No</t>
        </is>
      </c>
      <c r="AQ954" t="inlineStr">
        <is>
          <t>Yes</t>
        </is>
      </c>
      <c r="AR954">
        <f>HYPERLINK("http://catalog.hathitrust.org/Record/000083892","HathiTrust Record")</f>
        <v/>
      </c>
      <c r="AS954">
        <f>HYPERLINK("https://creighton-primo.hosted.exlibrisgroup.com/primo-explore/search?tab=default_tab&amp;search_scope=EVERYTHING&amp;vid=01CRU&amp;lang=en_US&amp;offset=0&amp;query=any,contains,991004573239702656","Catalog Record")</f>
        <v/>
      </c>
      <c r="AT954">
        <f>HYPERLINK("http://www.worldcat.org/oclc/4036688","WorldCat Record")</f>
        <v/>
      </c>
      <c r="AU954" t="inlineStr">
        <is>
          <t>905431115:eng</t>
        </is>
      </c>
      <c r="AV954" t="inlineStr">
        <is>
          <t>4036688</t>
        </is>
      </c>
      <c r="AW954" t="inlineStr">
        <is>
          <t>991004573239702656</t>
        </is>
      </c>
      <c r="AX954" t="inlineStr">
        <is>
          <t>991004573239702656</t>
        </is>
      </c>
      <c r="AY954" t="inlineStr">
        <is>
          <t>2269528380002656</t>
        </is>
      </c>
      <c r="AZ954" t="inlineStr">
        <is>
          <t>BOOK</t>
        </is>
      </c>
      <c r="BB954" t="inlineStr">
        <is>
          <t>9780876301845</t>
        </is>
      </c>
      <c r="BC954" t="inlineStr">
        <is>
          <t>32285001607349</t>
        </is>
      </c>
      <c r="BD954" t="inlineStr">
        <is>
          <t>893895165</t>
        </is>
      </c>
    </row>
    <row r="955">
      <c r="A955" t="inlineStr">
        <is>
          <t>No</t>
        </is>
      </c>
      <c r="B955" t="inlineStr">
        <is>
          <t>RC514 .B525 1982</t>
        </is>
      </c>
      <c r="C955" t="inlineStr">
        <is>
          <t>0                      RC 0514000B  525         1982</t>
        </is>
      </c>
      <c r="D955" t="inlineStr">
        <is>
          <t>Biological aspects of schizophrenia and addiction / edited by Gwynneth Hemmings.</t>
        </is>
      </c>
      <c r="F955" t="inlineStr">
        <is>
          <t>No</t>
        </is>
      </c>
      <c r="G955" t="inlineStr">
        <is>
          <t>1</t>
        </is>
      </c>
      <c r="H955" t="inlineStr">
        <is>
          <t>No</t>
        </is>
      </c>
      <c r="I955" t="inlineStr">
        <is>
          <t>No</t>
        </is>
      </c>
      <c r="J955" t="inlineStr">
        <is>
          <t>0</t>
        </is>
      </c>
      <c r="L955" t="inlineStr">
        <is>
          <t>Chichester [Sussex] ; New York : Wiley, c1982.</t>
        </is>
      </c>
      <c r="M955" t="inlineStr">
        <is>
          <t>1982</t>
        </is>
      </c>
      <c r="O955" t="inlineStr">
        <is>
          <t>eng</t>
        </is>
      </c>
      <c r="P955" t="inlineStr">
        <is>
          <t>enk</t>
        </is>
      </c>
      <c r="R955" t="inlineStr">
        <is>
          <t xml:space="preserve">RC </t>
        </is>
      </c>
      <c r="S955" t="n">
        <v>23</v>
      </c>
      <c r="T955" t="n">
        <v>23</v>
      </c>
      <c r="U955" t="inlineStr">
        <is>
          <t>2006-11-26</t>
        </is>
      </c>
      <c r="V955" t="inlineStr">
        <is>
          <t>2006-11-26</t>
        </is>
      </c>
      <c r="W955" t="inlineStr">
        <is>
          <t>1992-11-03</t>
        </is>
      </c>
      <c r="X955" t="inlineStr">
        <is>
          <t>1992-11-03</t>
        </is>
      </c>
      <c r="Y955" t="n">
        <v>212</v>
      </c>
      <c r="Z955" t="n">
        <v>155</v>
      </c>
      <c r="AA955" t="n">
        <v>157</v>
      </c>
      <c r="AB955" t="n">
        <v>1</v>
      </c>
      <c r="AC955" t="n">
        <v>1</v>
      </c>
      <c r="AD955" t="n">
        <v>3</v>
      </c>
      <c r="AE955" t="n">
        <v>3</v>
      </c>
      <c r="AF955" t="n">
        <v>1</v>
      </c>
      <c r="AG955" t="n">
        <v>1</v>
      </c>
      <c r="AH955" t="n">
        <v>0</v>
      </c>
      <c r="AI955" t="n">
        <v>0</v>
      </c>
      <c r="AJ955" t="n">
        <v>3</v>
      </c>
      <c r="AK955" t="n">
        <v>3</v>
      </c>
      <c r="AL955" t="n">
        <v>0</v>
      </c>
      <c r="AM955" t="n">
        <v>0</v>
      </c>
      <c r="AN955" t="n">
        <v>0</v>
      </c>
      <c r="AO955" t="n">
        <v>0</v>
      </c>
      <c r="AP955" t="inlineStr">
        <is>
          <t>No</t>
        </is>
      </c>
      <c r="AQ955" t="inlineStr">
        <is>
          <t>Yes</t>
        </is>
      </c>
      <c r="AR955">
        <f>HYPERLINK("http://catalog.hathitrust.org/Record/000105511","HathiTrust Record")</f>
        <v/>
      </c>
      <c r="AS955">
        <f>HYPERLINK("https://creighton-primo.hosted.exlibrisgroup.com/primo-explore/search?tab=default_tab&amp;search_scope=EVERYTHING&amp;vid=01CRU&amp;lang=en_US&amp;offset=0&amp;query=any,contains,991005167789702656","Catalog Record")</f>
        <v/>
      </c>
      <c r="AT955">
        <f>HYPERLINK("http://www.worldcat.org/oclc/7837085","WorldCat Record")</f>
        <v/>
      </c>
      <c r="AU955" t="inlineStr">
        <is>
          <t>54461201:eng</t>
        </is>
      </c>
      <c r="AV955" t="inlineStr">
        <is>
          <t>7837085</t>
        </is>
      </c>
      <c r="AW955" t="inlineStr">
        <is>
          <t>991005167789702656</t>
        </is>
      </c>
      <c r="AX955" t="inlineStr">
        <is>
          <t>991005167789702656</t>
        </is>
      </c>
      <c r="AY955" t="inlineStr">
        <is>
          <t>2256775260002656</t>
        </is>
      </c>
      <c r="AZ955" t="inlineStr">
        <is>
          <t>BOOK</t>
        </is>
      </c>
      <c r="BB955" t="inlineStr">
        <is>
          <t>9780471101178</t>
        </is>
      </c>
      <c r="BC955" t="inlineStr">
        <is>
          <t>32285001381002</t>
        </is>
      </c>
      <c r="BD955" t="inlineStr">
        <is>
          <t>893248478</t>
        </is>
      </c>
    </row>
    <row r="956">
      <c r="A956" t="inlineStr">
        <is>
          <t>No</t>
        </is>
      </c>
      <c r="B956" t="inlineStr">
        <is>
          <t>RC514 .B7</t>
        </is>
      </c>
      <c r="C956" t="inlineStr">
        <is>
          <t>0                      RC 0514000B  7</t>
        </is>
      </c>
      <c r="D956" t="inlineStr">
        <is>
          <t>Psychotherapy with schizophrenics / edited by Eugene B. Brody and Fredrick C. Redlich. Introd. by Robert P. Knight.</t>
        </is>
      </c>
      <c r="F956" t="inlineStr">
        <is>
          <t>No</t>
        </is>
      </c>
      <c r="G956" t="inlineStr">
        <is>
          <t>1</t>
        </is>
      </c>
      <c r="H956" t="inlineStr">
        <is>
          <t>No</t>
        </is>
      </c>
      <c r="I956" t="inlineStr">
        <is>
          <t>No</t>
        </is>
      </c>
      <c r="J956" t="inlineStr">
        <is>
          <t>0</t>
        </is>
      </c>
      <c r="K956" t="inlineStr">
        <is>
          <t>Brody, Eugene B. editor.</t>
        </is>
      </c>
      <c r="L956" t="inlineStr">
        <is>
          <t>New York : International Universities Press, [1952]</t>
        </is>
      </c>
      <c r="M956" t="inlineStr">
        <is>
          <t>1952</t>
        </is>
      </c>
      <c r="O956" t="inlineStr">
        <is>
          <t>eng</t>
        </is>
      </c>
      <c r="P956" t="inlineStr">
        <is>
          <t>nyu</t>
        </is>
      </c>
      <c r="Q956" t="inlineStr">
        <is>
          <t>Monograph series on schizophrenia ; no. 3</t>
        </is>
      </c>
      <c r="R956" t="inlineStr">
        <is>
          <t xml:space="preserve">RC </t>
        </is>
      </c>
      <c r="S956" t="n">
        <v>6</v>
      </c>
      <c r="T956" t="n">
        <v>6</v>
      </c>
      <c r="U956" t="inlineStr">
        <is>
          <t>1999-02-22</t>
        </is>
      </c>
      <c r="V956" t="inlineStr">
        <is>
          <t>1999-02-22</t>
        </is>
      </c>
      <c r="W956" t="inlineStr">
        <is>
          <t>1990-04-02</t>
        </is>
      </c>
      <c r="X956" t="inlineStr">
        <is>
          <t>1990-04-02</t>
        </is>
      </c>
      <c r="Y956" t="n">
        <v>324</v>
      </c>
      <c r="Z956" t="n">
        <v>280</v>
      </c>
      <c r="AA956" t="n">
        <v>386</v>
      </c>
      <c r="AB956" t="n">
        <v>2</v>
      </c>
      <c r="AC956" t="n">
        <v>3</v>
      </c>
      <c r="AD956" t="n">
        <v>11</v>
      </c>
      <c r="AE956" t="n">
        <v>18</v>
      </c>
      <c r="AF956" t="n">
        <v>2</v>
      </c>
      <c r="AG956" t="n">
        <v>5</v>
      </c>
      <c r="AH956" t="n">
        <v>2</v>
      </c>
      <c r="AI956" t="n">
        <v>2</v>
      </c>
      <c r="AJ956" t="n">
        <v>7</v>
      </c>
      <c r="AK956" t="n">
        <v>11</v>
      </c>
      <c r="AL956" t="n">
        <v>1</v>
      </c>
      <c r="AM956" t="n">
        <v>2</v>
      </c>
      <c r="AN956" t="n">
        <v>0</v>
      </c>
      <c r="AO956" t="n">
        <v>0</v>
      </c>
      <c r="AP956" t="inlineStr">
        <is>
          <t>No</t>
        </is>
      </c>
      <c r="AQ956" t="inlineStr">
        <is>
          <t>No</t>
        </is>
      </c>
      <c r="AR956">
        <f>HYPERLINK("http://catalog.hathitrust.org/Record/000620867","HathiTrust Record")</f>
        <v/>
      </c>
      <c r="AS956">
        <f>HYPERLINK("https://creighton-primo.hosted.exlibrisgroup.com/primo-explore/search?tab=default_tab&amp;search_scope=EVERYTHING&amp;vid=01CRU&amp;lang=en_US&amp;offset=0&amp;query=any,contains,991003838319702656","Catalog Record")</f>
        <v/>
      </c>
      <c r="AT956">
        <f>HYPERLINK("http://www.worldcat.org/oclc/1610070","WorldCat Record")</f>
        <v/>
      </c>
      <c r="AU956" t="inlineStr">
        <is>
          <t>354071103:eng</t>
        </is>
      </c>
      <c r="AV956" t="inlineStr">
        <is>
          <t>1610070</t>
        </is>
      </c>
      <c r="AW956" t="inlineStr">
        <is>
          <t>991003838319702656</t>
        </is>
      </c>
      <c r="AX956" t="inlineStr">
        <is>
          <t>991003838319702656</t>
        </is>
      </c>
      <c r="AY956" t="inlineStr">
        <is>
          <t>2268540980002656</t>
        </is>
      </c>
      <c r="AZ956" t="inlineStr">
        <is>
          <t>BOOK</t>
        </is>
      </c>
      <c r="BC956" t="inlineStr">
        <is>
          <t>32285000100031</t>
        </is>
      </c>
      <c r="BD956" t="inlineStr">
        <is>
          <t>893868939</t>
        </is>
      </c>
    </row>
    <row r="957">
      <c r="A957" t="inlineStr">
        <is>
          <t>No</t>
        </is>
      </c>
      <c r="B957" t="inlineStr">
        <is>
          <t>RC514 .B87</t>
        </is>
      </c>
      <c r="C957" t="inlineStr">
        <is>
          <t>0                      RC 0514000B  87</t>
        </is>
      </c>
      <c r="D957" t="inlineStr">
        <is>
          <t>Theories of schizophrenia / edited by Arnold H. Buss and Edith H. Buss.</t>
        </is>
      </c>
      <c r="F957" t="inlineStr">
        <is>
          <t>No</t>
        </is>
      </c>
      <c r="G957" t="inlineStr">
        <is>
          <t>1</t>
        </is>
      </c>
      <c r="H957" t="inlineStr">
        <is>
          <t>No</t>
        </is>
      </c>
      <c r="I957" t="inlineStr">
        <is>
          <t>No</t>
        </is>
      </c>
      <c r="J957" t="inlineStr">
        <is>
          <t>0</t>
        </is>
      </c>
      <c r="K957" t="inlineStr">
        <is>
          <t>Buss, Arnold H., 1924- compiler.</t>
        </is>
      </c>
      <c r="L957" t="inlineStr">
        <is>
          <t>New York : Atherton Press, 1969.</t>
        </is>
      </c>
      <c r="M957" t="inlineStr">
        <is>
          <t>1969</t>
        </is>
      </c>
      <c r="N957" t="inlineStr">
        <is>
          <t>[1st ed.]</t>
        </is>
      </c>
      <c r="O957" t="inlineStr">
        <is>
          <t>eng</t>
        </is>
      </c>
      <c r="P957" t="inlineStr">
        <is>
          <t>nyu</t>
        </is>
      </c>
      <c r="Q957" t="inlineStr">
        <is>
          <t>[An Atherton controversy]</t>
        </is>
      </c>
      <c r="R957" t="inlineStr">
        <is>
          <t xml:space="preserve">RC </t>
        </is>
      </c>
      <c r="S957" t="n">
        <v>12</v>
      </c>
      <c r="T957" t="n">
        <v>12</v>
      </c>
      <c r="U957" t="inlineStr">
        <is>
          <t>2005-10-02</t>
        </is>
      </c>
      <c r="V957" t="inlineStr">
        <is>
          <t>2005-10-02</t>
        </is>
      </c>
      <c r="W957" t="inlineStr">
        <is>
          <t>1992-11-30</t>
        </is>
      </c>
      <c r="X957" t="inlineStr">
        <is>
          <t>1992-11-30</t>
        </is>
      </c>
      <c r="Y957" t="n">
        <v>536</v>
      </c>
      <c r="Z957" t="n">
        <v>464</v>
      </c>
      <c r="AA957" t="n">
        <v>481</v>
      </c>
      <c r="AB957" t="n">
        <v>4</v>
      </c>
      <c r="AC957" t="n">
        <v>4</v>
      </c>
      <c r="AD957" t="n">
        <v>20</v>
      </c>
      <c r="AE957" t="n">
        <v>22</v>
      </c>
      <c r="AF957" t="n">
        <v>6</v>
      </c>
      <c r="AG957" t="n">
        <v>7</v>
      </c>
      <c r="AH957" t="n">
        <v>4</v>
      </c>
      <c r="AI957" t="n">
        <v>5</v>
      </c>
      <c r="AJ957" t="n">
        <v>12</v>
      </c>
      <c r="AK957" t="n">
        <v>12</v>
      </c>
      <c r="AL957" t="n">
        <v>3</v>
      </c>
      <c r="AM957" t="n">
        <v>3</v>
      </c>
      <c r="AN957" t="n">
        <v>0</v>
      </c>
      <c r="AO957" t="n">
        <v>0</v>
      </c>
      <c r="AP957" t="inlineStr">
        <is>
          <t>No</t>
        </is>
      </c>
      <c r="AQ957" t="inlineStr">
        <is>
          <t>Yes</t>
        </is>
      </c>
      <c r="AR957">
        <f>HYPERLINK("http://catalog.hathitrust.org/Record/001564968","HathiTrust Record")</f>
        <v/>
      </c>
      <c r="AS957">
        <f>HYPERLINK("https://creighton-primo.hosted.exlibrisgroup.com/primo-explore/search?tab=default_tab&amp;search_scope=EVERYTHING&amp;vid=01CRU&amp;lang=en_US&amp;offset=0&amp;query=any,contains,991005434999702656","Catalog Record")</f>
        <v/>
      </c>
      <c r="AT957">
        <f>HYPERLINK("http://www.worldcat.org/oclc/2708","WorldCat Record")</f>
        <v/>
      </c>
      <c r="AU957" t="inlineStr">
        <is>
          <t>353952913:eng</t>
        </is>
      </c>
      <c r="AV957" t="inlineStr">
        <is>
          <t>2708</t>
        </is>
      </c>
      <c r="AW957" t="inlineStr">
        <is>
          <t>991005434999702656</t>
        </is>
      </c>
      <c r="AX957" t="inlineStr">
        <is>
          <t>991005434999702656</t>
        </is>
      </c>
      <c r="AY957" t="inlineStr">
        <is>
          <t>2262727410002656</t>
        </is>
      </c>
      <c r="AZ957" t="inlineStr">
        <is>
          <t>BOOK</t>
        </is>
      </c>
      <c r="BC957" t="inlineStr">
        <is>
          <t>32285001409928</t>
        </is>
      </c>
      <c r="BD957" t="inlineStr">
        <is>
          <t>893883888</t>
        </is>
      </c>
    </row>
    <row r="958">
      <c r="A958" t="inlineStr">
        <is>
          <t>No</t>
        </is>
      </c>
      <c r="B958" t="inlineStr">
        <is>
          <t>RC514 .C47</t>
        </is>
      </c>
      <c r="C958" t="inlineStr">
        <is>
          <t>0                      RC 0514000C  47</t>
        </is>
      </c>
      <c r="D958" t="inlineStr">
        <is>
          <t>Intensive psychotherapy of the borderline patient / Richard D. Chessick.</t>
        </is>
      </c>
      <c r="F958" t="inlineStr">
        <is>
          <t>No</t>
        </is>
      </c>
      <c r="G958" t="inlineStr">
        <is>
          <t>1</t>
        </is>
      </c>
      <c r="H958" t="inlineStr">
        <is>
          <t>No</t>
        </is>
      </c>
      <c r="I958" t="inlineStr">
        <is>
          <t>No</t>
        </is>
      </c>
      <c r="J958" t="inlineStr">
        <is>
          <t>0</t>
        </is>
      </c>
      <c r="K958" t="inlineStr">
        <is>
          <t>Chessick, Richard D., 1931-</t>
        </is>
      </c>
      <c r="L958" t="inlineStr">
        <is>
          <t>New York : J. Aronson, c1977.</t>
        </is>
      </c>
      <c r="M958" t="inlineStr">
        <is>
          <t>1977</t>
        </is>
      </c>
      <c r="O958" t="inlineStr">
        <is>
          <t>eng</t>
        </is>
      </c>
      <c r="P958" t="inlineStr">
        <is>
          <t>nyu</t>
        </is>
      </c>
      <c r="R958" t="inlineStr">
        <is>
          <t xml:space="preserve">RC </t>
        </is>
      </c>
      <c r="S958" t="n">
        <v>3</v>
      </c>
      <c r="T958" t="n">
        <v>3</v>
      </c>
      <c r="U958" t="inlineStr">
        <is>
          <t>1998-10-31</t>
        </is>
      </c>
      <c r="V958" t="inlineStr">
        <is>
          <t>1998-10-31</t>
        </is>
      </c>
      <c r="W958" t="inlineStr">
        <is>
          <t>1997-08-12</t>
        </is>
      </c>
      <c r="X958" t="inlineStr">
        <is>
          <t>1997-08-12</t>
        </is>
      </c>
      <c r="Y958" t="n">
        <v>222</v>
      </c>
      <c r="Z958" t="n">
        <v>178</v>
      </c>
      <c r="AA958" t="n">
        <v>198</v>
      </c>
      <c r="AB958" t="n">
        <v>2</v>
      </c>
      <c r="AC958" t="n">
        <v>2</v>
      </c>
      <c r="AD958" t="n">
        <v>10</v>
      </c>
      <c r="AE958" t="n">
        <v>10</v>
      </c>
      <c r="AF958" t="n">
        <v>2</v>
      </c>
      <c r="AG958" t="n">
        <v>2</v>
      </c>
      <c r="AH958" t="n">
        <v>2</v>
      </c>
      <c r="AI958" t="n">
        <v>2</v>
      </c>
      <c r="AJ958" t="n">
        <v>7</v>
      </c>
      <c r="AK958" t="n">
        <v>7</v>
      </c>
      <c r="AL958" t="n">
        <v>1</v>
      </c>
      <c r="AM958" t="n">
        <v>1</v>
      </c>
      <c r="AN958" t="n">
        <v>0</v>
      </c>
      <c r="AO958" t="n">
        <v>0</v>
      </c>
      <c r="AP958" t="inlineStr">
        <is>
          <t>No</t>
        </is>
      </c>
      <c r="AQ958" t="inlineStr">
        <is>
          <t>No</t>
        </is>
      </c>
      <c r="AS958">
        <f>HYPERLINK("https://creighton-primo.hosted.exlibrisgroup.com/primo-explore/search?tab=default_tab&amp;search_scope=EVERYTHING&amp;vid=01CRU&amp;lang=en_US&amp;offset=0&amp;query=any,contains,991004315849702656","Catalog Record")</f>
        <v/>
      </c>
      <c r="AT958">
        <f>HYPERLINK("http://www.worldcat.org/oclc/3003838","WorldCat Record")</f>
        <v/>
      </c>
      <c r="AU958" t="inlineStr">
        <is>
          <t>534728:eng</t>
        </is>
      </c>
      <c r="AV958" t="inlineStr">
        <is>
          <t>3003838</t>
        </is>
      </c>
      <c r="AW958" t="inlineStr">
        <is>
          <t>991004315849702656</t>
        </is>
      </c>
      <c r="AX958" t="inlineStr">
        <is>
          <t>991004315849702656</t>
        </is>
      </c>
      <c r="AY958" t="inlineStr">
        <is>
          <t>2272789070002656</t>
        </is>
      </c>
      <c r="AZ958" t="inlineStr">
        <is>
          <t>BOOK</t>
        </is>
      </c>
      <c r="BB958" t="inlineStr">
        <is>
          <t>9780876682548</t>
        </is>
      </c>
      <c r="BC958" t="inlineStr">
        <is>
          <t>32285003092367</t>
        </is>
      </c>
      <c r="BD958" t="inlineStr">
        <is>
          <t>893337561</t>
        </is>
      </c>
    </row>
    <row r="959">
      <c r="A959" t="inlineStr">
        <is>
          <t>No</t>
        </is>
      </c>
      <c r="B959" t="inlineStr">
        <is>
          <t>RC514 .C615 1976</t>
        </is>
      </c>
      <c r="C959" t="inlineStr">
        <is>
          <t>0                      RC 0514000C  615         1976</t>
        </is>
      </c>
      <c r="D959" t="inlineStr">
        <is>
          <t>The Construction of madness : emerging conceptions and interventions into the psychotic process / edited by Peter A. Magaro.</t>
        </is>
      </c>
      <c r="F959" t="inlineStr">
        <is>
          <t>No</t>
        </is>
      </c>
      <c r="G959" t="inlineStr">
        <is>
          <t>1</t>
        </is>
      </c>
      <c r="H959" t="inlineStr">
        <is>
          <t>No</t>
        </is>
      </c>
      <c r="I959" t="inlineStr">
        <is>
          <t>No</t>
        </is>
      </c>
      <c r="J959" t="inlineStr">
        <is>
          <t>0</t>
        </is>
      </c>
      <c r="L959" t="inlineStr">
        <is>
          <t>New York : Pergamon Press, 1976.</t>
        </is>
      </c>
      <c r="M959" t="inlineStr">
        <is>
          <t>1976</t>
        </is>
      </c>
      <c r="N959" t="inlineStr">
        <is>
          <t>1st ed.</t>
        </is>
      </c>
      <c r="O959" t="inlineStr">
        <is>
          <t>eng</t>
        </is>
      </c>
      <c r="P959" t="inlineStr">
        <is>
          <t>nyu</t>
        </is>
      </c>
      <c r="Q959" t="inlineStr">
        <is>
          <t>Pergamon general psychology series ; 59</t>
        </is>
      </c>
      <c r="R959" t="inlineStr">
        <is>
          <t xml:space="preserve">RC </t>
        </is>
      </c>
      <c r="S959" t="n">
        <v>7</v>
      </c>
      <c r="T959" t="n">
        <v>7</v>
      </c>
      <c r="U959" t="inlineStr">
        <is>
          <t>1995-11-15</t>
        </is>
      </c>
      <c r="V959" t="inlineStr">
        <is>
          <t>1995-11-15</t>
        </is>
      </c>
      <c r="W959" t="inlineStr">
        <is>
          <t>1992-10-29</t>
        </is>
      </c>
      <c r="X959" t="inlineStr">
        <is>
          <t>1992-10-29</t>
        </is>
      </c>
      <c r="Y959" t="n">
        <v>279</v>
      </c>
      <c r="Z959" t="n">
        <v>224</v>
      </c>
      <c r="AA959" t="n">
        <v>229</v>
      </c>
      <c r="AB959" t="n">
        <v>3</v>
      </c>
      <c r="AC959" t="n">
        <v>3</v>
      </c>
      <c r="AD959" t="n">
        <v>14</v>
      </c>
      <c r="AE959" t="n">
        <v>14</v>
      </c>
      <c r="AF959" t="n">
        <v>4</v>
      </c>
      <c r="AG959" t="n">
        <v>4</v>
      </c>
      <c r="AH959" t="n">
        <v>3</v>
      </c>
      <c r="AI959" t="n">
        <v>3</v>
      </c>
      <c r="AJ959" t="n">
        <v>6</v>
      </c>
      <c r="AK959" t="n">
        <v>6</v>
      </c>
      <c r="AL959" t="n">
        <v>2</v>
      </c>
      <c r="AM959" t="n">
        <v>2</v>
      </c>
      <c r="AN959" t="n">
        <v>0</v>
      </c>
      <c r="AO959" t="n">
        <v>0</v>
      </c>
      <c r="AP959" t="inlineStr">
        <is>
          <t>No</t>
        </is>
      </c>
      <c r="AQ959" t="inlineStr">
        <is>
          <t>Yes</t>
        </is>
      </c>
      <c r="AR959">
        <f>HYPERLINK("http://catalog.hathitrust.org/Record/009905890","HathiTrust Record")</f>
        <v/>
      </c>
      <c r="AS959">
        <f>HYPERLINK("https://creighton-primo.hosted.exlibrisgroup.com/primo-explore/search?tab=default_tab&amp;search_scope=EVERYTHING&amp;vid=01CRU&amp;lang=en_US&amp;offset=0&amp;query=any,contains,991004181539702656","Catalog Record")</f>
        <v/>
      </c>
      <c r="AT959">
        <f>HYPERLINK("http://www.worldcat.org/oclc/2605828","WorldCat Record")</f>
        <v/>
      </c>
      <c r="AU959" t="inlineStr">
        <is>
          <t>836668367:eng</t>
        </is>
      </c>
      <c r="AV959" t="inlineStr">
        <is>
          <t>2605828</t>
        </is>
      </c>
      <c r="AW959" t="inlineStr">
        <is>
          <t>991004181539702656</t>
        </is>
      </c>
      <c r="AX959" t="inlineStr">
        <is>
          <t>991004181539702656</t>
        </is>
      </c>
      <c r="AY959" t="inlineStr">
        <is>
          <t>2270196480002656</t>
        </is>
      </c>
      <c r="AZ959" t="inlineStr">
        <is>
          <t>BOOK</t>
        </is>
      </c>
      <c r="BB959" t="inlineStr">
        <is>
          <t>9780080199047</t>
        </is>
      </c>
      <c r="BC959" t="inlineStr">
        <is>
          <t>32285001385953</t>
        </is>
      </c>
      <c r="BD959" t="inlineStr">
        <is>
          <t>893235149</t>
        </is>
      </c>
    </row>
    <row r="960">
      <c r="A960" t="inlineStr">
        <is>
          <t>No</t>
        </is>
      </c>
      <c r="B960" t="inlineStr">
        <is>
          <t>RC514 .C6155 1986</t>
        </is>
      </c>
      <c r="C960" t="inlineStr">
        <is>
          <t>0                      RC 0514000C  6155        1986</t>
        </is>
      </c>
      <c r="D960" t="inlineStr">
        <is>
          <t>Contemporary issues in schizophrenia / edited by Alan Kerr, Philip Snaith ; with the assistance of Stanley Thorley (indexing) Alison Campbell.</t>
        </is>
      </c>
      <c r="F960" t="inlineStr">
        <is>
          <t>No</t>
        </is>
      </c>
      <c r="G960" t="inlineStr">
        <is>
          <t>1</t>
        </is>
      </c>
      <c r="H960" t="inlineStr">
        <is>
          <t>Yes</t>
        </is>
      </c>
      <c r="I960" t="inlineStr">
        <is>
          <t>No</t>
        </is>
      </c>
      <c r="J960" t="inlineStr">
        <is>
          <t>0</t>
        </is>
      </c>
      <c r="L960" t="inlineStr">
        <is>
          <t>London : Gaskell ; [Washington, D.C.] : Distributed in North America by American Psychiatric Press, c1986.</t>
        </is>
      </c>
      <c r="M960" t="inlineStr">
        <is>
          <t>1986</t>
        </is>
      </c>
      <c r="O960" t="inlineStr">
        <is>
          <t>eng</t>
        </is>
      </c>
      <c r="P960" t="inlineStr">
        <is>
          <t>enk</t>
        </is>
      </c>
      <c r="R960" t="inlineStr">
        <is>
          <t xml:space="preserve">RC </t>
        </is>
      </c>
      <c r="S960" t="n">
        <v>28</v>
      </c>
      <c r="T960" t="n">
        <v>45</v>
      </c>
      <c r="U960" t="inlineStr">
        <is>
          <t>2003-04-27</t>
        </is>
      </c>
      <c r="V960" t="inlineStr">
        <is>
          <t>2003-04-27</t>
        </is>
      </c>
      <c r="W960" t="inlineStr">
        <is>
          <t>1992-03-20</t>
        </is>
      </c>
      <c r="X960" t="inlineStr">
        <is>
          <t>1992-03-20</t>
        </is>
      </c>
      <c r="Y960" t="n">
        <v>164</v>
      </c>
      <c r="Z960" t="n">
        <v>97</v>
      </c>
      <c r="AA960" t="n">
        <v>99</v>
      </c>
      <c r="AB960" t="n">
        <v>2</v>
      </c>
      <c r="AC960" t="n">
        <v>2</v>
      </c>
      <c r="AD960" t="n">
        <v>4</v>
      </c>
      <c r="AE960" t="n">
        <v>4</v>
      </c>
      <c r="AF960" t="n">
        <v>3</v>
      </c>
      <c r="AG960" t="n">
        <v>3</v>
      </c>
      <c r="AH960" t="n">
        <v>0</v>
      </c>
      <c r="AI960" t="n">
        <v>0</v>
      </c>
      <c r="AJ960" t="n">
        <v>3</v>
      </c>
      <c r="AK960" t="n">
        <v>3</v>
      </c>
      <c r="AL960" t="n">
        <v>0</v>
      </c>
      <c r="AM960" t="n">
        <v>0</v>
      </c>
      <c r="AN960" t="n">
        <v>0</v>
      </c>
      <c r="AO960" t="n">
        <v>0</v>
      </c>
      <c r="AP960" t="inlineStr">
        <is>
          <t>No</t>
        </is>
      </c>
      <c r="AQ960" t="inlineStr">
        <is>
          <t>Yes</t>
        </is>
      </c>
      <c r="AR960">
        <f>HYPERLINK("http://catalog.hathitrust.org/Record/010389190","HathiTrust Record")</f>
        <v/>
      </c>
      <c r="AS960">
        <f>HYPERLINK("https://creighton-primo.hosted.exlibrisgroup.com/primo-explore/search?tab=default_tab&amp;search_scope=EVERYTHING&amp;vid=01CRU&amp;lang=en_US&amp;offset=0&amp;query=any,contains,991001786669702656","Catalog Record")</f>
        <v/>
      </c>
      <c r="AT960">
        <f>HYPERLINK("http://www.worldcat.org/oclc/13718786","WorldCat Record")</f>
        <v/>
      </c>
      <c r="AU960" t="inlineStr">
        <is>
          <t>353017188:eng</t>
        </is>
      </c>
      <c r="AV960" t="inlineStr">
        <is>
          <t>13718786</t>
        </is>
      </c>
      <c r="AW960" t="inlineStr">
        <is>
          <t>991001786669702656</t>
        </is>
      </c>
      <c r="AX960" t="inlineStr">
        <is>
          <t>991001786669702656</t>
        </is>
      </c>
      <c r="AY960" t="inlineStr">
        <is>
          <t>2257622740002656</t>
        </is>
      </c>
      <c r="AZ960" t="inlineStr">
        <is>
          <t>BOOK</t>
        </is>
      </c>
      <c r="BB960" t="inlineStr">
        <is>
          <t>9780880482288</t>
        </is>
      </c>
      <c r="BC960" t="inlineStr">
        <is>
          <t>32285001025328</t>
        </is>
      </c>
      <c r="BD960" t="inlineStr">
        <is>
          <t>893602898</t>
        </is>
      </c>
    </row>
    <row r="961">
      <c r="A961" t="inlineStr">
        <is>
          <t>No</t>
        </is>
      </c>
      <c r="B961" t="inlineStr">
        <is>
          <t>RC514 .D53</t>
        </is>
      </c>
      <c r="C961" t="inlineStr">
        <is>
          <t>0                      RC 0514000D  53</t>
        </is>
      </c>
      <c r="D961" t="inlineStr">
        <is>
          <t>Disorders of the schizophrenic syndrome / edited by Leopold Bellak.</t>
        </is>
      </c>
      <c r="F961" t="inlineStr">
        <is>
          <t>No</t>
        </is>
      </c>
      <c r="G961" t="inlineStr">
        <is>
          <t>1</t>
        </is>
      </c>
      <c r="H961" t="inlineStr">
        <is>
          <t>No</t>
        </is>
      </c>
      <c r="I961" t="inlineStr">
        <is>
          <t>No</t>
        </is>
      </c>
      <c r="J961" t="inlineStr">
        <is>
          <t>0</t>
        </is>
      </c>
      <c r="L961" t="inlineStr">
        <is>
          <t>New York : Basic Books, c1979.</t>
        </is>
      </c>
      <c r="M961" t="inlineStr">
        <is>
          <t>1979</t>
        </is>
      </c>
      <c r="O961" t="inlineStr">
        <is>
          <t>eng</t>
        </is>
      </c>
      <c r="P961" t="inlineStr">
        <is>
          <t>nyu</t>
        </is>
      </c>
      <c r="R961" t="inlineStr">
        <is>
          <t xml:space="preserve">RC </t>
        </is>
      </c>
      <c r="S961" t="n">
        <v>15</v>
      </c>
      <c r="T961" t="n">
        <v>15</v>
      </c>
      <c r="U961" t="inlineStr">
        <is>
          <t>2004-02-23</t>
        </is>
      </c>
      <c r="V961" t="inlineStr">
        <is>
          <t>2004-02-23</t>
        </is>
      </c>
      <c r="W961" t="inlineStr">
        <is>
          <t>1989-12-08</t>
        </is>
      </c>
      <c r="X961" t="inlineStr">
        <is>
          <t>1989-12-08</t>
        </is>
      </c>
      <c r="Y961" t="n">
        <v>366</v>
      </c>
      <c r="Z961" t="n">
        <v>297</v>
      </c>
      <c r="AA961" t="n">
        <v>313</v>
      </c>
      <c r="AB961" t="n">
        <v>2</v>
      </c>
      <c r="AC961" t="n">
        <v>2</v>
      </c>
      <c r="AD961" t="n">
        <v>13</v>
      </c>
      <c r="AE961" t="n">
        <v>15</v>
      </c>
      <c r="AF961" t="n">
        <v>3</v>
      </c>
      <c r="AG961" t="n">
        <v>4</v>
      </c>
      <c r="AH961" t="n">
        <v>3</v>
      </c>
      <c r="AI961" t="n">
        <v>4</v>
      </c>
      <c r="AJ961" t="n">
        <v>9</v>
      </c>
      <c r="AK961" t="n">
        <v>9</v>
      </c>
      <c r="AL961" t="n">
        <v>1</v>
      </c>
      <c r="AM961" t="n">
        <v>1</v>
      </c>
      <c r="AN961" t="n">
        <v>0</v>
      </c>
      <c r="AO961" t="n">
        <v>0</v>
      </c>
      <c r="AP961" t="inlineStr">
        <is>
          <t>No</t>
        </is>
      </c>
      <c r="AQ961" t="inlineStr">
        <is>
          <t>Yes</t>
        </is>
      </c>
      <c r="AR961">
        <f>HYPERLINK("http://catalog.hathitrust.org/Record/000028055","HathiTrust Record")</f>
        <v/>
      </c>
      <c r="AS961">
        <f>HYPERLINK("https://creighton-primo.hosted.exlibrisgroup.com/primo-explore/search?tab=default_tab&amp;search_scope=EVERYTHING&amp;vid=01CRU&amp;lang=en_US&amp;offset=0&amp;query=any,contains,991004901089702656","Catalog Record")</f>
        <v/>
      </c>
      <c r="AT961">
        <f>HYPERLINK("http://www.worldcat.org/oclc/5937827","WorldCat Record")</f>
        <v/>
      </c>
      <c r="AU961" t="inlineStr">
        <is>
          <t>3857796814:eng</t>
        </is>
      </c>
      <c r="AV961" t="inlineStr">
        <is>
          <t>5937827</t>
        </is>
      </c>
      <c r="AW961" t="inlineStr">
        <is>
          <t>991004901089702656</t>
        </is>
      </c>
      <c r="AX961" t="inlineStr">
        <is>
          <t>991004901089702656</t>
        </is>
      </c>
      <c r="AY961" t="inlineStr">
        <is>
          <t>2263854980002656</t>
        </is>
      </c>
      <c r="AZ961" t="inlineStr">
        <is>
          <t>BOOK</t>
        </is>
      </c>
      <c r="BB961" t="inlineStr">
        <is>
          <t>9780465016754</t>
        </is>
      </c>
      <c r="BC961" t="inlineStr">
        <is>
          <t>32285000030436</t>
        </is>
      </c>
      <c r="BD961" t="inlineStr">
        <is>
          <t>893706970</t>
        </is>
      </c>
    </row>
    <row r="962">
      <c r="A962" t="inlineStr">
        <is>
          <t>No</t>
        </is>
      </c>
      <c r="B962" t="inlineStr">
        <is>
          <t>RC514 .F325 1984</t>
        </is>
      </c>
      <c r="C962" t="inlineStr">
        <is>
          <t>0                      RC 0514000F  325         1984</t>
        </is>
      </c>
      <c r="D962" t="inlineStr">
        <is>
          <t>Family care of schizophrenia : a problem-solving approach to the treatment of mental illness / Ian R.H. Falloon, Jeffrey L. Boyd, Christine W. McGill.</t>
        </is>
      </c>
      <c r="F962" t="inlineStr">
        <is>
          <t>No</t>
        </is>
      </c>
      <c r="G962" t="inlineStr">
        <is>
          <t>1</t>
        </is>
      </c>
      <c r="H962" t="inlineStr">
        <is>
          <t>No</t>
        </is>
      </c>
      <c r="I962" t="inlineStr">
        <is>
          <t>No</t>
        </is>
      </c>
      <c r="J962" t="inlineStr">
        <is>
          <t>0</t>
        </is>
      </c>
      <c r="K962" t="inlineStr">
        <is>
          <t>Falloon, Ian R. H.</t>
        </is>
      </c>
      <c r="L962" t="inlineStr">
        <is>
          <t>New York : Guilford Press, c1984.</t>
        </is>
      </c>
      <c r="M962" t="inlineStr">
        <is>
          <t>1984</t>
        </is>
      </c>
      <c r="O962" t="inlineStr">
        <is>
          <t>eng</t>
        </is>
      </c>
      <c r="P962" t="inlineStr">
        <is>
          <t>nyu</t>
        </is>
      </c>
      <c r="Q962" t="inlineStr">
        <is>
          <t>The Guilford family therapy series</t>
        </is>
      </c>
      <c r="R962" t="inlineStr">
        <is>
          <t xml:space="preserve">RC </t>
        </is>
      </c>
      <c r="S962" t="n">
        <v>14</v>
      </c>
      <c r="T962" t="n">
        <v>14</v>
      </c>
      <c r="U962" t="inlineStr">
        <is>
          <t>2004-10-10</t>
        </is>
      </c>
      <c r="V962" t="inlineStr">
        <is>
          <t>2004-10-10</t>
        </is>
      </c>
      <c r="W962" t="inlineStr">
        <is>
          <t>1995-06-29</t>
        </is>
      </c>
      <c r="X962" t="inlineStr">
        <is>
          <t>1995-06-29</t>
        </is>
      </c>
      <c r="Y962" t="n">
        <v>439</v>
      </c>
      <c r="Z962" t="n">
        <v>329</v>
      </c>
      <c r="AA962" t="n">
        <v>329</v>
      </c>
      <c r="AB962" t="n">
        <v>3</v>
      </c>
      <c r="AC962" t="n">
        <v>3</v>
      </c>
      <c r="AD962" t="n">
        <v>11</v>
      </c>
      <c r="AE962" t="n">
        <v>11</v>
      </c>
      <c r="AF962" t="n">
        <v>3</v>
      </c>
      <c r="AG962" t="n">
        <v>3</v>
      </c>
      <c r="AH962" t="n">
        <v>2</v>
      </c>
      <c r="AI962" t="n">
        <v>2</v>
      </c>
      <c r="AJ962" t="n">
        <v>7</v>
      </c>
      <c r="AK962" t="n">
        <v>7</v>
      </c>
      <c r="AL962" t="n">
        <v>1</v>
      </c>
      <c r="AM962" t="n">
        <v>1</v>
      </c>
      <c r="AN962" t="n">
        <v>0</v>
      </c>
      <c r="AO962" t="n">
        <v>0</v>
      </c>
      <c r="AP962" t="inlineStr">
        <is>
          <t>No</t>
        </is>
      </c>
      <c r="AQ962" t="inlineStr">
        <is>
          <t>No</t>
        </is>
      </c>
      <c r="AS962">
        <f>HYPERLINK("https://creighton-primo.hosted.exlibrisgroup.com/primo-explore/search?tab=default_tab&amp;search_scope=EVERYTHING&amp;vid=01CRU&amp;lang=en_US&amp;offset=0&amp;query=any,contains,991000436949702656","Catalog Record")</f>
        <v/>
      </c>
      <c r="AT962">
        <f>HYPERLINK("http://www.worldcat.org/oclc/10799224","WorldCat Record")</f>
        <v/>
      </c>
      <c r="AU962" t="inlineStr">
        <is>
          <t>905502964:eng</t>
        </is>
      </c>
      <c r="AV962" t="inlineStr">
        <is>
          <t>10799224</t>
        </is>
      </c>
      <c r="AW962" t="inlineStr">
        <is>
          <t>991000436949702656</t>
        </is>
      </c>
      <c r="AX962" t="inlineStr">
        <is>
          <t>991000436949702656</t>
        </is>
      </c>
      <c r="AY962" t="inlineStr">
        <is>
          <t>2269785480002656</t>
        </is>
      </c>
      <c r="AZ962" t="inlineStr">
        <is>
          <t>BOOK</t>
        </is>
      </c>
      <c r="BB962" t="inlineStr">
        <is>
          <t>9780898620498</t>
        </is>
      </c>
      <c r="BC962" t="inlineStr">
        <is>
          <t>32285002052610</t>
        </is>
      </c>
      <c r="BD962" t="inlineStr">
        <is>
          <t>893419452</t>
        </is>
      </c>
    </row>
    <row r="963">
      <c r="A963" t="inlineStr">
        <is>
          <t>No</t>
        </is>
      </c>
      <c r="B963" t="inlineStr">
        <is>
          <t>RC514 .G5318 1985</t>
        </is>
      </c>
      <c r="C963" t="inlineStr">
        <is>
          <t>0                      RC 0514000G  5318        1985</t>
        </is>
      </c>
      <c r="D963" t="inlineStr">
        <is>
          <t>Delusion : internal dimensions of political life / James M. Glass.</t>
        </is>
      </c>
      <c r="F963" t="inlineStr">
        <is>
          <t>No</t>
        </is>
      </c>
      <c r="G963" t="inlineStr">
        <is>
          <t>1</t>
        </is>
      </c>
      <c r="H963" t="inlineStr">
        <is>
          <t>No</t>
        </is>
      </c>
      <c r="I963" t="inlineStr">
        <is>
          <t>No</t>
        </is>
      </c>
      <c r="J963" t="inlineStr">
        <is>
          <t>0</t>
        </is>
      </c>
      <c r="K963" t="inlineStr">
        <is>
          <t>Glass, James M.</t>
        </is>
      </c>
      <c r="L963" t="inlineStr">
        <is>
          <t>Chicago : University of Chicago Press, c1985.</t>
        </is>
      </c>
      <c r="M963" t="inlineStr">
        <is>
          <t>1985</t>
        </is>
      </c>
      <c r="O963" t="inlineStr">
        <is>
          <t>eng</t>
        </is>
      </c>
      <c r="P963" t="inlineStr">
        <is>
          <t>ilu</t>
        </is>
      </c>
      <c r="R963" t="inlineStr">
        <is>
          <t xml:space="preserve">RC </t>
        </is>
      </c>
      <c r="S963" t="n">
        <v>5</v>
      </c>
      <c r="T963" t="n">
        <v>5</v>
      </c>
      <c r="U963" t="inlineStr">
        <is>
          <t>2002-10-07</t>
        </is>
      </c>
      <c r="V963" t="inlineStr">
        <is>
          <t>2002-10-07</t>
        </is>
      </c>
      <c r="W963" t="inlineStr">
        <is>
          <t>1993-03-23</t>
        </is>
      </c>
      <c r="X963" t="inlineStr">
        <is>
          <t>1993-03-23</t>
        </is>
      </c>
      <c r="Y963" t="n">
        <v>323</v>
      </c>
      <c r="Z963" t="n">
        <v>264</v>
      </c>
      <c r="AA963" t="n">
        <v>269</v>
      </c>
      <c r="AB963" t="n">
        <v>2</v>
      </c>
      <c r="AC963" t="n">
        <v>2</v>
      </c>
      <c r="AD963" t="n">
        <v>12</v>
      </c>
      <c r="AE963" t="n">
        <v>12</v>
      </c>
      <c r="AF963" t="n">
        <v>4</v>
      </c>
      <c r="AG963" t="n">
        <v>4</v>
      </c>
      <c r="AH963" t="n">
        <v>4</v>
      </c>
      <c r="AI963" t="n">
        <v>4</v>
      </c>
      <c r="AJ963" t="n">
        <v>8</v>
      </c>
      <c r="AK963" t="n">
        <v>8</v>
      </c>
      <c r="AL963" t="n">
        <v>1</v>
      </c>
      <c r="AM963" t="n">
        <v>1</v>
      </c>
      <c r="AN963" t="n">
        <v>0</v>
      </c>
      <c r="AO963" t="n">
        <v>0</v>
      </c>
      <c r="AP963" t="inlineStr">
        <is>
          <t>No</t>
        </is>
      </c>
      <c r="AQ963" t="inlineStr">
        <is>
          <t>No</t>
        </is>
      </c>
      <c r="AS963">
        <f>HYPERLINK("https://creighton-primo.hosted.exlibrisgroup.com/primo-explore/search?tab=default_tab&amp;search_scope=EVERYTHING&amp;vid=01CRU&amp;lang=en_US&amp;offset=0&amp;query=any,contains,991000494589702656","Catalog Record")</f>
        <v/>
      </c>
      <c r="AT963">
        <f>HYPERLINK("http://www.worldcat.org/oclc/11133014","WorldCat Record")</f>
        <v/>
      </c>
      <c r="AU963" t="inlineStr">
        <is>
          <t>836676778:eng</t>
        </is>
      </c>
      <c r="AV963" t="inlineStr">
        <is>
          <t>11133014</t>
        </is>
      </c>
      <c r="AW963" t="inlineStr">
        <is>
          <t>991000494589702656</t>
        </is>
      </c>
      <c r="AX963" t="inlineStr">
        <is>
          <t>991000494589702656</t>
        </is>
      </c>
      <c r="AY963" t="inlineStr">
        <is>
          <t>2255342510002656</t>
        </is>
      </c>
      <c r="AZ963" t="inlineStr">
        <is>
          <t>BOOK</t>
        </is>
      </c>
      <c r="BB963" t="inlineStr">
        <is>
          <t>9780226297972</t>
        </is>
      </c>
      <c r="BC963" t="inlineStr">
        <is>
          <t>32285001607356</t>
        </is>
      </c>
      <c r="BD963" t="inlineStr">
        <is>
          <t>893407235</t>
        </is>
      </c>
    </row>
    <row r="964">
      <c r="A964" t="inlineStr">
        <is>
          <t>No</t>
        </is>
      </c>
      <c r="B964" t="inlineStr">
        <is>
          <t>RC514 .G698</t>
        </is>
      </c>
      <c r="C964" t="inlineStr">
        <is>
          <t>0                      RC 0514000G  698</t>
        </is>
      </c>
      <c r="D964" t="inlineStr">
        <is>
          <t>The borderline patient / Roy R. Grinker and Beatrice Werble. --</t>
        </is>
      </c>
      <c r="F964" t="inlineStr">
        <is>
          <t>No</t>
        </is>
      </c>
      <c r="G964" t="inlineStr">
        <is>
          <t>1</t>
        </is>
      </c>
      <c r="H964" t="inlineStr">
        <is>
          <t>No</t>
        </is>
      </c>
      <c r="I964" t="inlineStr">
        <is>
          <t>No</t>
        </is>
      </c>
      <c r="J964" t="inlineStr">
        <is>
          <t>0</t>
        </is>
      </c>
      <c r="K964" t="inlineStr">
        <is>
          <t>Grinker, Roy R. (Roy Richard), 1900-1993.</t>
        </is>
      </c>
      <c r="L964" t="inlineStr">
        <is>
          <t>New York : J. Aronson, c1977.</t>
        </is>
      </c>
      <c r="M964" t="inlineStr">
        <is>
          <t>1977</t>
        </is>
      </c>
      <c r="O964" t="inlineStr">
        <is>
          <t>eng</t>
        </is>
      </c>
      <c r="P964" t="inlineStr">
        <is>
          <t>nyu</t>
        </is>
      </c>
      <c r="R964" t="inlineStr">
        <is>
          <t xml:space="preserve">RC </t>
        </is>
      </c>
      <c r="S964" t="n">
        <v>6</v>
      </c>
      <c r="T964" t="n">
        <v>6</v>
      </c>
      <c r="U964" t="inlineStr">
        <is>
          <t>2003-07-29</t>
        </is>
      </c>
      <c r="V964" t="inlineStr">
        <is>
          <t>2003-07-29</t>
        </is>
      </c>
      <c r="W964" t="inlineStr">
        <is>
          <t>1992-06-23</t>
        </is>
      </c>
      <c r="X964" t="inlineStr">
        <is>
          <t>1992-06-23</t>
        </is>
      </c>
      <c r="Y964" t="n">
        <v>183</v>
      </c>
      <c r="Z964" t="n">
        <v>146</v>
      </c>
      <c r="AA964" t="n">
        <v>166</v>
      </c>
      <c r="AB964" t="n">
        <v>1</v>
      </c>
      <c r="AC964" t="n">
        <v>1</v>
      </c>
      <c r="AD964" t="n">
        <v>3</v>
      </c>
      <c r="AE964" t="n">
        <v>3</v>
      </c>
      <c r="AF964" t="n">
        <v>1</v>
      </c>
      <c r="AG964" t="n">
        <v>1</v>
      </c>
      <c r="AH964" t="n">
        <v>0</v>
      </c>
      <c r="AI964" t="n">
        <v>0</v>
      </c>
      <c r="AJ964" t="n">
        <v>3</v>
      </c>
      <c r="AK964" t="n">
        <v>3</v>
      </c>
      <c r="AL964" t="n">
        <v>0</v>
      </c>
      <c r="AM964" t="n">
        <v>0</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HYPERLINK("https://creighton-primo.hosted.exlibrisgroup.com/primo-explore/search?tab=default_tab&amp;search_scope=EVERYTHING&amp;vid=01CRU&amp;lang=en_US&amp;offset=0&amp;query=any,contains,991004369369702656","Catalog Record")</f>
        <v/>
      </c>
      <c r="AT964">
        <f>HYPERLINK("http://www.worldcat.org/oclc/3186222","WorldCat Record")</f>
        <v/>
      </c>
      <c r="AU964" t="inlineStr">
        <is>
          <t>102224452:eng</t>
        </is>
      </c>
      <c r="AV964" t="inlineStr">
        <is>
          <t>3186222</t>
        </is>
      </c>
      <c r="AW964" t="inlineStr">
        <is>
          <t>991004369369702656</t>
        </is>
      </c>
      <c r="AX964" t="inlineStr">
        <is>
          <t>991004369369702656</t>
        </is>
      </c>
      <c r="AY964" t="inlineStr">
        <is>
          <t>2260014960002656</t>
        </is>
      </c>
      <c r="AZ964" t="inlineStr">
        <is>
          <t>BOOK</t>
        </is>
      </c>
      <c r="BB964" t="inlineStr">
        <is>
          <t>9780876683156</t>
        </is>
      </c>
      <c r="BC964" t="inlineStr">
        <is>
          <t>32285001133759</t>
        </is>
      </c>
      <c r="BD964" t="inlineStr">
        <is>
          <t>893325296</t>
        </is>
      </c>
    </row>
    <row r="965">
      <c r="A965" t="inlineStr">
        <is>
          <t>No</t>
        </is>
      </c>
      <c r="B965" t="inlineStr">
        <is>
          <t>RC514 .H43</t>
        </is>
      </c>
      <c r="C965" t="inlineStr">
        <is>
          <t>0                      RC 0514000H  43</t>
        </is>
      </c>
      <c r="D965" t="inlineStr">
        <is>
          <t>Aversive maternal control: a theory of schizophrenic development [by] Alfred B. Heilbrun, Jr.</t>
        </is>
      </c>
      <c r="F965" t="inlineStr">
        <is>
          <t>No</t>
        </is>
      </c>
      <c r="G965" t="inlineStr">
        <is>
          <t>1</t>
        </is>
      </c>
      <c r="H965" t="inlineStr">
        <is>
          <t>No</t>
        </is>
      </c>
      <c r="I965" t="inlineStr">
        <is>
          <t>No</t>
        </is>
      </c>
      <c r="J965" t="inlineStr">
        <is>
          <t>0</t>
        </is>
      </c>
      <c r="K965" t="inlineStr">
        <is>
          <t>Heilbrun, Alfred B., 1924-</t>
        </is>
      </c>
      <c r="L965" t="inlineStr">
        <is>
          <t>New York, Wiley [1973]</t>
        </is>
      </c>
      <c r="M965" t="inlineStr">
        <is>
          <t>1973</t>
        </is>
      </c>
      <c r="O965" t="inlineStr">
        <is>
          <t>eng</t>
        </is>
      </c>
      <c r="P965" t="inlineStr">
        <is>
          <t>nyu</t>
        </is>
      </c>
      <c r="Q965" t="inlineStr">
        <is>
          <t>Wiley series on personality processes</t>
        </is>
      </c>
      <c r="R965" t="inlineStr">
        <is>
          <t xml:space="preserve">RC </t>
        </is>
      </c>
      <c r="S965" t="n">
        <v>11</v>
      </c>
      <c r="T965" t="n">
        <v>11</v>
      </c>
      <c r="U965" t="inlineStr">
        <is>
          <t>1999-10-10</t>
        </is>
      </c>
      <c r="V965" t="inlineStr">
        <is>
          <t>1999-10-10</t>
        </is>
      </c>
      <c r="W965" t="inlineStr">
        <is>
          <t>1992-02-19</t>
        </is>
      </c>
      <c r="X965" t="inlineStr">
        <is>
          <t>1992-02-19</t>
        </is>
      </c>
      <c r="Y965" t="n">
        <v>415</v>
      </c>
      <c r="Z965" t="n">
        <v>334</v>
      </c>
      <c r="AA965" t="n">
        <v>336</v>
      </c>
      <c r="AB965" t="n">
        <v>3</v>
      </c>
      <c r="AC965" t="n">
        <v>3</v>
      </c>
      <c r="AD965" t="n">
        <v>13</v>
      </c>
      <c r="AE965" t="n">
        <v>13</v>
      </c>
      <c r="AF965" t="n">
        <v>3</v>
      </c>
      <c r="AG965" t="n">
        <v>3</v>
      </c>
      <c r="AH965" t="n">
        <v>4</v>
      </c>
      <c r="AI965" t="n">
        <v>4</v>
      </c>
      <c r="AJ965" t="n">
        <v>7</v>
      </c>
      <c r="AK965" t="n">
        <v>7</v>
      </c>
      <c r="AL965" t="n">
        <v>2</v>
      </c>
      <c r="AM965" t="n">
        <v>2</v>
      </c>
      <c r="AN965" t="n">
        <v>0</v>
      </c>
      <c r="AO965" t="n">
        <v>0</v>
      </c>
      <c r="AP965" t="inlineStr">
        <is>
          <t>No</t>
        </is>
      </c>
      <c r="AQ965" t="inlineStr">
        <is>
          <t>Yes</t>
        </is>
      </c>
      <c r="AR965">
        <f>HYPERLINK("http://catalog.hathitrust.org/Record/001564990","HathiTrust Record")</f>
        <v/>
      </c>
      <c r="AS965">
        <f>HYPERLINK("https://creighton-primo.hosted.exlibrisgroup.com/primo-explore/search?tab=default_tab&amp;search_scope=EVERYTHING&amp;vid=01CRU&amp;lang=en_US&amp;offset=0&amp;query=any,contains,991002799409702656","Catalog Record")</f>
        <v/>
      </c>
      <c r="AT965">
        <f>HYPERLINK("http://www.worldcat.org/oclc/446207","WorldCat Record")</f>
        <v/>
      </c>
      <c r="AU965" t="inlineStr">
        <is>
          <t>1581736:eng</t>
        </is>
      </c>
      <c r="AV965" t="inlineStr">
        <is>
          <t>446207</t>
        </is>
      </c>
      <c r="AW965" t="inlineStr">
        <is>
          <t>991002799409702656</t>
        </is>
      </c>
      <c r="AX965" t="inlineStr">
        <is>
          <t>991002799409702656</t>
        </is>
      </c>
      <c r="AY965" t="inlineStr">
        <is>
          <t>2265706430002656</t>
        </is>
      </c>
      <c r="AZ965" t="inlineStr">
        <is>
          <t>BOOK</t>
        </is>
      </c>
      <c r="BB965" t="inlineStr">
        <is>
          <t>9780471368953</t>
        </is>
      </c>
      <c r="BC965" t="inlineStr">
        <is>
          <t>32285000948025</t>
        </is>
      </c>
      <c r="BD965" t="inlineStr">
        <is>
          <t>893597890</t>
        </is>
      </c>
    </row>
    <row r="966">
      <c r="A966" t="inlineStr">
        <is>
          <t>No</t>
        </is>
      </c>
      <c r="B966" t="inlineStr">
        <is>
          <t>RC514 .H434 2001</t>
        </is>
      </c>
      <c r="C966" t="inlineStr">
        <is>
          <t>0                      RC 0514000H  434         2001</t>
        </is>
      </c>
      <c r="D966" t="inlineStr">
        <is>
          <t>In search of madness : schizophrenia and neuroscience / R. Walter Heinrichs.</t>
        </is>
      </c>
      <c r="F966" t="inlineStr">
        <is>
          <t>No</t>
        </is>
      </c>
      <c r="G966" t="inlineStr">
        <is>
          <t>1</t>
        </is>
      </c>
      <c r="H966" t="inlineStr">
        <is>
          <t>No</t>
        </is>
      </c>
      <c r="I966" t="inlineStr">
        <is>
          <t>No</t>
        </is>
      </c>
      <c r="J966" t="inlineStr">
        <is>
          <t>0</t>
        </is>
      </c>
      <c r="K966" t="inlineStr">
        <is>
          <t>Heinrichs, R. Walter, 1952-</t>
        </is>
      </c>
      <c r="L966" t="inlineStr">
        <is>
          <t>Oxford ; New York : Oxford University Press, 2001.</t>
        </is>
      </c>
      <c r="M966" t="inlineStr">
        <is>
          <t>2001</t>
        </is>
      </c>
      <c r="O966" t="inlineStr">
        <is>
          <t>eng</t>
        </is>
      </c>
      <c r="P966" t="inlineStr">
        <is>
          <t>enk</t>
        </is>
      </c>
      <c r="R966" t="inlineStr">
        <is>
          <t xml:space="preserve">RC </t>
        </is>
      </c>
      <c r="S966" t="n">
        <v>16</v>
      </c>
      <c r="T966" t="n">
        <v>16</v>
      </c>
      <c r="U966" t="inlineStr">
        <is>
          <t>2009-03-11</t>
        </is>
      </c>
      <c r="V966" t="inlineStr">
        <is>
          <t>2009-03-11</t>
        </is>
      </c>
      <c r="W966" t="inlineStr">
        <is>
          <t>2002-01-08</t>
        </is>
      </c>
      <c r="X966" t="inlineStr">
        <is>
          <t>2002-01-08</t>
        </is>
      </c>
      <c r="Y966" t="n">
        <v>472</v>
      </c>
      <c r="Z966" t="n">
        <v>397</v>
      </c>
      <c r="AA966" t="n">
        <v>760</v>
      </c>
      <c r="AB966" t="n">
        <v>3</v>
      </c>
      <c r="AC966" t="n">
        <v>5</v>
      </c>
      <c r="AD966" t="n">
        <v>17</v>
      </c>
      <c r="AE966" t="n">
        <v>31</v>
      </c>
      <c r="AF966" t="n">
        <v>6</v>
      </c>
      <c r="AG966" t="n">
        <v>11</v>
      </c>
      <c r="AH966" t="n">
        <v>5</v>
      </c>
      <c r="AI966" t="n">
        <v>9</v>
      </c>
      <c r="AJ966" t="n">
        <v>9</v>
      </c>
      <c r="AK966" t="n">
        <v>12</v>
      </c>
      <c r="AL966" t="n">
        <v>2</v>
      </c>
      <c r="AM966" t="n">
        <v>4</v>
      </c>
      <c r="AN966" t="n">
        <v>0</v>
      </c>
      <c r="AO966" t="n">
        <v>1</v>
      </c>
      <c r="AP966" t="inlineStr">
        <is>
          <t>No</t>
        </is>
      </c>
      <c r="AQ966" t="inlineStr">
        <is>
          <t>No</t>
        </is>
      </c>
      <c r="AS966">
        <f>HYPERLINK("https://creighton-primo.hosted.exlibrisgroup.com/primo-explore/search?tab=default_tab&amp;search_scope=EVERYTHING&amp;vid=01CRU&amp;lang=en_US&amp;offset=0&amp;query=any,contains,991003685999702656","Catalog Record")</f>
        <v/>
      </c>
      <c r="AT966">
        <f>HYPERLINK("http://www.worldcat.org/oclc/44841507","WorldCat Record")</f>
        <v/>
      </c>
      <c r="AU966" t="inlineStr">
        <is>
          <t>355381812:eng</t>
        </is>
      </c>
      <c r="AV966" t="inlineStr">
        <is>
          <t>44841507</t>
        </is>
      </c>
      <c r="AW966" t="inlineStr">
        <is>
          <t>991003685999702656</t>
        </is>
      </c>
      <c r="AX966" t="inlineStr">
        <is>
          <t>991003685999702656</t>
        </is>
      </c>
      <c r="AY966" t="inlineStr">
        <is>
          <t>2265429190002656</t>
        </is>
      </c>
      <c r="AZ966" t="inlineStr">
        <is>
          <t>BOOK</t>
        </is>
      </c>
      <c r="BB966" t="inlineStr">
        <is>
          <t>9780195122190</t>
        </is>
      </c>
      <c r="BC966" t="inlineStr">
        <is>
          <t>32285004446430</t>
        </is>
      </c>
      <c r="BD966" t="inlineStr">
        <is>
          <t>893904468</t>
        </is>
      </c>
    </row>
    <row r="967">
      <c r="A967" t="inlineStr">
        <is>
          <t>No</t>
        </is>
      </c>
      <c r="B967" t="inlineStr">
        <is>
          <t>RC514 .H46 1998</t>
        </is>
      </c>
      <c r="C967" t="inlineStr">
        <is>
          <t>0                      RC 0514000H  46          1998</t>
        </is>
      </c>
      <c r="D967" t="inlineStr">
        <is>
          <t>Nola : a memoir of faith, art, and madness / by Robin Hemley.</t>
        </is>
      </c>
      <c r="F967" t="inlineStr">
        <is>
          <t>No</t>
        </is>
      </c>
      <c r="G967" t="inlineStr">
        <is>
          <t>1</t>
        </is>
      </c>
      <c r="H967" t="inlineStr">
        <is>
          <t>No</t>
        </is>
      </c>
      <c r="I967" t="inlineStr">
        <is>
          <t>No</t>
        </is>
      </c>
      <c r="J967" t="inlineStr">
        <is>
          <t>0</t>
        </is>
      </c>
      <c r="K967" t="inlineStr">
        <is>
          <t>Hemley, Robin, 1958-</t>
        </is>
      </c>
      <c r="L967" t="inlineStr">
        <is>
          <t>St. Paul, Minn. : Graywolf Press, c1998.</t>
        </is>
      </c>
      <c r="M967" t="inlineStr">
        <is>
          <t>1998</t>
        </is>
      </c>
      <c r="O967" t="inlineStr">
        <is>
          <t>eng</t>
        </is>
      </c>
      <c r="P967" t="inlineStr">
        <is>
          <t>mnu</t>
        </is>
      </c>
      <c r="R967" t="inlineStr">
        <is>
          <t xml:space="preserve">RC </t>
        </is>
      </c>
      <c r="S967" t="n">
        <v>0</v>
      </c>
      <c r="T967" t="n">
        <v>0</v>
      </c>
      <c r="U967" t="inlineStr">
        <is>
          <t>2006-06-09</t>
        </is>
      </c>
      <c r="V967" t="inlineStr">
        <is>
          <t>2006-06-09</t>
        </is>
      </c>
      <c r="W967" t="inlineStr">
        <is>
          <t>1999-02-25</t>
        </is>
      </c>
      <c r="X967" t="inlineStr">
        <is>
          <t>1999-02-25</t>
        </is>
      </c>
      <c r="Y967" t="n">
        <v>358</v>
      </c>
      <c r="Z967" t="n">
        <v>346</v>
      </c>
      <c r="AA967" t="n">
        <v>818</v>
      </c>
      <c r="AB967" t="n">
        <v>2</v>
      </c>
      <c r="AC967" t="n">
        <v>8</v>
      </c>
      <c r="AD967" t="n">
        <v>12</v>
      </c>
      <c r="AE967" t="n">
        <v>34</v>
      </c>
      <c r="AF967" t="n">
        <v>3</v>
      </c>
      <c r="AG967" t="n">
        <v>12</v>
      </c>
      <c r="AH967" t="n">
        <v>2</v>
      </c>
      <c r="AI967" t="n">
        <v>7</v>
      </c>
      <c r="AJ967" t="n">
        <v>7</v>
      </c>
      <c r="AK967" t="n">
        <v>12</v>
      </c>
      <c r="AL967" t="n">
        <v>1</v>
      </c>
      <c r="AM967" t="n">
        <v>7</v>
      </c>
      <c r="AN967" t="n">
        <v>0</v>
      </c>
      <c r="AO967" t="n">
        <v>1</v>
      </c>
      <c r="AP967" t="inlineStr">
        <is>
          <t>No</t>
        </is>
      </c>
      <c r="AQ967" t="inlineStr">
        <is>
          <t>Yes</t>
        </is>
      </c>
      <c r="AR967">
        <f>HYPERLINK("http://catalog.hathitrust.org/Record/004013734","HathiTrust Record")</f>
        <v/>
      </c>
      <c r="AS967">
        <f>HYPERLINK("https://creighton-primo.hosted.exlibrisgroup.com/primo-explore/search?tab=default_tab&amp;search_scope=EVERYTHING&amp;vid=01CRU&amp;lang=en_US&amp;offset=0&amp;query=any,contains,991002973689702656","Catalog Record")</f>
        <v/>
      </c>
      <c r="AT967">
        <f>HYPERLINK("http://www.worldcat.org/oclc/39856183","WorldCat Record")</f>
        <v/>
      </c>
      <c r="AU967" t="inlineStr">
        <is>
          <t>41519933:eng</t>
        </is>
      </c>
      <c r="AV967" t="inlineStr">
        <is>
          <t>39856183</t>
        </is>
      </c>
      <c r="AW967" t="inlineStr">
        <is>
          <t>991002973689702656</t>
        </is>
      </c>
      <c r="AX967" t="inlineStr">
        <is>
          <t>991002973689702656</t>
        </is>
      </c>
      <c r="AY967" t="inlineStr">
        <is>
          <t>2258120000002656</t>
        </is>
      </c>
      <c r="AZ967" t="inlineStr">
        <is>
          <t>BOOK</t>
        </is>
      </c>
      <c r="BB967" t="inlineStr">
        <is>
          <t>9781555972783</t>
        </is>
      </c>
      <c r="BC967" t="inlineStr">
        <is>
          <t>32285003527099</t>
        </is>
      </c>
      <c r="BD967" t="inlineStr">
        <is>
          <t>893692226</t>
        </is>
      </c>
    </row>
    <row r="968">
      <c r="A968" t="inlineStr">
        <is>
          <t>No</t>
        </is>
      </c>
      <c r="B968" t="inlineStr">
        <is>
          <t>RC514 .H495 1983</t>
        </is>
      </c>
      <c r="C968" t="inlineStr">
        <is>
          <t>0                      RC 0514000H  495         1983</t>
        </is>
      </c>
      <c r="D968" t="inlineStr">
        <is>
          <t>The politics of schizophrenia : psychiatric oppression in the United States / David Hill.</t>
        </is>
      </c>
      <c r="F968" t="inlineStr">
        <is>
          <t>No</t>
        </is>
      </c>
      <c r="G968" t="inlineStr">
        <is>
          <t>1</t>
        </is>
      </c>
      <c r="H968" t="inlineStr">
        <is>
          <t>No</t>
        </is>
      </c>
      <c r="I968" t="inlineStr">
        <is>
          <t>No</t>
        </is>
      </c>
      <c r="J968" t="inlineStr">
        <is>
          <t>0</t>
        </is>
      </c>
      <c r="K968" t="inlineStr">
        <is>
          <t>Hill, David, 1952-</t>
        </is>
      </c>
      <c r="L968" t="inlineStr">
        <is>
          <t>Lanham, MD : University Press of America, c1983.</t>
        </is>
      </c>
      <c r="M968" t="inlineStr">
        <is>
          <t>1983</t>
        </is>
      </c>
      <c r="O968" t="inlineStr">
        <is>
          <t>eng</t>
        </is>
      </c>
      <c r="P968" t="inlineStr">
        <is>
          <t>mdu</t>
        </is>
      </c>
      <c r="R968" t="inlineStr">
        <is>
          <t xml:space="preserve">RC </t>
        </is>
      </c>
      <c r="S968" t="n">
        <v>5</v>
      </c>
      <c r="T968" t="n">
        <v>5</v>
      </c>
      <c r="U968" t="inlineStr">
        <is>
          <t>1996-02-01</t>
        </is>
      </c>
      <c r="V968" t="inlineStr">
        <is>
          <t>1996-02-01</t>
        </is>
      </c>
      <c r="W968" t="inlineStr">
        <is>
          <t>1993-03-23</t>
        </is>
      </c>
      <c r="X968" t="inlineStr">
        <is>
          <t>1993-03-23</t>
        </is>
      </c>
      <c r="Y968" t="n">
        <v>127</v>
      </c>
      <c r="Z968" t="n">
        <v>106</v>
      </c>
      <c r="AA968" t="n">
        <v>108</v>
      </c>
      <c r="AB968" t="n">
        <v>2</v>
      </c>
      <c r="AC968" t="n">
        <v>2</v>
      </c>
      <c r="AD968" t="n">
        <v>6</v>
      </c>
      <c r="AE968" t="n">
        <v>6</v>
      </c>
      <c r="AF968" t="n">
        <v>1</v>
      </c>
      <c r="AG968" t="n">
        <v>1</v>
      </c>
      <c r="AH968" t="n">
        <v>1</v>
      </c>
      <c r="AI968" t="n">
        <v>1</v>
      </c>
      <c r="AJ968" t="n">
        <v>4</v>
      </c>
      <c r="AK968" t="n">
        <v>4</v>
      </c>
      <c r="AL968" t="n">
        <v>1</v>
      </c>
      <c r="AM968" t="n">
        <v>1</v>
      </c>
      <c r="AN968" t="n">
        <v>0</v>
      </c>
      <c r="AO968" t="n">
        <v>0</v>
      </c>
      <c r="AP968" t="inlineStr">
        <is>
          <t>No</t>
        </is>
      </c>
      <c r="AQ968" t="inlineStr">
        <is>
          <t>Yes</t>
        </is>
      </c>
      <c r="AR968">
        <f>HYPERLINK("http://catalog.hathitrust.org/Record/000284998","HathiTrust Record")</f>
        <v/>
      </c>
      <c r="AS968">
        <f>HYPERLINK("https://creighton-primo.hosted.exlibrisgroup.com/primo-explore/search?tab=default_tab&amp;search_scope=EVERYTHING&amp;vid=01CRU&amp;lang=en_US&amp;offset=0&amp;query=any,contains,991000288699702656","Catalog Record")</f>
        <v/>
      </c>
      <c r="AT968">
        <f>HYPERLINK("http://www.worldcat.org/oclc/9946401","WorldCat Record")</f>
        <v/>
      </c>
      <c r="AU968" t="inlineStr">
        <is>
          <t>502662985:eng</t>
        </is>
      </c>
      <c r="AV968" t="inlineStr">
        <is>
          <t>9946401</t>
        </is>
      </c>
      <c r="AW968" t="inlineStr">
        <is>
          <t>991000288699702656</t>
        </is>
      </c>
      <c r="AX968" t="inlineStr">
        <is>
          <t>991000288699702656</t>
        </is>
      </c>
      <c r="AY968" t="inlineStr">
        <is>
          <t>2261822230002656</t>
        </is>
      </c>
      <c r="AZ968" t="inlineStr">
        <is>
          <t>BOOK</t>
        </is>
      </c>
      <c r="BB968" t="inlineStr">
        <is>
          <t>9780819136152</t>
        </is>
      </c>
      <c r="BC968" t="inlineStr">
        <is>
          <t>32285001607364</t>
        </is>
      </c>
      <c r="BD968" t="inlineStr">
        <is>
          <t>893314817</t>
        </is>
      </c>
    </row>
    <row r="969">
      <c r="A969" t="inlineStr">
        <is>
          <t>No</t>
        </is>
      </c>
      <c r="B969" t="inlineStr">
        <is>
          <t>RC514 .H53</t>
        </is>
      </c>
      <c r="C969" t="inlineStr">
        <is>
          <t>0                      RC 0514000H  53</t>
        </is>
      </c>
      <c r="D969" t="inlineStr">
        <is>
          <t>Abnormalities in parents of schizophrenics : a review of the literature and an investigation of communication defects and deviances / by Steven R. Hirsch and Julian P. Leff.</t>
        </is>
      </c>
      <c r="F969" t="inlineStr">
        <is>
          <t>No</t>
        </is>
      </c>
      <c r="G969" t="inlineStr">
        <is>
          <t>1</t>
        </is>
      </c>
      <c r="H969" t="inlineStr">
        <is>
          <t>No</t>
        </is>
      </c>
      <c r="I969" t="inlineStr">
        <is>
          <t>No</t>
        </is>
      </c>
      <c r="J969" t="inlineStr">
        <is>
          <t>0</t>
        </is>
      </c>
      <c r="K969" t="inlineStr">
        <is>
          <t>Hirsch, Steven R.</t>
        </is>
      </c>
      <c r="L969" t="inlineStr">
        <is>
          <t>London ; New York : Oxford University Press, 1975.</t>
        </is>
      </c>
      <c r="M969" t="inlineStr">
        <is>
          <t>1975</t>
        </is>
      </c>
      <c r="O969" t="inlineStr">
        <is>
          <t>eng</t>
        </is>
      </c>
      <c r="P969" t="inlineStr">
        <is>
          <t>enk</t>
        </is>
      </c>
      <c r="Q969" t="inlineStr">
        <is>
          <t>Maudsley monographs ; no. 22</t>
        </is>
      </c>
      <c r="R969" t="inlineStr">
        <is>
          <t xml:space="preserve">RC </t>
        </is>
      </c>
      <c r="S969" t="n">
        <v>3</v>
      </c>
      <c r="T969" t="n">
        <v>3</v>
      </c>
      <c r="U969" t="inlineStr">
        <is>
          <t>1996-11-05</t>
        </is>
      </c>
      <c r="V969" t="inlineStr">
        <is>
          <t>1996-11-05</t>
        </is>
      </c>
      <c r="W969" t="inlineStr">
        <is>
          <t>1990-11-30</t>
        </is>
      </c>
      <c r="X969" t="inlineStr">
        <is>
          <t>1990-11-30</t>
        </is>
      </c>
      <c r="Y969" t="n">
        <v>290</v>
      </c>
      <c r="Z969" t="n">
        <v>202</v>
      </c>
      <c r="AA969" t="n">
        <v>209</v>
      </c>
      <c r="AB969" t="n">
        <v>1</v>
      </c>
      <c r="AC969" t="n">
        <v>1</v>
      </c>
      <c r="AD969" t="n">
        <v>6</v>
      </c>
      <c r="AE969" t="n">
        <v>6</v>
      </c>
      <c r="AF969" t="n">
        <v>1</v>
      </c>
      <c r="AG969" t="n">
        <v>1</v>
      </c>
      <c r="AH969" t="n">
        <v>1</v>
      </c>
      <c r="AI969" t="n">
        <v>1</v>
      </c>
      <c r="AJ969" t="n">
        <v>6</v>
      </c>
      <c r="AK969" t="n">
        <v>6</v>
      </c>
      <c r="AL969" t="n">
        <v>0</v>
      </c>
      <c r="AM969" t="n">
        <v>0</v>
      </c>
      <c r="AN969" t="n">
        <v>0</v>
      </c>
      <c r="AO969" t="n">
        <v>0</v>
      </c>
      <c r="AP969" t="inlineStr">
        <is>
          <t>No</t>
        </is>
      </c>
      <c r="AQ969" t="inlineStr">
        <is>
          <t>Yes</t>
        </is>
      </c>
      <c r="AR969">
        <f>HYPERLINK("http://catalog.hathitrust.org/Record/000039062","HathiTrust Record")</f>
        <v/>
      </c>
      <c r="AS969">
        <f>HYPERLINK("https://creighton-primo.hosted.exlibrisgroup.com/primo-explore/search?tab=default_tab&amp;search_scope=EVERYTHING&amp;vid=01CRU&amp;lang=en_US&amp;offset=0&amp;query=any,contains,991003834139702656","Catalog Record")</f>
        <v/>
      </c>
      <c r="AT969">
        <f>HYPERLINK("http://www.worldcat.org/oclc/1598162","WorldCat Record")</f>
        <v/>
      </c>
      <c r="AU969" t="inlineStr">
        <is>
          <t>836626857:eng</t>
        </is>
      </c>
      <c r="AV969" t="inlineStr">
        <is>
          <t>1598162</t>
        </is>
      </c>
      <c r="AW969" t="inlineStr">
        <is>
          <t>991003834139702656</t>
        </is>
      </c>
      <c r="AX969" t="inlineStr">
        <is>
          <t>991003834139702656</t>
        </is>
      </c>
      <c r="AY969" t="inlineStr">
        <is>
          <t>2264617880002656</t>
        </is>
      </c>
      <c r="AZ969" t="inlineStr">
        <is>
          <t>BOOK</t>
        </is>
      </c>
      <c r="BB969" t="inlineStr">
        <is>
          <t>9780197121443</t>
        </is>
      </c>
      <c r="BC969" t="inlineStr">
        <is>
          <t>32285000410463</t>
        </is>
      </c>
      <c r="BD969" t="inlineStr">
        <is>
          <t>893435505</t>
        </is>
      </c>
    </row>
    <row r="970">
      <c r="A970" t="inlineStr">
        <is>
          <t>No</t>
        </is>
      </c>
      <c r="B970" t="inlineStr">
        <is>
          <t>RC514 .I525 1976</t>
        </is>
      </c>
      <c r="C970" t="inlineStr">
        <is>
          <t>0                      RC 0514000I  525         1976</t>
        </is>
      </c>
      <c r="D970" t="inlineStr">
        <is>
          <t>Borderline personality disorders : the concept, the syndrome, the patient / edited by Peter Hartocollis. --</t>
        </is>
      </c>
      <c r="F970" t="inlineStr">
        <is>
          <t>No</t>
        </is>
      </c>
      <c r="G970" t="inlineStr">
        <is>
          <t>1</t>
        </is>
      </c>
      <c r="H970" t="inlineStr">
        <is>
          <t>No</t>
        </is>
      </c>
      <c r="I970" t="inlineStr">
        <is>
          <t>No</t>
        </is>
      </c>
      <c r="J970" t="inlineStr">
        <is>
          <t>0</t>
        </is>
      </c>
      <c r="K970" t="inlineStr">
        <is>
          <t>International Conference on Borderline Disorders (1976 : Topeka, Kan.)</t>
        </is>
      </c>
      <c r="L970" t="inlineStr">
        <is>
          <t>New York : International Universities Press, c1977.</t>
        </is>
      </c>
      <c r="M970" t="inlineStr">
        <is>
          <t>1977</t>
        </is>
      </c>
      <c r="O970" t="inlineStr">
        <is>
          <t>eng</t>
        </is>
      </c>
      <c r="P970" t="inlineStr">
        <is>
          <t>nyu</t>
        </is>
      </c>
      <c r="R970" t="inlineStr">
        <is>
          <t xml:space="preserve">RC </t>
        </is>
      </c>
      <c r="S970" t="n">
        <v>48</v>
      </c>
      <c r="T970" t="n">
        <v>48</v>
      </c>
      <c r="U970" t="inlineStr">
        <is>
          <t>2007-10-30</t>
        </is>
      </c>
      <c r="V970" t="inlineStr">
        <is>
          <t>2007-10-30</t>
        </is>
      </c>
      <c r="W970" t="inlineStr">
        <is>
          <t>1992-03-13</t>
        </is>
      </c>
      <c r="X970" t="inlineStr">
        <is>
          <t>1992-03-13</t>
        </is>
      </c>
      <c r="Y970" t="n">
        <v>510</v>
      </c>
      <c r="Z970" t="n">
        <v>444</v>
      </c>
      <c r="AA970" t="n">
        <v>461</v>
      </c>
      <c r="AB970" t="n">
        <v>4</v>
      </c>
      <c r="AC970" t="n">
        <v>4</v>
      </c>
      <c r="AD970" t="n">
        <v>14</v>
      </c>
      <c r="AE970" t="n">
        <v>16</v>
      </c>
      <c r="AF970" t="n">
        <v>3</v>
      </c>
      <c r="AG970" t="n">
        <v>4</v>
      </c>
      <c r="AH970" t="n">
        <v>3</v>
      </c>
      <c r="AI970" t="n">
        <v>4</v>
      </c>
      <c r="AJ970" t="n">
        <v>8</v>
      </c>
      <c r="AK970" t="n">
        <v>8</v>
      </c>
      <c r="AL970" t="n">
        <v>2</v>
      </c>
      <c r="AM970" t="n">
        <v>2</v>
      </c>
      <c r="AN970" t="n">
        <v>0</v>
      </c>
      <c r="AO970" t="n">
        <v>0</v>
      </c>
      <c r="AP970" t="inlineStr">
        <is>
          <t>No</t>
        </is>
      </c>
      <c r="AQ970" t="inlineStr">
        <is>
          <t>Yes</t>
        </is>
      </c>
      <c r="AR970">
        <f>HYPERLINK("http://catalog.hathitrust.org/Record/000252486","HathiTrust Record")</f>
        <v/>
      </c>
      <c r="AS970">
        <f>HYPERLINK("https://creighton-primo.hosted.exlibrisgroup.com/primo-explore/search?tab=default_tab&amp;search_scope=EVERYTHING&amp;vid=01CRU&amp;lang=en_US&amp;offset=0&amp;query=any,contains,991005072319702656","Catalog Record")</f>
        <v/>
      </c>
      <c r="AT970">
        <f>HYPERLINK("http://www.worldcat.org/oclc/3034677","WorldCat Record")</f>
        <v/>
      </c>
      <c r="AU970" t="inlineStr">
        <is>
          <t>906485599:eng</t>
        </is>
      </c>
      <c r="AV970" t="inlineStr">
        <is>
          <t>3034677</t>
        </is>
      </c>
      <c r="AW970" t="inlineStr">
        <is>
          <t>991005072319702656</t>
        </is>
      </c>
      <c r="AX970" t="inlineStr">
        <is>
          <t>991005072319702656</t>
        </is>
      </c>
      <c r="AY970" t="inlineStr">
        <is>
          <t>2261362180002656</t>
        </is>
      </c>
      <c r="AZ970" t="inlineStr">
        <is>
          <t>BOOK</t>
        </is>
      </c>
      <c r="BB970" t="inlineStr">
        <is>
          <t>9780823605750</t>
        </is>
      </c>
      <c r="BC970" t="inlineStr">
        <is>
          <t>32285001020212</t>
        </is>
      </c>
      <c r="BD970" t="inlineStr">
        <is>
          <t>893895806</t>
        </is>
      </c>
    </row>
    <row r="971">
      <c r="A971" t="inlineStr">
        <is>
          <t>No</t>
        </is>
      </c>
      <c r="B971" t="inlineStr">
        <is>
          <t>RC514 .L23 2000</t>
        </is>
      </c>
      <c r="C971" t="inlineStr">
        <is>
          <t>0                      RC 0514000L  23          2000</t>
        </is>
      </c>
      <c r="D971" t="inlineStr">
        <is>
          <t>The outsider : a journey into my father's struggle with madness / Nathaniel Lachenmeyer.</t>
        </is>
      </c>
      <c r="F971" t="inlineStr">
        <is>
          <t>No</t>
        </is>
      </c>
      <c r="G971" t="inlineStr">
        <is>
          <t>1</t>
        </is>
      </c>
      <c r="H971" t="inlineStr">
        <is>
          <t>No</t>
        </is>
      </c>
      <c r="I971" t="inlineStr">
        <is>
          <t>No</t>
        </is>
      </c>
      <c r="J971" t="inlineStr">
        <is>
          <t>0</t>
        </is>
      </c>
      <c r="K971" t="inlineStr">
        <is>
          <t>Lachenmeyer, Nathaniel, 1969-</t>
        </is>
      </c>
      <c r="L971" t="inlineStr">
        <is>
          <t>New York : Broadway Books, c2000.</t>
        </is>
      </c>
      <c r="M971" t="inlineStr">
        <is>
          <t>2000</t>
        </is>
      </c>
      <c r="N971" t="inlineStr">
        <is>
          <t>1st ed.</t>
        </is>
      </c>
      <c r="O971" t="inlineStr">
        <is>
          <t>eng</t>
        </is>
      </c>
      <c r="P971" t="inlineStr">
        <is>
          <t>nyu</t>
        </is>
      </c>
      <c r="R971" t="inlineStr">
        <is>
          <t xml:space="preserve">RC </t>
        </is>
      </c>
      <c r="S971" t="n">
        <v>5</v>
      </c>
      <c r="T971" t="n">
        <v>5</v>
      </c>
      <c r="U971" t="inlineStr">
        <is>
          <t>2003-03-31</t>
        </is>
      </c>
      <c r="V971" t="inlineStr">
        <is>
          <t>2003-03-31</t>
        </is>
      </c>
      <c r="W971" t="inlineStr">
        <is>
          <t>2000-11-08</t>
        </is>
      </c>
      <c r="X971" t="inlineStr">
        <is>
          <t>2000-11-08</t>
        </is>
      </c>
      <c r="Y971" t="n">
        <v>595</v>
      </c>
      <c r="Z971" t="n">
        <v>549</v>
      </c>
      <c r="AA971" t="n">
        <v>594</v>
      </c>
      <c r="AB971" t="n">
        <v>5</v>
      </c>
      <c r="AC971" t="n">
        <v>6</v>
      </c>
      <c r="AD971" t="n">
        <v>13</v>
      </c>
      <c r="AE971" t="n">
        <v>17</v>
      </c>
      <c r="AF971" t="n">
        <v>4</v>
      </c>
      <c r="AG971" t="n">
        <v>5</v>
      </c>
      <c r="AH971" t="n">
        <v>1</v>
      </c>
      <c r="AI971" t="n">
        <v>2</v>
      </c>
      <c r="AJ971" t="n">
        <v>6</v>
      </c>
      <c r="AK971" t="n">
        <v>7</v>
      </c>
      <c r="AL971" t="n">
        <v>3</v>
      </c>
      <c r="AM971" t="n">
        <v>4</v>
      </c>
      <c r="AN971" t="n">
        <v>0</v>
      </c>
      <c r="AO971" t="n">
        <v>0</v>
      </c>
      <c r="AP971" t="inlineStr">
        <is>
          <t>No</t>
        </is>
      </c>
      <c r="AQ971" t="inlineStr">
        <is>
          <t>Yes</t>
        </is>
      </c>
      <c r="AR971">
        <f>HYPERLINK("http://catalog.hathitrust.org/Record/004759406","HathiTrust Record")</f>
        <v/>
      </c>
      <c r="AS971">
        <f>HYPERLINK("https://creighton-primo.hosted.exlibrisgroup.com/primo-explore/search?tab=default_tab&amp;search_scope=EVERYTHING&amp;vid=01CRU&amp;lang=en_US&amp;offset=0&amp;query=any,contains,991003244839702656","Catalog Record")</f>
        <v/>
      </c>
      <c r="AT971">
        <f>HYPERLINK("http://www.worldcat.org/oclc/42680400","WorldCat Record")</f>
        <v/>
      </c>
      <c r="AU971" t="inlineStr">
        <is>
          <t>20497175:eng</t>
        </is>
      </c>
      <c r="AV971" t="inlineStr">
        <is>
          <t>42680400</t>
        </is>
      </c>
      <c r="AW971" t="inlineStr">
        <is>
          <t>991003244839702656</t>
        </is>
      </c>
      <c r="AX971" t="inlineStr">
        <is>
          <t>991003244839702656</t>
        </is>
      </c>
      <c r="AY971" t="inlineStr">
        <is>
          <t>2262001940002656</t>
        </is>
      </c>
      <c r="AZ971" t="inlineStr">
        <is>
          <t>BOOK</t>
        </is>
      </c>
      <c r="BB971" t="inlineStr">
        <is>
          <t>9780767901901</t>
        </is>
      </c>
      <c r="BC971" t="inlineStr">
        <is>
          <t>32285004264171</t>
        </is>
      </c>
      <c r="BD971" t="inlineStr">
        <is>
          <t>893428591</t>
        </is>
      </c>
    </row>
    <row r="972">
      <c r="A972" t="inlineStr">
        <is>
          <t>No</t>
        </is>
      </c>
      <c r="B972" t="inlineStr">
        <is>
          <t>RC514 .L274 1971</t>
        </is>
      </c>
      <c r="C972" t="inlineStr">
        <is>
          <t>0                      RC 0514000L  274         1971</t>
        </is>
      </c>
      <c r="D972" t="inlineStr">
        <is>
          <t>Sanity, madness, and the family : families of schizophrenics / [by] R. D. Laing [and] A. Esterson.</t>
        </is>
      </c>
      <c r="F972" t="inlineStr">
        <is>
          <t>No</t>
        </is>
      </c>
      <c r="G972" t="inlineStr">
        <is>
          <t>1</t>
        </is>
      </c>
      <c r="H972" t="inlineStr">
        <is>
          <t>No</t>
        </is>
      </c>
      <c r="I972" t="inlineStr">
        <is>
          <t>No</t>
        </is>
      </c>
      <c r="J972" t="inlineStr">
        <is>
          <t>0</t>
        </is>
      </c>
      <c r="K972" t="inlineStr">
        <is>
          <t>Laing, R. D. (Ronald David), 1927-1989.</t>
        </is>
      </c>
      <c r="L972" t="inlineStr">
        <is>
          <t>New York : Basic Books, [1971, c1964]</t>
        </is>
      </c>
      <c r="M972" t="inlineStr">
        <is>
          <t>1971</t>
        </is>
      </c>
      <c r="N972" t="inlineStr">
        <is>
          <t>2d [American] ed.</t>
        </is>
      </c>
      <c r="O972" t="inlineStr">
        <is>
          <t>eng</t>
        </is>
      </c>
      <c r="P972" t="inlineStr">
        <is>
          <t>nyu</t>
        </is>
      </c>
      <c r="R972" t="inlineStr">
        <is>
          <t xml:space="preserve">RC </t>
        </is>
      </c>
      <c r="S972" t="n">
        <v>4</v>
      </c>
      <c r="T972" t="n">
        <v>4</v>
      </c>
      <c r="U972" t="inlineStr">
        <is>
          <t>1994-03-28</t>
        </is>
      </c>
      <c r="V972" t="inlineStr">
        <is>
          <t>1994-03-28</t>
        </is>
      </c>
      <c r="W972" t="inlineStr">
        <is>
          <t>1992-11-30</t>
        </is>
      </c>
      <c r="X972" t="inlineStr">
        <is>
          <t>1992-11-30</t>
        </is>
      </c>
      <c r="Y972" t="n">
        <v>435</v>
      </c>
      <c r="Z972" t="n">
        <v>408</v>
      </c>
      <c r="AA972" t="n">
        <v>994</v>
      </c>
      <c r="AB972" t="n">
        <v>2</v>
      </c>
      <c r="AC972" t="n">
        <v>7</v>
      </c>
      <c r="AD972" t="n">
        <v>15</v>
      </c>
      <c r="AE972" t="n">
        <v>40</v>
      </c>
      <c r="AF972" t="n">
        <v>4</v>
      </c>
      <c r="AG972" t="n">
        <v>14</v>
      </c>
      <c r="AH972" t="n">
        <v>3</v>
      </c>
      <c r="AI972" t="n">
        <v>7</v>
      </c>
      <c r="AJ972" t="n">
        <v>11</v>
      </c>
      <c r="AK972" t="n">
        <v>22</v>
      </c>
      <c r="AL972" t="n">
        <v>1</v>
      </c>
      <c r="AM972" t="n">
        <v>6</v>
      </c>
      <c r="AN972" t="n">
        <v>0</v>
      </c>
      <c r="AO972" t="n">
        <v>0</v>
      </c>
      <c r="AP972" t="inlineStr">
        <is>
          <t>No</t>
        </is>
      </c>
      <c r="AQ972" t="inlineStr">
        <is>
          <t>Yes</t>
        </is>
      </c>
      <c r="AR972">
        <f>HYPERLINK("http://catalog.hathitrust.org/Record/004422375","HathiTrust Record")</f>
        <v/>
      </c>
      <c r="AS972">
        <f>HYPERLINK("https://creighton-primo.hosted.exlibrisgroup.com/primo-explore/search?tab=default_tab&amp;search_scope=EVERYTHING&amp;vid=01CRU&amp;lang=en_US&amp;offset=0&amp;query=any,contains,991000817469702656","Catalog Record")</f>
        <v/>
      </c>
      <c r="AT972">
        <f>HYPERLINK("http://www.worldcat.org/oclc/143277","WorldCat Record")</f>
        <v/>
      </c>
      <c r="AU972" t="inlineStr">
        <is>
          <t>116826526:eng</t>
        </is>
      </c>
      <c r="AV972" t="inlineStr">
        <is>
          <t>143277</t>
        </is>
      </c>
      <c r="AW972" t="inlineStr">
        <is>
          <t>991000817469702656</t>
        </is>
      </c>
      <c r="AX972" t="inlineStr">
        <is>
          <t>991000817469702656</t>
        </is>
      </c>
      <c r="AY972" t="inlineStr">
        <is>
          <t>2256553170002656</t>
        </is>
      </c>
      <c r="AZ972" t="inlineStr">
        <is>
          <t>BOOK</t>
        </is>
      </c>
      <c r="BB972" t="inlineStr">
        <is>
          <t>9780465071753</t>
        </is>
      </c>
      <c r="BC972" t="inlineStr">
        <is>
          <t>32285001409910</t>
        </is>
      </c>
      <c r="BD972" t="inlineStr">
        <is>
          <t>893444474</t>
        </is>
      </c>
    </row>
    <row r="973">
      <c r="A973" t="inlineStr">
        <is>
          <t>No</t>
        </is>
      </c>
      <c r="B973" t="inlineStr">
        <is>
          <t>RC514 .L48</t>
        </is>
      </c>
      <c r="C973" t="inlineStr">
        <is>
          <t>0                      RC 0514000L  48</t>
        </is>
      </c>
      <c r="D973" t="inlineStr">
        <is>
          <t>The origin and treatment of schizophrenic disorders.</t>
        </is>
      </c>
      <c r="F973" t="inlineStr">
        <is>
          <t>No</t>
        </is>
      </c>
      <c r="G973" t="inlineStr">
        <is>
          <t>1</t>
        </is>
      </c>
      <c r="H973" t="inlineStr">
        <is>
          <t>No</t>
        </is>
      </c>
      <c r="I973" t="inlineStr">
        <is>
          <t>No</t>
        </is>
      </c>
      <c r="J973" t="inlineStr">
        <is>
          <t>0</t>
        </is>
      </c>
      <c r="K973" t="inlineStr">
        <is>
          <t>Lidz, Theodore.</t>
        </is>
      </c>
      <c r="L973" t="inlineStr">
        <is>
          <t>New York : Basic Books, [1973]</t>
        </is>
      </c>
      <c r="M973" t="inlineStr">
        <is>
          <t>1973</t>
        </is>
      </c>
      <c r="O973" t="inlineStr">
        <is>
          <t>eng</t>
        </is>
      </c>
      <c r="P973" t="inlineStr">
        <is>
          <t>nyu</t>
        </is>
      </c>
      <c r="R973" t="inlineStr">
        <is>
          <t xml:space="preserve">RC </t>
        </is>
      </c>
      <c r="S973" t="n">
        <v>21</v>
      </c>
      <c r="T973" t="n">
        <v>21</v>
      </c>
      <c r="U973" t="inlineStr">
        <is>
          <t>2002-10-21</t>
        </is>
      </c>
      <c r="V973" t="inlineStr">
        <is>
          <t>2002-10-21</t>
        </is>
      </c>
      <c r="W973" t="inlineStr">
        <is>
          <t>1990-04-04</t>
        </is>
      </c>
      <c r="X973" t="inlineStr">
        <is>
          <t>1990-04-04</t>
        </is>
      </c>
      <c r="Y973" t="n">
        <v>599</v>
      </c>
      <c r="Z973" t="n">
        <v>507</v>
      </c>
      <c r="AA973" t="n">
        <v>555</v>
      </c>
      <c r="AB973" t="n">
        <v>4</v>
      </c>
      <c r="AC973" t="n">
        <v>4</v>
      </c>
      <c r="AD973" t="n">
        <v>13</v>
      </c>
      <c r="AE973" t="n">
        <v>16</v>
      </c>
      <c r="AF973" t="n">
        <v>4</v>
      </c>
      <c r="AG973" t="n">
        <v>6</v>
      </c>
      <c r="AH973" t="n">
        <v>1</v>
      </c>
      <c r="AI973" t="n">
        <v>2</v>
      </c>
      <c r="AJ973" t="n">
        <v>7</v>
      </c>
      <c r="AK973" t="n">
        <v>8</v>
      </c>
      <c r="AL973" t="n">
        <v>3</v>
      </c>
      <c r="AM973" t="n">
        <v>3</v>
      </c>
      <c r="AN973" t="n">
        <v>0</v>
      </c>
      <c r="AO973" t="n">
        <v>0</v>
      </c>
      <c r="AP973" t="inlineStr">
        <is>
          <t>No</t>
        </is>
      </c>
      <c r="AQ973" t="inlineStr">
        <is>
          <t>Yes</t>
        </is>
      </c>
      <c r="AR973">
        <f>HYPERLINK("http://catalog.hathitrust.org/Record/001565003","HathiTrust Record")</f>
        <v/>
      </c>
      <c r="AS973">
        <f>HYPERLINK("https://creighton-primo.hosted.exlibrisgroup.com/primo-explore/search?tab=default_tab&amp;search_scope=EVERYTHING&amp;vid=01CRU&amp;lang=en_US&amp;offset=0&amp;query=any,contains,991003162419702656","Catalog Record")</f>
        <v/>
      </c>
      <c r="AT973">
        <f>HYPERLINK("http://www.worldcat.org/oclc/701029","WorldCat Record")</f>
        <v/>
      </c>
      <c r="AU973" t="inlineStr">
        <is>
          <t>1598724:eng</t>
        </is>
      </c>
      <c r="AV973" t="inlineStr">
        <is>
          <t>701029</t>
        </is>
      </c>
      <c r="AW973" t="inlineStr">
        <is>
          <t>991003162419702656</t>
        </is>
      </c>
      <c r="AX973" t="inlineStr">
        <is>
          <t>991003162419702656</t>
        </is>
      </c>
      <c r="AY973" t="inlineStr">
        <is>
          <t>2255342450002656</t>
        </is>
      </c>
      <c r="AZ973" t="inlineStr">
        <is>
          <t>BOOK</t>
        </is>
      </c>
      <c r="BB973" t="inlineStr">
        <is>
          <t>9780465053377</t>
        </is>
      </c>
      <c r="BC973" t="inlineStr">
        <is>
          <t>32285000101906</t>
        </is>
      </c>
      <c r="BD973" t="inlineStr">
        <is>
          <t>893252085</t>
        </is>
      </c>
    </row>
    <row r="974">
      <c r="A974" t="inlineStr">
        <is>
          <t>No</t>
        </is>
      </c>
      <c r="B974" t="inlineStr">
        <is>
          <t>RC514 .L5</t>
        </is>
      </c>
      <c r="C974" t="inlineStr">
        <is>
          <t>0                      RC 0514000L  5</t>
        </is>
      </c>
      <c r="D974" t="inlineStr">
        <is>
          <t>Schizophrenia and the family / by Theodore Lidz, Stephen Fleck, and Alice R. Cornelison with the collaboration of Yrjö O. Alanen [and others]</t>
        </is>
      </c>
      <c r="F974" t="inlineStr">
        <is>
          <t>No</t>
        </is>
      </c>
      <c r="G974" t="inlineStr">
        <is>
          <t>1</t>
        </is>
      </c>
      <c r="H974" t="inlineStr">
        <is>
          <t>No</t>
        </is>
      </c>
      <c r="I974" t="inlineStr">
        <is>
          <t>No</t>
        </is>
      </c>
      <c r="J974" t="inlineStr">
        <is>
          <t>0</t>
        </is>
      </c>
      <c r="K974" t="inlineStr">
        <is>
          <t>Lidz, Theodore.</t>
        </is>
      </c>
      <c r="L974" t="inlineStr">
        <is>
          <t>New York : International Universities Press, [1965]</t>
        </is>
      </c>
      <c r="M974" t="inlineStr">
        <is>
          <t>1965</t>
        </is>
      </c>
      <c r="O974" t="inlineStr">
        <is>
          <t>eng</t>
        </is>
      </c>
      <c r="P974" t="inlineStr">
        <is>
          <t>nyu</t>
        </is>
      </c>
      <c r="Q974" t="inlineStr">
        <is>
          <t>Monograph series on schizophrenia ; no. 7</t>
        </is>
      </c>
      <c r="R974" t="inlineStr">
        <is>
          <t xml:space="preserve">RC </t>
        </is>
      </c>
      <c r="S974" t="n">
        <v>12</v>
      </c>
      <c r="T974" t="n">
        <v>12</v>
      </c>
      <c r="U974" t="inlineStr">
        <is>
          <t>2007-10-23</t>
        </is>
      </c>
      <c r="V974" t="inlineStr">
        <is>
          <t>2007-10-23</t>
        </is>
      </c>
      <c r="W974" t="inlineStr">
        <is>
          <t>1991-09-27</t>
        </is>
      </c>
      <c r="X974" t="inlineStr">
        <is>
          <t>1991-09-27</t>
        </is>
      </c>
      <c r="Y974" t="n">
        <v>556</v>
      </c>
      <c r="Z974" t="n">
        <v>471</v>
      </c>
      <c r="AA974" t="n">
        <v>568</v>
      </c>
      <c r="AB974" t="n">
        <v>5</v>
      </c>
      <c r="AC974" t="n">
        <v>6</v>
      </c>
      <c r="AD974" t="n">
        <v>22</v>
      </c>
      <c r="AE974" t="n">
        <v>25</v>
      </c>
      <c r="AF974" t="n">
        <v>5</v>
      </c>
      <c r="AG974" t="n">
        <v>7</v>
      </c>
      <c r="AH974" t="n">
        <v>4</v>
      </c>
      <c r="AI974" t="n">
        <v>5</v>
      </c>
      <c r="AJ974" t="n">
        <v>14</v>
      </c>
      <c r="AK974" t="n">
        <v>15</v>
      </c>
      <c r="AL974" t="n">
        <v>3</v>
      </c>
      <c r="AM974" t="n">
        <v>4</v>
      </c>
      <c r="AN974" t="n">
        <v>1</v>
      </c>
      <c r="AO974" t="n">
        <v>1</v>
      </c>
      <c r="AP974" t="inlineStr">
        <is>
          <t>No</t>
        </is>
      </c>
      <c r="AQ974" t="inlineStr">
        <is>
          <t>Yes</t>
        </is>
      </c>
      <c r="AR974">
        <f>HYPERLINK("http://catalog.hathitrust.org/Record/001565004","HathiTrust Record")</f>
        <v/>
      </c>
      <c r="AS974">
        <f>HYPERLINK("https://creighton-primo.hosted.exlibrisgroup.com/primo-explore/search?tab=default_tab&amp;search_scope=EVERYTHING&amp;vid=01CRU&amp;lang=en_US&amp;offset=0&amp;query=any,contains,991005265349702656","Catalog Record")</f>
        <v/>
      </c>
      <c r="AT974">
        <f>HYPERLINK("http://www.worldcat.org/oclc/179995","WorldCat Record")</f>
        <v/>
      </c>
      <c r="AU974" t="inlineStr">
        <is>
          <t>1320505:eng</t>
        </is>
      </c>
      <c r="AV974" t="inlineStr">
        <is>
          <t>179995</t>
        </is>
      </c>
      <c r="AW974" t="inlineStr">
        <is>
          <t>991005265349702656</t>
        </is>
      </c>
      <c r="AX974" t="inlineStr">
        <is>
          <t>991005265349702656</t>
        </is>
      </c>
      <c r="AY974" t="inlineStr">
        <is>
          <t>2265011540002656</t>
        </is>
      </c>
      <c r="AZ974" t="inlineStr">
        <is>
          <t>BOOK</t>
        </is>
      </c>
      <c r="BC974" t="inlineStr">
        <is>
          <t>32285000760172</t>
        </is>
      </c>
      <c r="BD974" t="inlineStr">
        <is>
          <t>893351008</t>
        </is>
      </c>
    </row>
    <row r="975">
      <c r="A975" t="inlineStr">
        <is>
          <t>No</t>
        </is>
      </c>
      <c r="B975" t="inlineStr">
        <is>
          <t>RC514 .M36 1976</t>
        </is>
      </c>
      <c r="C975" t="inlineStr">
        <is>
          <t>0                      RC 0514000M  36          1976</t>
        </is>
      </c>
      <c r="D975" t="inlineStr">
        <is>
          <t>Psychotherapy of the borderline adult : a developmental approach / by James F. Masterson.</t>
        </is>
      </c>
      <c r="F975" t="inlineStr">
        <is>
          <t>No</t>
        </is>
      </c>
      <c r="G975" t="inlineStr">
        <is>
          <t>1</t>
        </is>
      </c>
      <c r="H975" t="inlineStr">
        <is>
          <t>No</t>
        </is>
      </c>
      <c r="I975" t="inlineStr">
        <is>
          <t>No</t>
        </is>
      </c>
      <c r="J975" t="inlineStr">
        <is>
          <t>0</t>
        </is>
      </c>
      <c r="K975" t="inlineStr">
        <is>
          <t>Masterson, James F.</t>
        </is>
      </c>
      <c r="L975" t="inlineStr">
        <is>
          <t>New York : Brunner/Mazel, c1976.</t>
        </is>
      </c>
      <c r="M975" t="inlineStr">
        <is>
          <t>1976</t>
        </is>
      </c>
      <c r="O975" t="inlineStr">
        <is>
          <t>eng</t>
        </is>
      </c>
      <c r="P975" t="inlineStr">
        <is>
          <t>nyu</t>
        </is>
      </c>
      <c r="R975" t="inlineStr">
        <is>
          <t xml:space="preserve">RC </t>
        </is>
      </c>
      <c r="S975" t="n">
        <v>8</v>
      </c>
      <c r="T975" t="n">
        <v>8</v>
      </c>
      <c r="U975" t="inlineStr">
        <is>
          <t>1998-10-31</t>
        </is>
      </c>
      <c r="V975" t="inlineStr">
        <is>
          <t>1998-10-31</t>
        </is>
      </c>
      <c r="W975" t="inlineStr">
        <is>
          <t>1991-11-21</t>
        </is>
      </c>
      <c r="X975" t="inlineStr">
        <is>
          <t>1991-11-21</t>
        </is>
      </c>
      <c r="Y975" t="n">
        <v>577</v>
      </c>
      <c r="Z975" t="n">
        <v>502</v>
      </c>
      <c r="AA975" t="n">
        <v>531</v>
      </c>
      <c r="AB975" t="n">
        <v>2</v>
      </c>
      <c r="AC975" t="n">
        <v>2</v>
      </c>
      <c r="AD975" t="n">
        <v>18</v>
      </c>
      <c r="AE975" t="n">
        <v>18</v>
      </c>
      <c r="AF975" t="n">
        <v>6</v>
      </c>
      <c r="AG975" t="n">
        <v>6</v>
      </c>
      <c r="AH975" t="n">
        <v>5</v>
      </c>
      <c r="AI975" t="n">
        <v>5</v>
      </c>
      <c r="AJ975" t="n">
        <v>12</v>
      </c>
      <c r="AK975" t="n">
        <v>12</v>
      </c>
      <c r="AL975" t="n">
        <v>1</v>
      </c>
      <c r="AM975" t="n">
        <v>1</v>
      </c>
      <c r="AN975" t="n">
        <v>0</v>
      </c>
      <c r="AO975" t="n">
        <v>0</v>
      </c>
      <c r="AP975" t="inlineStr">
        <is>
          <t>No</t>
        </is>
      </c>
      <c r="AQ975" t="inlineStr">
        <is>
          <t>No</t>
        </is>
      </c>
      <c r="AS975">
        <f>HYPERLINK("https://creighton-primo.hosted.exlibrisgroup.com/primo-explore/search?tab=default_tab&amp;search_scope=EVERYTHING&amp;vid=01CRU&amp;lang=en_US&amp;offset=0&amp;query=any,contains,991004051879702656","Catalog Record")</f>
        <v/>
      </c>
      <c r="AT975">
        <f>HYPERLINK("http://www.worldcat.org/oclc/2213350","WorldCat Record")</f>
        <v/>
      </c>
      <c r="AU975" t="inlineStr">
        <is>
          <t>533808:eng</t>
        </is>
      </c>
      <c r="AV975" t="inlineStr">
        <is>
          <t>2213350</t>
        </is>
      </c>
      <c r="AW975" t="inlineStr">
        <is>
          <t>991004051879702656</t>
        </is>
      </c>
      <c r="AX975" t="inlineStr">
        <is>
          <t>991004051879702656</t>
        </is>
      </c>
      <c r="AY975" t="inlineStr">
        <is>
          <t>2256112260002656</t>
        </is>
      </c>
      <c r="AZ975" t="inlineStr">
        <is>
          <t>BOOK</t>
        </is>
      </c>
      <c r="BB975" t="inlineStr">
        <is>
          <t>9780876301272</t>
        </is>
      </c>
      <c r="BC975" t="inlineStr">
        <is>
          <t>32285000843531</t>
        </is>
      </c>
      <c r="BD975" t="inlineStr">
        <is>
          <t>893888255</t>
        </is>
      </c>
    </row>
    <row r="976">
      <c r="A976" t="inlineStr">
        <is>
          <t>No</t>
        </is>
      </c>
      <c r="B976" t="inlineStr">
        <is>
          <t>RC514 .M43</t>
        </is>
      </c>
      <c r="C976" t="inlineStr">
        <is>
          <t>0                      RC 0514000M  43</t>
        </is>
      </c>
      <c r="D976" t="inlineStr">
        <is>
          <t>Schizophrenia : the experience and its treatment / Werner M. Mendel ; with contributions by Robert E. Allen ; foreword by R. Bruce Sloane.</t>
        </is>
      </c>
      <c r="F976" t="inlineStr">
        <is>
          <t>No</t>
        </is>
      </c>
      <c r="G976" t="inlineStr">
        <is>
          <t>1</t>
        </is>
      </c>
      <c r="H976" t="inlineStr">
        <is>
          <t>No</t>
        </is>
      </c>
      <c r="I976" t="inlineStr">
        <is>
          <t>No</t>
        </is>
      </c>
      <c r="J976" t="inlineStr">
        <is>
          <t>0</t>
        </is>
      </c>
      <c r="K976" t="inlineStr">
        <is>
          <t>Mendel, Werner M. (Werner Max), 1927-</t>
        </is>
      </c>
      <c r="L976" t="inlineStr">
        <is>
          <t>San Francisco : Jossey-Bass, 1976.</t>
        </is>
      </c>
      <c r="M976" t="inlineStr">
        <is>
          <t>1976</t>
        </is>
      </c>
      <c r="N976" t="inlineStr">
        <is>
          <t>1st ed.</t>
        </is>
      </c>
      <c r="O976" t="inlineStr">
        <is>
          <t>eng</t>
        </is>
      </c>
      <c r="P976" t="inlineStr">
        <is>
          <t>cau</t>
        </is>
      </c>
      <c r="Q976" t="inlineStr">
        <is>
          <t>Jossey-Bass behavioral science series</t>
        </is>
      </c>
      <c r="R976" t="inlineStr">
        <is>
          <t xml:space="preserve">RC </t>
        </is>
      </c>
      <c r="S976" t="n">
        <v>16</v>
      </c>
      <c r="T976" t="n">
        <v>16</v>
      </c>
      <c r="U976" t="inlineStr">
        <is>
          <t>2002-11-01</t>
        </is>
      </c>
      <c r="V976" t="inlineStr">
        <is>
          <t>2002-11-01</t>
        </is>
      </c>
      <c r="W976" t="inlineStr">
        <is>
          <t>1990-04-04</t>
        </is>
      </c>
      <c r="X976" t="inlineStr">
        <is>
          <t>1990-04-04</t>
        </is>
      </c>
      <c r="Y976" t="n">
        <v>469</v>
      </c>
      <c r="Z976" t="n">
        <v>394</v>
      </c>
      <c r="AA976" t="n">
        <v>403</v>
      </c>
      <c r="AB976" t="n">
        <v>2</v>
      </c>
      <c r="AC976" t="n">
        <v>2</v>
      </c>
      <c r="AD976" t="n">
        <v>14</v>
      </c>
      <c r="AE976" t="n">
        <v>14</v>
      </c>
      <c r="AF976" t="n">
        <v>4</v>
      </c>
      <c r="AG976" t="n">
        <v>4</v>
      </c>
      <c r="AH976" t="n">
        <v>4</v>
      </c>
      <c r="AI976" t="n">
        <v>4</v>
      </c>
      <c r="AJ976" t="n">
        <v>8</v>
      </c>
      <c r="AK976" t="n">
        <v>8</v>
      </c>
      <c r="AL976" t="n">
        <v>1</v>
      </c>
      <c r="AM976" t="n">
        <v>1</v>
      </c>
      <c r="AN976" t="n">
        <v>0</v>
      </c>
      <c r="AO976" t="n">
        <v>0</v>
      </c>
      <c r="AP976" t="inlineStr">
        <is>
          <t>No</t>
        </is>
      </c>
      <c r="AQ976" t="inlineStr">
        <is>
          <t>Yes</t>
        </is>
      </c>
      <c r="AR976">
        <f>HYPERLINK("http://catalog.hathitrust.org/Record/000085982","HathiTrust Record")</f>
        <v/>
      </c>
      <c r="AS976">
        <f>HYPERLINK("https://creighton-primo.hosted.exlibrisgroup.com/primo-explore/search?tab=default_tab&amp;search_scope=EVERYTHING&amp;vid=01CRU&amp;lang=en_US&amp;offset=0&amp;query=any,contains,991004316259702656","Catalog Record")</f>
        <v/>
      </c>
      <c r="AT976">
        <f>HYPERLINK("http://www.worldcat.org/oclc/3004067","WorldCat Record")</f>
        <v/>
      </c>
      <c r="AU976" t="inlineStr">
        <is>
          <t>279679210:eng</t>
        </is>
      </c>
      <c r="AV976" t="inlineStr">
        <is>
          <t>3004067</t>
        </is>
      </c>
      <c r="AW976" t="inlineStr">
        <is>
          <t>991004316259702656</t>
        </is>
      </c>
      <c r="AX976" t="inlineStr">
        <is>
          <t>991004316259702656</t>
        </is>
      </c>
      <c r="AY976" t="inlineStr">
        <is>
          <t>2271111720002656</t>
        </is>
      </c>
      <c r="AZ976" t="inlineStr">
        <is>
          <t>BOOK</t>
        </is>
      </c>
      <c r="BB976" t="inlineStr">
        <is>
          <t>9780875892962</t>
        </is>
      </c>
      <c r="BC976" t="inlineStr">
        <is>
          <t>32285000101914</t>
        </is>
      </c>
      <c r="BD976" t="inlineStr">
        <is>
          <t>893532256</t>
        </is>
      </c>
    </row>
    <row r="977">
      <c r="A977" t="inlineStr">
        <is>
          <t>No</t>
        </is>
      </c>
      <c r="B977" t="inlineStr">
        <is>
          <t>RC514 .M434 1989</t>
        </is>
      </c>
      <c r="C977" t="inlineStr">
        <is>
          <t>0                      RC 0514000M  434         1989</t>
        </is>
      </c>
      <c r="D977" t="inlineStr">
        <is>
          <t>Treating schizophrenia / Werner M. Mendel.</t>
        </is>
      </c>
      <c r="F977" t="inlineStr">
        <is>
          <t>No</t>
        </is>
      </c>
      <c r="G977" t="inlineStr">
        <is>
          <t>1</t>
        </is>
      </c>
      <c r="H977" t="inlineStr">
        <is>
          <t>No</t>
        </is>
      </c>
      <c r="I977" t="inlineStr">
        <is>
          <t>No</t>
        </is>
      </c>
      <c r="J977" t="inlineStr">
        <is>
          <t>0</t>
        </is>
      </c>
      <c r="K977" t="inlineStr">
        <is>
          <t>Mendel, Werner M. (Werner Max), 1927-</t>
        </is>
      </c>
      <c r="L977" t="inlineStr">
        <is>
          <t>San Francisco : Jossey-Bass Publishers, 1989.</t>
        </is>
      </c>
      <c r="M977" t="inlineStr">
        <is>
          <t>1989</t>
        </is>
      </c>
      <c r="N977" t="inlineStr">
        <is>
          <t>1st ed.</t>
        </is>
      </c>
      <c r="O977" t="inlineStr">
        <is>
          <t>eng</t>
        </is>
      </c>
      <c r="P977" t="inlineStr">
        <is>
          <t>cau</t>
        </is>
      </c>
      <c r="Q977" t="inlineStr">
        <is>
          <t>The Jossey-Bass social and behavioral science series</t>
        </is>
      </c>
      <c r="R977" t="inlineStr">
        <is>
          <t xml:space="preserve">RC </t>
        </is>
      </c>
      <c r="S977" t="n">
        <v>26</v>
      </c>
      <c r="T977" t="n">
        <v>26</v>
      </c>
      <c r="U977" t="inlineStr">
        <is>
          <t>2010-10-03</t>
        </is>
      </c>
      <c r="V977" t="inlineStr">
        <is>
          <t>2010-10-03</t>
        </is>
      </c>
      <c r="W977" t="inlineStr">
        <is>
          <t>1991-11-06</t>
        </is>
      </c>
      <c r="X977" t="inlineStr">
        <is>
          <t>1991-11-06</t>
        </is>
      </c>
      <c r="Y977" t="n">
        <v>288</v>
      </c>
      <c r="Z977" t="n">
        <v>236</v>
      </c>
      <c r="AA977" t="n">
        <v>243</v>
      </c>
      <c r="AB977" t="n">
        <v>1</v>
      </c>
      <c r="AC977" t="n">
        <v>1</v>
      </c>
      <c r="AD977" t="n">
        <v>6</v>
      </c>
      <c r="AE977" t="n">
        <v>6</v>
      </c>
      <c r="AF977" t="n">
        <v>2</v>
      </c>
      <c r="AG977" t="n">
        <v>2</v>
      </c>
      <c r="AH977" t="n">
        <v>0</v>
      </c>
      <c r="AI977" t="n">
        <v>0</v>
      </c>
      <c r="AJ977" t="n">
        <v>5</v>
      </c>
      <c r="AK977" t="n">
        <v>5</v>
      </c>
      <c r="AL977" t="n">
        <v>0</v>
      </c>
      <c r="AM977" t="n">
        <v>0</v>
      </c>
      <c r="AN977" t="n">
        <v>0</v>
      </c>
      <c r="AO977" t="n">
        <v>0</v>
      </c>
      <c r="AP977" t="inlineStr">
        <is>
          <t>No</t>
        </is>
      </c>
      <c r="AQ977" t="inlineStr">
        <is>
          <t>Yes</t>
        </is>
      </c>
      <c r="AR977">
        <f>HYPERLINK("http://catalog.hathitrust.org/Record/001302402","HathiTrust Record")</f>
        <v/>
      </c>
      <c r="AS977">
        <f>HYPERLINK("https://creighton-primo.hosted.exlibrisgroup.com/primo-explore/search?tab=default_tab&amp;search_scope=EVERYTHING&amp;vid=01CRU&amp;lang=en_US&amp;offset=0&amp;query=any,contains,991001437389702656","Catalog Record")</f>
        <v/>
      </c>
      <c r="AT977">
        <f>HYPERLINK("http://www.worldcat.org/oclc/19130907","WorldCat Record")</f>
        <v/>
      </c>
      <c r="AU977" t="inlineStr">
        <is>
          <t>19126512:eng</t>
        </is>
      </c>
      <c r="AV977" t="inlineStr">
        <is>
          <t>19130907</t>
        </is>
      </c>
      <c r="AW977" t="inlineStr">
        <is>
          <t>991001437389702656</t>
        </is>
      </c>
      <c r="AX977" t="inlineStr">
        <is>
          <t>991001437389702656</t>
        </is>
      </c>
      <c r="AY977" t="inlineStr">
        <is>
          <t>2261529430002656</t>
        </is>
      </c>
      <c r="AZ977" t="inlineStr">
        <is>
          <t>BOOK</t>
        </is>
      </c>
      <c r="BB977" t="inlineStr">
        <is>
          <t>9781555421519</t>
        </is>
      </c>
      <c r="BC977" t="inlineStr">
        <is>
          <t>32285000796937</t>
        </is>
      </c>
      <c r="BD977" t="inlineStr">
        <is>
          <t>893797584</t>
        </is>
      </c>
    </row>
    <row r="978">
      <c r="A978" t="inlineStr">
        <is>
          <t>No</t>
        </is>
      </c>
      <c r="B978" t="inlineStr">
        <is>
          <t>RC514 .M44 1969</t>
        </is>
      </c>
      <c r="C978" t="inlineStr">
        <is>
          <t>0                      RC 0514000M  44          1969</t>
        </is>
      </c>
      <c r="D978" t="inlineStr">
        <is>
          <t>The schizophrenic reactions : a critique of the concept, hospital treatment, and current research : the proceedings / Robert Cancro, editor.</t>
        </is>
      </c>
      <c r="F978" t="inlineStr">
        <is>
          <t>No</t>
        </is>
      </c>
      <c r="G978" t="inlineStr">
        <is>
          <t>1</t>
        </is>
      </c>
      <c r="H978" t="inlineStr">
        <is>
          <t>No</t>
        </is>
      </c>
      <c r="I978" t="inlineStr">
        <is>
          <t>No</t>
        </is>
      </c>
      <c r="J978" t="inlineStr">
        <is>
          <t>0</t>
        </is>
      </c>
      <c r="K978" t="inlineStr">
        <is>
          <t>Menninger Foundation Conference on the Schizophrenic Syndrome (1969 : Topeka, Kan.)</t>
        </is>
      </c>
      <c r="L978" t="inlineStr">
        <is>
          <t>New York : Brunner/Mazel, 1970.</t>
        </is>
      </c>
      <c r="M978" t="inlineStr">
        <is>
          <t>1970</t>
        </is>
      </c>
      <c r="O978" t="inlineStr">
        <is>
          <t>eng</t>
        </is>
      </c>
      <c r="P978" t="inlineStr">
        <is>
          <t>nyu</t>
        </is>
      </c>
      <c r="R978" t="inlineStr">
        <is>
          <t xml:space="preserve">RC </t>
        </is>
      </c>
      <c r="S978" t="n">
        <v>5</v>
      </c>
      <c r="T978" t="n">
        <v>5</v>
      </c>
      <c r="U978" t="inlineStr">
        <is>
          <t>2006-04-11</t>
        </is>
      </c>
      <c r="V978" t="inlineStr">
        <is>
          <t>2006-04-11</t>
        </is>
      </c>
      <c r="W978" t="inlineStr">
        <is>
          <t>1990-04-02</t>
        </is>
      </c>
      <c r="X978" t="inlineStr">
        <is>
          <t>1990-04-02</t>
        </is>
      </c>
      <c r="Y978" t="n">
        <v>376</v>
      </c>
      <c r="Z978" t="n">
        <v>329</v>
      </c>
      <c r="AA978" t="n">
        <v>338</v>
      </c>
      <c r="AB978" t="n">
        <v>3</v>
      </c>
      <c r="AC978" t="n">
        <v>3</v>
      </c>
      <c r="AD978" t="n">
        <v>14</v>
      </c>
      <c r="AE978" t="n">
        <v>14</v>
      </c>
      <c r="AF978" t="n">
        <v>4</v>
      </c>
      <c r="AG978" t="n">
        <v>4</v>
      </c>
      <c r="AH978" t="n">
        <v>3</v>
      </c>
      <c r="AI978" t="n">
        <v>3</v>
      </c>
      <c r="AJ978" t="n">
        <v>8</v>
      </c>
      <c r="AK978" t="n">
        <v>8</v>
      </c>
      <c r="AL978" t="n">
        <v>2</v>
      </c>
      <c r="AM978" t="n">
        <v>2</v>
      </c>
      <c r="AN978" t="n">
        <v>0</v>
      </c>
      <c r="AO978" t="n">
        <v>0</v>
      </c>
      <c r="AP978" t="inlineStr">
        <is>
          <t>No</t>
        </is>
      </c>
      <c r="AQ978" t="inlineStr">
        <is>
          <t>Yes</t>
        </is>
      </c>
      <c r="AR978">
        <f>HYPERLINK("http://catalog.hathitrust.org/Record/001565009","HathiTrust Record")</f>
        <v/>
      </c>
      <c r="AS978">
        <f>HYPERLINK("https://creighton-primo.hosted.exlibrisgroup.com/primo-explore/search?tab=default_tab&amp;search_scope=EVERYTHING&amp;vid=01CRU&amp;lang=en_US&amp;offset=0&amp;query=any,contains,991000136559702656","Catalog Record")</f>
        <v/>
      </c>
      <c r="AT978">
        <f>HYPERLINK("http://www.worldcat.org/oclc/56547","WorldCat Record")</f>
        <v/>
      </c>
      <c r="AU978" t="inlineStr">
        <is>
          <t>1189338:eng</t>
        </is>
      </c>
      <c r="AV978" t="inlineStr">
        <is>
          <t>56547</t>
        </is>
      </c>
      <c r="AW978" t="inlineStr">
        <is>
          <t>991000136559702656</t>
        </is>
      </c>
      <c r="AX978" t="inlineStr">
        <is>
          <t>991000136559702656</t>
        </is>
      </c>
      <c r="AY978" t="inlineStr">
        <is>
          <t>2261214940002656</t>
        </is>
      </c>
      <c r="AZ978" t="inlineStr">
        <is>
          <t>BOOK</t>
        </is>
      </c>
      <c r="BB978" t="inlineStr">
        <is>
          <t>9780876300220</t>
        </is>
      </c>
      <c r="BC978" t="inlineStr">
        <is>
          <t>32285000100023</t>
        </is>
      </c>
      <c r="BD978" t="inlineStr">
        <is>
          <t>893790272</t>
        </is>
      </c>
    </row>
    <row r="979">
      <c r="A979" t="inlineStr">
        <is>
          <t>No</t>
        </is>
      </c>
      <c r="B979" t="inlineStr">
        <is>
          <t>RC514 .M5</t>
        </is>
      </c>
      <c r="C979" t="inlineStr">
        <is>
          <t>0                      RC 0514000M  5</t>
        </is>
      </c>
      <c r="D979" t="inlineStr">
        <is>
          <t>Family processes and schizophrenia / edited by Elliot G. Mishler and Nancy E. Waxler.</t>
        </is>
      </c>
      <c r="F979" t="inlineStr">
        <is>
          <t>No</t>
        </is>
      </c>
      <c r="G979" t="inlineStr">
        <is>
          <t>1</t>
        </is>
      </c>
      <c r="H979" t="inlineStr">
        <is>
          <t>No</t>
        </is>
      </c>
      <c r="I979" t="inlineStr">
        <is>
          <t>No</t>
        </is>
      </c>
      <c r="J979" t="inlineStr">
        <is>
          <t>0</t>
        </is>
      </c>
      <c r="K979" t="inlineStr">
        <is>
          <t>Mishler, Elliot George, 1924- compiler.</t>
        </is>
      </c>
      <c r="L979" t="inlineStr">
        <is>
          <t>New York : Science House, [1968]</t>
        </is>
      </c>
      <c r="M979" t="inlineStr">
        <is>
          <t>1968</t>
        </is>
      </c>
      <c r="O979" t="inlineStr">
        <is>
          <t>eng</t>
        </is>
      </c>
      <c r="P979" t="inlineStr">
        <is>
          <t>nyu</t>
        </is>
      </c>
      <c r="R979" t="inlineStr">
        <is>
          <t xml:space="preserve">RC </t>
        </is>
      </c>
      <c r="S979" t="n">
        <v>14</v>
      </c>
      <c r="T979" t="n">
        <v>14</v>
      </c>
      <c r="U979" t="inlineStr">
        <is>
          <t>2002-10-21</t>
        </is>
      </c>
      <c r="V979" t="inlineStr">
        <is>
          <t>2002-10-21</t>
        </is>
      </c>
      <c r="W979" t="inlineStr">
        <is>
          <t>1991-09-27</t>
        </is>
      </c>
      <c r="X979" t="inlineStr">
        <is>
          <t>1991-09-27</t>
        </is>
      </c>
      <c r="Y979" t="n">
        <v>216</v>
      </c>
      <c r="Z979" t="n">
        <v>176</v>
      </c>
      <c r="AA979" t="n">
        <v>223</v>
      </c>
      <c r="AB979" t="n">
        <v>2</v>
      </c>
      <c r="AC979" t="n">
        <v>2</v>
      </c>
      <c r="AD979" t="n">
        <v>9</v>
      </c>
      <c r="AE979" t="n">
        <v>9</v>
      </c>
      <c r="AF979" t="n">
        <v>2</v>
      </c>
      <c r="AG979" t="n">
        <v>2</v>
      </c>
      <c r="AH979" t="n">
        <v>1</v>
      </c>
      <c r="AI979" t="n">
        <v>1</v>
      </c>
      <c r="AJ979" t="n">
        <v>5</v>
      </c>
      <c r="AK979" t="n">
        <v>5</v>
      </c>
      <c r="AL979" t="n">
        <v>1</v>
      </c>
      <c r="AM979" t="n">
        <v>1</v>
      </c>
      <c r="AN979" t="n">
        <v>0</v>
      </c>
      <c r="AO979" t="n">
        <v>0</v>
      </c>
      <c r="AP979" t="inlineStr">
        <is>
          <t>No</t>
        </is>
      </c>
      <c r="AQ979" t="inlineStr">
        <is>
          <t>Yes</t>
        </is>
      </c>
      <c r="AR979">
        <f>HYPERLINK("http://catalog.hathitrust.org/Record/102130132","HathiTrust Record")</f>
        <v/>
      </c>
      <c r="AS979">
        <f>HYPERLINK("https://creighton-primo.hosted.exlibrisgroup.com/primo-explore/search?tab=default_tab&amp;search_scope=EVERYTHING&amp;vid=01CRU&amp;lang=en_US&amp;offset=0&amp;query=any,contains,991000002469702656","Catalog Record")</f>
        <v/>
      </c>
      <c r="AT979">
        <f>HYPERLINK("http://www.worldcat.org/oclc/11138","WorldCat Record")</f>
        <v/>
      </c>
      <c r="AU979" t="inlineStr">
        <is>
          <t>376647643:eng</t>
        </is>
      </c>
      <c r="AV979" t="inlineStr">
        <is>
          <t>11138</t>
        </is>
      </c>
      <c r="AW979" t="inlineStr">
        <is>
          <t>991000002469702656</t>
        </is>
      </c>
      <c r="AX979" t="inlineStr">
        <is>
          <t>991000002469702656</t>
        </is>
      </c>
      <c r="AY979" t="inlineStr">
        <is>
          <t>2267735860002656</t>
        </is>
      </c>
      <c r="AZ979" t="inlineStr">
        <is>
          <t>BOOK</t>
        </is>
      </c>
      <c r="BC979" t="inlineStr">
        <is>
          <t>32285000760180</t>
        </is>
      </c>
      <c r="BD979" t="inlineStr">
        <is>
          <t>893345293</t>
        </is>
      </c>
    </row>
    <row r="980">
      <c r="A980" t="inlineStr">
        <is>
          <t>No</t>
        </is>
      </c>
      <c r="B980" t="inlineStr">
        <is>
          <t>RC514 .O18</t>
        </is>
      </c>
      <c r="C980" t="inlineStr">
        <is>
          <t>0                      RC 0514000O  18</t>
        </is>
      </c>
      <c r="D980" t="inlineStr">
        <is>
          <t>The disordered mind : what we now know about schizophrenia / Patrick O'Brien.</t>
        </is>
      </c>
      <c r="F980" t="inlineStr">
        <is>
          <t>No</t>
        </is>
      </c>
      <c r="G980" t="inlineStr">
        <is>
          <t>1</t>
        </is>
      </c>
      <c r="H980" t="inlineStr">
        <is>
          <t>No</t>
        </is>
      </c>
      <c r="I980" t="inlineStr">
        <is>
          <t>No</t>
        </is>
      </c>
      <c r="J980" t="inlineStr">
        <is>
          <t>0</t>
        </is>
      </c>
      <c r="K980" t="inlineStr">
        <is>
          <t>O'Brien, Patrick, 1941-</t>
        </is>
      </c>
      <c r="L980" t="inlineStr">
        <is>
          <t>Englewood Cliffs, N.J. : Prentice-Hall, c1978.</t>
        </is>
      </c>
      <c r="M980" t="inlineStr">
        <is>
          <t>1978</t>
        </is>
      </c>
      <c r="O980" t="inlineStr">
        <is>
          <t>eng</t>
        </is>
      </c>
      <c r="P980" t="inlineStr">
        <is>
          <t>nju</t>
        </is>
      </c>
      <c r="Q980" t="inlineStr">
        <is>
          <t>A Spectrum book</t>
        </is>
      </c>
      <c r="R980" t="inlineStr">
        <is>
          <t xml:space="preserve">RC </t>
        </is>
      </c>
      <c r="S980" t="n">
        <v>18</v>
      </c>
      <c r="T980" t="n">
        <v>18</v>
      </c>
      <c r="U980" t="inlineStr">
        <is>
          <t>2007-10-23</t>
        </is>
      </c>
      <c r="V980" t="inlineStr">
        <is>
          <t>2007-10-23</t>
        </is>
      </c>
      <c r="W980" t="inlineStr">
        <is>
          <t>1990-06-01</t>
        </is>
      </c>
      <c r="X980" t="inlineStr">
        <is>
          <t>1990-06-01</t>
        </is>
      </c>
      <c r="Y980" t="n">
        <v>597</v>
      </c>
      <c r="Z980" t="n">
        <v>513</v>
      </c>
      <c r="AA980" t="n">
        <v>516</v>
      </c>
      <c r="AB980" t="n">
        <v>6</v>
      </c>
      <c r="AC980" t="n">
        <v>6</v>
      </c>
      <c r="AD980" t="n">
        <v>25</v>
      </c>
      <c r="AE980" t="n">
        <v>25</v>
      </c>
      <c r="AF980" t="n">
        <v>6</v>
      </c>
      <c r="AG980" t="n">
        <v>6</v>
      </c>
      <c r="AH980" t="n">
        <v>6</v>
      </c>
      <c r="AI980" t="n">
        <v>6</v>
      </c>
      <c r="AJ980" t="n">
        <v>13</v>
      </c>
      <c r="AK980" t="n">
        <v>13</v>
      </c>
      <c r="AL980" t="n">
        <v>5</v>
      </c>
      <c r="AM980" t="n">
        <v>5</v>
      </c>
      <c r="AN980" t="n">
        <v>0</v>
      </c>
      <c r="AO980" t="n">
        <v>0</v>
      </c>
      <c r="AP980" t="inlineStr">
        <is>
          <t>No</t>
        </is>
      </c>
      <c r="AQ980" t="inlineStr">
        <is>
          <t>Yes</t>
        </is>
      </c>
      <c r="AR980">
        <f>HYPERLINK("http://catalog.hathitrust.org/Record/000177885","HathiTrust Record")</f>
        <v/>
      </c>
      <c r="AS980">
        <f>HYPERLINK("https://creighton-primo.hosted.exlibrisgroup.com/primo-explore/search?tab=default_tab&amp;search_scope=EVERYTHING&amp;vid=01CRU&amp;lang=en_US&amp;offset=0&amp;query=any,contains,991004574409702656","Catalog Record")</f>
        <v/>
      </c>
      <c r="AT980">
        <f>HYPERLINK("http://www.worldcat.org/oclc/4037024","WorldCat Record")</f>
        <v/>
      </c>
      <c r="AU980" t="inlineStr">
        <is>
          <t>410666:eng</t>
        </is>
      </c>
      <c r="AV980" t="inlineStr">
        <is>
          <t>4037024</t>
        </is>
      </c>
      <c r="AW980" t="inlineStr">
        <is>
          <t>991004574409702656</t>
        </is>
      </c>
      <c r="AX980" t="inlineStr">
        <is>
          <t>991004574409702656</t>
        </is>
      </c>
      <c r="AY980" t="inlineStr">
        <is>
          <t>2270832370002656</t>
        </is>
      </c>
      <c r="AZ980" t="inlineStr">
        <is>
          <t>BOOK</t>
        </is>
      </c>
      <c r="BB980" t="inlineStr">
        <is>
          <t>9780132164658</t>
        </is>
      </c>
      <c r="BC980" t="inlineStr">
        <is>
          <t>32285005012231</t>
        </is>
      </c>
      <c r="BD980" t="inlineStr">
        <is>
          <t>893606198</t>
        </is>
      </c>
    </row>
    <row r="981">
      <c r="A981" t="inlineStr">
        <is>
          <t>No</t>
        </is>
      </c>
      <c r="B981" t="inlineStr">
        <is>
          <t>RC514 .P3</t>
        </is>
      </c>
      <c r="C981" t="inlineStr">
        <is>
          <t>0                      RC 0514000P  3</t>
        </is>
      </c>
      <c r="D981" t="inlineStr">
        <is>
          <t>Schizophrenics in the community : an experimental study in the prevention of hospitalization / [by] Benjamin Pasamanick, Frank R. Scarpitti [and] Simon Dinitz. With the collaboration of Joseph Albini [and] Mark Lefton.</t>
        </is>
      </c>
      <c r="F981" t="inlineStr">
        <is>
          <t>No</t>
        </is>
      </c>
      <c r="G981" t="inlineStr">
        <is>
          <t>1</t>
        </is>
      </c>
      <c r="H981" t="inlineStr">
        <is>
          <t>No</t>
        </is>
      </c>
      <c r="I981" t="inlineStr">
        <is>
          <t>No</t>
        </is>
      </c>
      <c r="J981" t="inlineStr">
        <is>
          <t>0</t>
        </is>
      </c>
      <c r="K981" t="inlineStr">
        <is>
          <t>Pasamanick, Benjamin.</t>
        </is>
      </c>
      <c r="L981" t="inlineStr">
        <is>
          <t>New York : Appleton-Century-Crofts, [1967]</t>
        </is>
      </c>
      <c r="M981" t="inlineStr">
        <is>
          <t>1967</t>
        </is>
      </c>
      <c r="O981" t="inlineStr">
        <is>
          <t>eng</t>
        </is>
      </c>
      <c r="P981" t="inlineStr">
        <is>
          <t>nyu</t>
        </is>
      </c>
      <c r="Q981" t="inlineStr">
        <is>
          <t>Sociology series</t>
        </is>
      </c>
      <c r="R981" t="inlineStr">
        <is>
          <t xml:space="preserve">RC </t>
        </is>
      </c>
      <c r="S981" t="n">
        <v>4</v>
      </c>
      <c r="T981" t="n">
        <v>4</v>
      </c>
      <c r="U981" t="inlineStr">
        <is>
          <t>2002-10-21</t>
        </is>
      </c>
      <c r="V981" t="inlineStr">
        <is>
          <t>2002-10-21</t>
        </is>
      </c>
      <c r="W981" t="inlineStr">
        <is>
          <t>1990-11-30</t>
        </is>
      </c>
      <c r="X981" t="inlineStr">
        <is>
          <t>1990-11-30</t>
        </is>
      </c>
      <c r="Y981" t="n">
        <v>588</v>
      </c>
      <c r="Z981" t="n">
        <v>506</v>
      </c>
      <c r="AA981" t="n">
        <v>508</v>
      </c>
      <c r="AB981" t="n">
        <v>3</v>
      </c>
      <c r="AC981" t="n">
        <v>3</v>
      </c>
      <c r="AD981" t="n">
        <v>19</v>
      </c>
      <c r="AE981" t="n">
        <v>19</v>
      </c>
      <c r="AF981" t="n">
        <v>7</v>
      </c>
      <c r="AG981" t="n">
        <v>7</v>
      </c>
      <c r="AH981" t="n">
        <v>3</v>
      </c>
      <c r="AI981" t="n">
        <v>3</v>
      </c>
      <c r="AJ981" t="n">
        <v>9</v>
      </c>
      <c r="AK981" t="n">
        <v>9</v>
      </c>
      <c r="AL981" t="n">
        <v>2</v>
      </c>
      <c r="AM981" t="n">
        <v>2</v>
      </c>
      <c r="AN981" t="n">
        <v>0</v>
      </c>
      <c r="AO981" t="n">
        <v>0</v>
      </c>
      <c r="AP981" t="inlineStr">
        <is>
          <t>No</t>
        </is>
      </c>
      <c r="AQ981" t="inlineStr">
        <is>
          <t>Yes</t>
        </is>
      </c>
      <c r="AR981">
        <f>HYPERLINK("http://catalog.hathitrust.org/Record/001565015","HathiTrust Record")</f>
        <v/>
      </c>
      <c r="AS981">
        <f>HYPERLINK("https://creighton-primo.hosted.exlibrisgroup.com/primo-explore/search?tab=default_tab&amp;search_scope=EVERYTHING&amp;vid=01CRU&amp;lang=en_US&amp;offset=0&amp;query=any,contains,991003071399702656","Catalog Record")</f>
        <v/>
      </c>
      <c r="AT981">
        <f>HYPERLINK("http://www.worldcat.org/oclc/625746","WorldCat Record")</f>
        <v/>
      </c>
      <c r="AU981" t="inlineStr">
        <is>
          <t>1718282:eng</t>
        </is>
      </c>
      <c r="AV981" t="inlineStr">
        <is>
          <t>625746</t>
        </is>
      </c>
      <c r="AW981" t="inlineStr">
        <is>
          <t>991003071399702656</t>
        </is>
      </c>
      <c r="AX981" t="inlineStr">
        <is>
          <t>991003071399702656</t>
        </is>
      </c>
      <c r="AY981" t="inlineStr">
        <is>
          <t>2259154620002656</t>
        </is>
      </c>
      <c r="AZ981" t="inlineStr">
        <is>
          <t>BOOK</t>
        </is>
      </c>
      <c r="BC981" t="inlineStr">
        <is>
          <t>32285000410471</t>
        </is>
      </c>
      <c r="BD981" t="inlineStr">
        <is>
          <t>893616967</t>
        </is>
      </c>
    </row>
    <row r="982">
      <c r="A982" t="inlineStr">
        <is>
          <t>No</t>
        </is>
      </c>
      <c r="B982" t="inlineStr">
        <is>
          <t>RC514 .P45</t>
        </is>
      </c>
      <c r="C982" t="inlineStr">
        <is>
          <t>0                      RC 0514000P  45</t>
        </is>
      </c>
      <c r="D982" t="inlineStr">
        <is>
          <t>The far side of madness.</t>
        </is>
      </c>
      <c r="F982" t="inlineStr">
        <is>
          <t>No</t>
        </is>
      </c>
      <c r="G982" t="inlineStr">
        <is>
          <t>1</t>
        </is>
      </c>
      <c r="H982" t="inlineStr">
        <is>
          <t>No</t>
        </is>
      </c>
      <c r="I982" t="inlineStr">
        <is>
          <t>No</t>
        </is>
      </c>
      <c r="J982" t="inlineStr">
        <is>
          <t>0</t>
        </is>
      </c>
      <c r="K982" t="inlineStr">
        <is>
          <t>Perry, John Weir.</t>
        </is>
      </c>
      <c r="L982" t="inlineStr">
        <is>
          <t>Englewood Cliffs, N.J. : Prentice-Hall, [1974]</t>
        </is>
      </c>
      <c r="M982" t="inlineStr">
        <is>
          <t>1974</t>
        </is>
      </c>
      <c r="O982" t="inlineStr">
        <is>
          <t>eng</t>
        </is>
      </c>
      <c r="P982" t="inlineStr">
        <is>
          <t>nju</t>
        </is>
      </c>
      <c r="Q982" t="inlineStr">
        <is>
          <t>A Spectrum book</t>
        </is>
      </c>
      <c r="R982" t="inlineStr">
        <is>
          <t xml:space="preserve">RC </t>
        </is>
      </c>
      <c r="S982" t="n">
        <v>1</v>
      </c>
      <c r="T982" t="n">
        <v>1</v>
      </c>
      <c r="U982" t="inlineStr">
        <is>
          <t>1992-03-17</t>
        </is>
      </c>
      <c r="V982" t="inlineStr">
        <is>
          <t>1992-03-17</t>
        </is>
      </c>
      <c r="W982" t="inlineStr">
        <is>
          <t>1991-09-27</t>
        </is>
      </c>
      <c r="X982" t="inlineStr">
        <is>
          <t>1991-09-27</t>
        </is>
      </c>
      <c r="Y982" t="n">
        <v>453</v>
      </c>
      <c r="Z982" t="n">
        <v>389</v>
      </c>
      <c r="AA982" t="n">
        <v>470</v>
      </c>
      <c r="AB982" t="n">
        <v>3</v>
      </c>
      <c r="AC982" t="n">
        <v>3</v>
      </c>
      <c r="AD982" t="n">
        <v>18</v>
      </c>
      <c r="AE982" t="n">
        <v>19</v>
      </c>
      <c r="AF982" t="n">
        <v>7</v>
      </c>
      <c r="AG982" t="n">
        <v>7</v>
      </c>
      <c r="AH982" t="n">
        <v>3</v>
      </c>
      <c r="AI982" t="n">
        <v>3</v>
      </c>
      <c r="AJ982" t="n">
        <v>10</v>
      </c>
      <c r="AK982" t="n">
        <v>11</v>
      </c>
      <c r="AL982" t="n">
        <v>2</v>
      </c>
      <c r="AM982" t="n">
        <v>2</v>
      </c>
      <c r="AN982" t="n">
        <v>0</v>
      </c>
      <c r="AO982" t="n">
        <v>0</v>
      </c>
      <c r="AP982" t="inlineStr">
        <is>
          <t>No</t>
        </is>
      </c>
      <c r="AQ982" t="inlineStr">
        <is>
          <t>Yes</t>
        </is>
      </c>
      <c r="AR982">
        <f>HYPERLINK("http://catalog.hathitrust.org/Record/000012369","HathiTrust Record")</f>
        <v/>
      </c>
      <c r="AS982">
        <f>HYPERLINK("https://creighton-primo.hosted.exlibrisgroup.com/primo-explore/search?tab=default_tab&amp;search_scope=EVERYTHING&amp;vid=01CRU&amp;lang=en_US&amp;offset=0&amp;query=any,contains,991003293489702656","Catalog Record")</f>
        <v/>
      </c>
      <c r="AT982">
        <f>HYPERLINK("http://www.worldcat.org/oclc/815101","WorldCat Record")</f>
        <v/>
      </c>
      <c r="AU982" t="inlineStr">
        <is>
          <t>931016:eng</t>
        </is>
      </c>
      <c r="AV982" t="inlineStr">
        <is>
          <t>815101</t>
        </is>
      </c>
      <c r="AW982" t="inlineStr">
        <is>
          <t>991003293489702656</t>
        </is>
      </c>
      <c r="AX982" t="inlineStr">
        <is>
          <t>991003293489702656</t>
        </is>
      </c>
      <c r="AY982" t="inlineStr">
        <is>
          <t>2272590600002656</t>
        </is>
      </c>
      <c r="AZ982" t="inlineStr">
        <is>
          <t>BOOK</t>
        </is>
      </c>
      <c r="BB982" t="inlineStr">
        <is>
          <t>9780133030327</t>
        </is>
      </c>
      <c r="BC982" t="inlineStr">
        <is>
          <t>32285000760198</t>
        </is>
      </c>
      <c r="BD982" t="inlineStr">
        <is>
          <t>893686409</t>
        </is>
      </c>
    </row>
    <row r="983">
      <c r="A983" t="inlineStr">
        <is>
          <t>No</t>
        </is>
      </c>
      <c r="B983" t="inlineStr">
        <is>
          <t>RC514 .P72</t>
        </is>
      </c>
      <c r="C983" t="inlineStr">
        <is>
          <t>0                      RC 0514000P  72</t>
        </is>
      </c>
      <c r="D983" t="inlineStr">
        <is>
          <t>Psychotherapy for the whole family : case histories, techniques, and concepts of family therapy of schizophrenia in the home and clinic / [by] Alfred S. Friedman [and others]</t>
        </is>
      </c>
      <c r="F983" t="inlineStr">
        <is>
          <t>No</t>
        </is>
      </c>
      <c r="G983" t="inlineStr">
        <is>
          <t>1</t>
        </is>
      </c>
      <c r="H983" t="inlineStr">
        <is>
          <t>No</t>
        </is>
      </c>
      <c r="I983" t="inlineStr">
        <is>
          <t>No</t>
        </is>
      </c>
      <c r="J983" t="inlineStr">
        <is>
          <t>0</t>
        </is>
      </c>
      <c r="L983" t="inlineStr">
        <is>
          <t>New York : Springer Pub. Co., [1965]</t>
        </is>
      </c>
      <c r="M983" t="inlineStr">
        <is>
          <t>1965</t>
        </is>
      </c>
      <c r="O983" t="inlineStr">
        <is>
          <t>eng</t>
        </is>
      </c>
      <c r="P983" t="inlineStr">
        <is>
          <t>nyu</t>
        </is>
      </c>
      <c r="R983" t="inlineStr">
        <is>
          <t xml:space="preserve">RC </t>
        </is>
      </c>
      <c r="S983" t="n">
        <v>4</v>
      </c>
      <c r="T983" t="n">
        <v>4</v>
      </c>
      <c r="U983" t="inlineStr">
        <is>
          <t>1994-04-06</t>
        </is>
      </c>
      <c r="V983" t="inlineStr">
        <is>
          <t>1994-04-06</t>
        </is>
      </c>
      <c r="W983" t="inlineStr">
        <is>
          <t>1991-09-27</t>
        </is>
      </c>
      <c r="X983" t="inlineStr">
        <is>
          <t>1991-09-27</t>
        </is>
      </c>
      <c r="Y983" t="n">
        <v>403</v>
      </c>
      <c r="Z983" t="n">
        <v>363</v>
      </c>
      <c r="AA983" t="n">
        <v>386</v>
      </c>
      <c r="AB983" t="n">
        <v>3</v>
      </c>
      <c r="AC983" t="n">
        <v>3</v>
      </c>
      <c r="AD983" t="n">
        <v>13</v>
      </c>
      <c r="AE983" t="n">
        <v>15</v>
      </c>
      <c r="AF983" t="n">
        <v>3</v>
      </c>
      <c r="AG983" t="n">
        <v>5</v>
      </c>
      <c r="AH983" t="n">
        <v>2</v>
      </c>
      <c r="AI983" t="n">
        <v>2</v>
      </c>
      <c r="AJ983" t="n">
        <v>7</v>
      </c>
      <c r="AK983" t="n">
        <v>8</v>
      </c>
      <c r="AL983" t="n">
        <v>2</v>
      </c>
      <c r="AM983" t="n">
        <v>2</v>
      </c>
      <c r="AN983" t="n">
        <v>0</v>
      </c>
      <c r="AO983" t="n">
        <v>0</v>
      </c>
      <c r="AP983" t="inlineStr">
        <is>
          <t>No</t>
        </is>
      </c>
      <c r="AQ983" t="inlineStr">
        <is>
          <t>Yes</t>
        </is>
      </c>
      <c r="AR983">
        <f>HYPERLINK("http://catalog.hathitrust.org/Record/001565016","HathiTrust Record")</f>
        <v/>
      </c>
      <c r="AS983">
        <f>HYPERLINK("https://creighton-primo.hosted.exlibrisgroup.com/primo-explore/search?tab=default_tab&amp;search_scope=EVERYTHING&amp;vid=01CRU&amp;lang=en_US&amp;offset=0&amp;query=any,contains,991001206249702656","Catalog Record")</f>
        <v/>
      </c>
      <c r="AT983">
        <f>HYPERLINK("http://www.worldcat.org/oclc/14497619","WorldCat Record")</f>
        <v/>
      </c>
      <c r="AU983" t="inlineStr">
        <is>
          <t>4020941349:eng</t>
        </is>
      </c>
      <c r="AV983" t="inlineStr">
        <is>
          <t>14497619</t>
        </is>
      </c>
      <c r="AW983" t="inlineStr">
        <is>
          <t>991001206249702656</t>
        </is>
      </c>
      <c r="AX983" t="inlineStr">
        <is>
          <t>991001206249702656</t>
        </is>
      </c>
      <c r="AY983" t="inlineStr">
        <is>
          <t>2258515090002656</t>
        </is>
      </c>
      <c r="AZ983" t="inlineStr">
        <is>
          <t>BOOK</t>
        </is>
      </c>
      <c r="BC983" t="inlineStr">
        <is>
          <t>32285000760214</t>
        </is>
      </c>
      <c r="BD983" t="inlineStr">
        <is>
          <t>893626604</t>
        </is>
      </c>
    </row>
    <row r="984">
      <c r="A984" t="inlineStr">
        <is>
          <t>No</t>
        </is>
      </c>
      <c r="B984" t="inlineStr">
        <is>
          <t>RC514 .R63 1976</t>
        </is>
      </c>
      <c r="C984" t="inlineStr">
        <is>
          <t>0                      RC 0514000R  63          1976</t>
        </is>
      </c>
      <c r="D984" t="inlineStr">
        <is>
          <t>The therapeutic relationship and its impact : a study of psychotherapy with schizophrenics / edited by Carl R. Rogers, with the collaboration of Eugene T. Gendlin ... [et al.].</t>
        </is>
      </c>
      <c r="F984" t="inlineStr">
        <is>
          <t>No</t>
        </is>
      </c>
      <c r="G984" t="inlineStr">
        <is>
          <t>1</t>
        </is>
      </c>
      <c r="H984" t="inlineStr">
        <is>
          <t>No</t>
        </is>
      </c>
      <c r="I984" t="inlineStr">
        <is>
          <t>No</t>
        </is>
      </c>
      <c r="J984" t="inlineStr">
        <is>
          <t>0</t>
        </is>
      </c>
      <c r="K984" t="inlineStr">
        <is>
          <t>Rogers, Carl R. (Carl Ransom), 1902-1987.</t>
        </is>
      </c>
      <c r="L984" t="inlineStr">
        <is>
          <t>Westport, Conn. : Greenwood Press, 1976, c1967.</t>
        </is>
      </c>
      <c r="M984" t="inlineStr">
        <is>
          <t>1976</t>
        </is>
      </c>
      <c r="O984" t="inlineStr">
        <is>
          <t>eng</t>
        </is>
      </c>
      <c r="P984" t="inlineStr">
        <is>
          <t>ctu</t>
        </is>
      </c>
      <c r="R984" t="inlineStr">
        <is>
          <t xml:space="preserve">RC </t>
        </is>
      </c>
      <c r="S984" t="n">
        <v>2</v>
      </c>
      <c r="T984" t="n">
        <v>2</v>
      </c>
      <c r="U984" t="inlineStr">
        <is>
          <t>1996-06-11</t>
        </is>
      </c>
      <c r="V984" t="inlineStr">
        <is>
          <t>1996-06-11</t>
        </is>
      </c>
      <c r="W984" t="inlineStr">
        <is>
          <t>1990-07-18</t>
        </is>
      </c>
      <c r="X984" t="inlineStr">
        <is>
          <t>1990-07-18</t>
        </is>
      </c>
      <c r="Y984" t="n">
        <v>168</v>
      </c>
      <c r="Z984" t="n">
        <v>133</v>
      </c>
      <c r="AA984" t="n">
        <v>596</v>
      </c>
      <c r="AB984" t="n">
        <v>1</v>
      </c>
      <c r="AC984" t="n">
        <v>3</v>
      </c>
      <c r="AD984" t="n">
        <v>9</v>
      </c>
      <c r="AE984" t="n">
        <v>30</v>
      </c>
      <c r="AF984" t="n">
        <v>4</v>
      </c>
      <c r="AG984" t="n">
        <v>15</v>
      </c>
      <c r="AH984" t="n">
        <v>2</v>
      </c>
      <c r="AI984" t="n">
        <v>4</v>
      </c>
      <c r="AJ984" t="n">
        <v>7</v>
      </c>
      <c r="AK984" t="n">
        <v>17</v>
      </c>
      <c r="AL984" t="n">
        <v>0</v>
      </c>
      <c r="AM984" t="n">
        <v>2</v>
      </c>
      <c r="AN984" t="n">
        <v>0</v>
      </c>
      <c r="AO984" t="n">
        <v>0</v>
      </c>
      <c r="AP984" t="inlineStr">
        <is>
          <t>No</t>
        </is>
      </c>
      <c r="AQ984" t="inlineStr">
        <is>
          <t>Yes</t>
        </is>
      </c>
      <c r="AR984">
        <f>HYPERLINK("http://catalog.hathitrust.org/Record/004422384","HathiTrust Record")</f>
        <v/>
      </c>
      <c r="AS984">
        <f>HYPERLINK("https://creighton-primo.hosted.exlibrisgroup.com/primo-explore/search?tab=default_tab&amp;search_scope=EVERYTHING&amp;vid=01CRU&amp;lang=en_US&amp;offset=0&amp;query=any,contains,991004034249702656","Catalog Record")</f>
        <v/>
      </c>
      <c r="AT984">
        <f>HYPERLINK("http://www.worldcat.org/oclc/2164983","WorldCat Record")</f>
        <v/>
      </c>
      <c r="AU984" t="inlineStr">
        <is>
          <t>226083101:eng</t>
        </is>
      </c>
      <c r="AV984" t="inlineStr">
        <is>
          <t>2164983</t>
        </is>
      </c>
      <c r="AW984" t="inlineStr">
        <is>
          <t>991004034249702656</t>
        </is>
      </c>
      <c r="AX984" t="inlineStr">
        <is>
          <t>991004034249702656</t>
        </is>
      </c>
      <c r="AY984" t="inlineStr">
        <is>
          <t>2265389950002656</t>
        </is>
      </c>
      <c r="AZ984" t="inlineStr">
        <is>
          <t>BOOK</t>
        </is>
      </c>
      <c r="BB984" t="inlineStr">
        <is>
          <t>9780837183589</t>
        </is>
      </c>
      <c r="BC984" t="inlineStr">
        <is>
          <t>32285000232842</t>
        </is>
      </c>
      <c r="BD984" t="inlineStr">
        <is>
          <t>893618141</t>
        </is>
      </c>
    </row>
    <row r="985">
      <c r="A985" t="inlineStr">
        <is>
          <t>No</t>
        </is>
      </c>
      <c r="B985" t="inlineStr">
        <is>
          <t>RC514 .S313 1964</t>
        </is>
      </c>
      <c r="C985" t="inlineStr">
        <is>
          <t>0                      RC 0514000S  313         1964</t>
        </is>
      </c>
      <c r="D985" t="inlineStr">
        <is>
          <t>Schizophrenic women : studies in marital crisis / [by] Harold Sampson, Sheldon L. Messinger [and] Robert D. Towne, with the collaboration of David Ross [and] others]</t>
        </is>
      </c>
      <c r="F985" t="inlineStr">
        <is>
          <t>No</t>
        </is>
      </c>
      <c r="G985" t="inlineStr">
        <is>
          <t>1</t>
        </is>
      </c>
      <c r="H985" t="inlineStr">
        <is>
          <t>No</t>
        </is>
      </c>
      <c r="I985" t="inlineStr">
        <is>
          <t>No</t>
        </is>
      </c>
      <c r="J985" t="inlineStr">
        <is>
          <t>0</t>
        </is>
      </c>
      <c r="K985" t="inlineStr">
        <is>
          <t>Sampson, Harold.</t>
        </is>
      </c>
      <c r="L985" t="inlineStr">
        <is>
          <t>New York : Atherton Press, 1964.</t>
        </is>
      </c>
      <c r="M985" t="inlineStr">
        <is>
          <t>1964</t>
        </is>
      </c>
      <c r="O985" t="inlineStr">
        <is>
          <t>eng</t>
        </is>
      </c>
      <c r="P985" t="inlineStr">
        <is>
          <t>nyu</t>
        </is>
      </c>
      <c r="Q985" t="inlineStr">
        <is>
          <t>The Atherton Press behavioral science series</t>
        </is>
      </c>
      <c r="R985" t="inlineStr">
        <is>
          <t xml:space="preserve">RC </t>
        </is>
      </c>
      <c r="S985" t="n">
        <v>4</v>
      </c>
      <c r="T985" t="n">
        <v>4</v>
      </c>
      <c r="U985" t="inlineStr">
        <is>
          <t>1997-06-25</t>
        </is>
      </c>
      <c r="V985" t="inlineStr">
        <is>
          <t>1997-06-25</t>
        </is>
      </c>
      <c r="W985" t="inlineStr">
        <is>
          <t>1990-09-26</t>
        </is>
      </c>
      <c r="X985" t="inlineStr">
        <is>
          <t>1990-09-26</t>
        </is>
      </c>
      <c r="Y985" t="n">
        <v>344</v>
      </c>
      <c r="Z985" t="n">
        <v>323</v>
      </c>
      <c r="AA985" t="n">
        <v>330</v>
      </c>
      <c r="AB985" t="n">
        <v>3</v>
      </c>
      <c r="AC985" t="n">
        <v>3</v>
      </c>
      <c r="AD985" t="n">
        <v>14</v>
      </c>
      <c r="AE985" t="n">
        <v>14</v>
      </c>
      <c r="AF985" t="n">
        <v>1</v>
      </c>
      <c r="AG985" t="n">
        <v>1</v>
      </c>
      <c r="AH985" t="n">
        <v>5</v>
      </c>
      <c r="AI985" t="n">
        <v>5</v>
      </c>
      <c r="AJ985" t="n">
        <v>9</v>
      </c>
      <c r="AK985" t="n">
        <v>9</v>
      </c>
      <c r="AL985" t="n">
        <v>2</v>
      </c>
      <c r="AM985" t="n">
        <v>2</v>
      </c>
      <c r="AN985" t="n">
        <v>0</v>
      </c>
      <c r="AO985" t="n">
        <v>0</v>
      </c>
      <c r="AP985" t="inlineStr">
        <is>
          <t>No</t>
        </is>
      </c>
      <c r="AQ985" t="inlineStr">
        <is>
          <t>Yes</t>
        </is>
      </c>
      <c r="AR985">
        <f>HYPERLINK("http://catalog.hathitrust.org/Record/001565024","HathiTrust Record")</f>
        <v/>
      </c>
      <c r="AS985">
        <f>HYPERLINK("https://creighton-primo.hosted.exlibrisgroup.com/primo-explore/search?tab=default_tab&amp;search_scope=EVERYTHING&amp;vid=01CRU&amp;lang=en_US&amp;offset=0&amp;query=any,contains,991002977089702656","Catalog Record")</f>
        <v/>
      </c>
      <c r="AT985">
        <f>HYPERLINK("http://www.worldcat.org/oclc/552652","WorldCat Record")</f>
        <v/>
      </c>
      <c r="AU985" t="inlineStr">
        <is>
          <t>4020419672:eng</t>
        </is>
      </c>
      <c r="AV985" t="inlineStr">
        <is>
          <t>552652</t>
        </is>
      </c>
      <c r="AW985" t="inlineStr">
        <is>
          <t>991002977089702656</t>
        </is>
      </c>
      <c r="AX985" t="inlineStr">
        <is>
          <t>991002977089702656</t>
        </is>
      </c>
      <c r="AY985" t="inlineStr">
        <is>
          <t>2259465350002656</t>
        </is>
      </c>
      <c r="AZ985" t="inlineStr">
        <is>
          <t>BOOK</t>
        </is>
      </c>
      <c r="BC985" t="inlineStr">
        <is>
          <t>32285000320779</t>
        </is>
      </c>
      <c r="BD985" t="inlineStr">
        <is>
          <t>893428295</t>
        </is>
      </c>
    </row>
    <row r="986">
      <c r="A986" t="inlineStr">
        <is>
          <t>No</t>
        </is>
      </c>
      <c r="B986" t="inlineStr">
        <is>
          <t>RC514 .S3163 1994</t>
        </is>
      </c>
      <c r="C986" t="inlineStr">
        <is>
          <t>0                      RC 0514000S  3163        1994</t>
        </is>
      </c>
      <c r="D986" t="inlineStr">
        <is>
          <t>The paradoxes of delusion : Wittgenstein, Schreber, and the schizophrenic mind / Louis A. Sass.</t>
        </is>
      </c>
      <c r="F986" t="inlineStr">
        <is>
          <t>No</t>
        </is>
      </c>
      <c r="G986" t="inlineStr">
        <is>
          <t>1</t>
        </is>
      </c>
      <c r="H986" t="inlineStr">
        <is>
          <t>No</t>
        </is>
      </c>
      <c r="I986" t="inlineStr">
        <is>
          <t>No</t>
        </is>
      </c>
      <c r="J986" t="inlineStr">
        <is>
          <t>0</t>
        </is>
      </c>
      <c r="K986" t="inlineStr">
        <is>
          <t>Sass, Louis Arnorsson.</t>
        </is>
      </c>
      <c r="L986" t="inlineStr">
        <is>
          <t>Ithaca, N.Y. : Cornell University Press, 1994.</t>
        </is>
      </c>
      <c r="M986" t="inlineStr">
        <is>
          <t>1994</t>
        </is>
      </c>
      <c r="O986" t="inlineStr">
        <is>
          <t>eng</t>
        </is>
      </c>
      <c r="P986" t="inlineStr">
        <is>
          <t>nyu</t>
        </is>
      </c>
      <c r="R986" t="inlineStr">
        <is>
          <t xml:space="preserve">RC </t>
        </is>
      </c>
      <c r="S986" t="n">
        <v>11</v>
      </c>
      <c r="T986" t="n">
        <v>11</v>
      </c>
      <c r="U986" t="inlineStr">
        <is>
          <t>2004-03-02</t>
        </is>
      </c>
      <c r="V986" t="inlineStr">
        <is>
          <t>2004-03-02</t>
        </is>
      </c>
      <c r="W986" t="inlineStr">
        <is>
          <t>1994-05-09</t>
        </is>
      </c>
      <c r="X986" t="inlineStr">
        <is>
          <t>1994-05-09</t>
        </is>
      </c>
      <c r="Y986" t="n">
        <v>321</v>
      </c>
      <c r="Z986" t="n">
        <v>237</v>
      </c>
      <c r="AA986" t="n">
        <v>439</v>
      </c>
      <c r="AB986" t="n">
        <v>2</v>
      </c>
      <c r="AC986" t="n">
        <v>2</v>
      </c>
      <c r="AD986" t="n">
        <v>17</v>
      </c>
      <c r="AE986" t="n">
        <v>26</v>
      </c>
      <c r="AF986" t="n">
        <v>6</v>
      </c>
      <c r="AG986" t="n">
        <v>11</v>
      </c>
      <c r="AH986" t="n">
        <v>5</v>
      </c>
      <c r="AI986" t="n">
        <v>7</v>
      </c>
      <c r="AJ986" t="n">
        <v>10</v>
      </c>
      <c r="AK986" t="n">
        <v>14</v>
      </c>
      <c r="AL986" t="n">
        <v>1</v>
      </c>
      <c r="AM986" t="n">
        <v>1</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HYPERLINK("https://creighton-primo.hosted.exlibrisgroup.com/primo-explore/search?tab=default_tab&amp;search_scope=EVERYTHING&amp;vid=01CRU&amp;lang=en_US&amp;offset=0&amp;query=any,contains,991002199799702656","Catalog Record")</f>
        <v/>
      </c>
      <c r="AT986">
        <f>HYPERLINK("http://www.worldcat.org/oclc/28293046","WorldCat Record")</f>
        <v/>
      </c>
      <c r="AU986" t="inlineStr">
        <is>
          <t>24564419:eng</t>
        </is>
      </c>
      <c r="AV986" t="inlineStr">
        <is>
          <t>28293046</t>
        </is>
      </c>
      <c r="AW986" t="inlineStr">
        <is>
          <t>991002199799702656</t>
        </is>
      </c>
      <c r="AX986" t="inlineStr">
        <is>
          <t>991002199799702656</t>
        </is>
      </c>
      <c r="AY986" t="inlineStr">
        <is>
          <t>2259330960002656</t>
        </is>
      </c>
      <c r="AZ986" t="inlineStr">
        <is>
          <t>BOOK</t>
        </is>
      </c>
      <c r="BB986" t="inlineStr">
        <is>
          <t>9780801422102</t>
        </is>
      </c>
      <c r="BC986" t="inlineStr">
        <is>
          <t>32285001879757</t>
        </is>
      </c>
      <c r="BD986" t="inlineStr">
        <is>
          <t>893335046</t>
        </is>
      </c>
    </row>
    <row r="987">
      <c r="A987" t="inlineStr">
        <is>
          <t>No</t>
        </is>
      </c>
      <c r="B987" t="inlineStr">
        <is>
          <t>RC514 .S318</t>
        </is>
      </c>
      <c r="C987" t="inlineStr">
        <is>
          <t>0                      RC 0514000S  318</t>
        </is>
      </c>
      <c r="D987" t="inlineStr">
        <is>
          <t>Soul murder : persecution in the family.</t>
        </is>
      </c>
      <c r="F987" t="inlineStr">
        <is>
          <t>No</t>
        </is>
      </c>
      <c r="G987" t="inlineStr">
        <is>
          <t>1</t>
        </is>
      </c>
      <c r="H987" t="inlineStr">
        <is>
          <t>No</t>
        </is>
      </c>
      <c r="I987" t="inlineStr">
        <is>
          <t>No</t>
        </is>
      </c>
      <c r="J987" t="inlineStr">
        <is>
          <t>0</t>
        </is>
      </c>
      <c r="K987" t="inlineStr">
        <is>
          <t>Schatzman, Morton.</t>
        </is>
      </c>
      <c r="L987" t="inlineStr">
        <is>
          <t>New York : Random House, [1973]</t>
        </is>
      </c>
      <c r="M987" t="inlineStr">
        <is>
          <t>1973</t>
        </is>
      </c>
      <c r="N987" t="inlineStr">
        <is>
          <t>[1st ed.]</t>
        </is>
      </c>
      <c r="O987" t="inlineStr">
        <is>
          <t>eng</t>
        </is>
      </c>
      <c r="P987" t="inlineStr">
        <is>
          <t>nyu</t>
        </is>
      </c>
      <c r="R987" t="inlineStr">
        <is>
          <t xml:space="preserve">RC </t>
        </is>
      </c>
      <c r="S987" t="n">
        <v>5</v>
      </c>
      <c r="T987" t="n">
        <v>5</v>
      </c>
      <c r="U987" t="inlineStr">
        <is>
          <t>1995-04-24</t>
        </is>
      </c>
      <c r="V987" t="inlineStr">
        <is>
          <t>1995-04-24</t>
        </is>
      </c>
      <c r="W987" t="inlineStr">
        <is>
          <t>1991-10-21</t>
        </is>
      </c>
      <c r="X987" t="inlineStr">
        <is>
          <t>1991-10-21</t>
        </is>
      </c>
      <c r="Y987" t="n">
        <v>446</v>
      </c>
      <c r="Z987" t="n">
        <v>401</v>
      </c>
      <c r="AA987" t="n">
        <v>442</v>
      </c>
      <c r="AB987" t="n">
        <v>2</v>
      </c>
      <c r="AC987" t="n">
        <v>2</v>
      </c>
      <c r="AD987" t="n">
        <v>8</v>
      </c>
      <c r="AE987" t="n">
        <v>10</v>
      </c>
      <c r="AF987" t="n">
        <v>4</v>
      </c>
      <c r="AG987" t="n">
        <v>5</v>
      </c>
      <c r="AH987" t="n">
        <v>2</v>
      </c>
      <c r="AI987" t="n">
        <v>2</v>
      </c>
      <c r="AJ987" t="n">
        <v>4</v>
      </c>
      <c r="AK987" t="n">
        <v>5</v>
      </c>
      <c r="AL987" t="n">
        <v>1</v>
      </c>
      <c r="AM987" t="n">
        <v>1</v>
      </c>
      <c r="AN987" t="n">
        <v>0</v>
      </c>
      <c r="AO987" t="n">
        <v>0</v>
      </c>
      <c r="AP987" t="inlineStr">
        <is>
          <t>No</t>
        </is>
      </c>
      <c r="AQ987" t="inlineStr">
        <is>
          <t>Yes</t>
        </is>
      </c>
      <c r="AR987">
        <f>HYPERLINK("http://catalog.hathitrust.org/Record/001565025","HathiTrust Record")</f>
        <v/>
      </c>
      <c r="AS987">
        <f>HYPERLINK("https://creighton-primo.hosted.exlibrisgroup.com/primo-explore/search?tab=default_tab&amp;search_scope=EVERYTHING&amp;vid=01CRU&amp;lang=en_US&amp;offset=0&amp;query=any,contains,991002759519702656","Catalog Record")</f>
        <v/>
      </c>
      <c r="AT987">
        <f>HYPERLINK("http://www.worldcat.org/oclc/427451","WorldCat Record")</f>
        <v/>
      </c>
      <c r="AU987" t="inlineStr">
        <is>
          <t>1522939:eng</t>
        </is>
      </c>
      <c r="AV987" t="inlineStr">
        <is>
          <t>427451</t>
        </is>
      </c>
      <c r="AW987" t="inlineStr">
        <is>
          <t>991002759519702656</t>
        </is>
      </c>
      <c r="AX987" t="inlineStr">
        <is>
          <t>991002759519702656</t>
        </is>
      </c>
      <c r="AY987" t="inlineStr">
        <is>
          <t>2264606210002656</t>
        </is>
      </c>
      <c r="AZ987" t="inlineStr">
        <is>
          <t>BOOK</t>
        </is>
      </c>
      <c r="BB987" t="inlineStr">
        <is>
          <t>9780394481487</t>
        </is>
      </c>
      <c r="BC987" t="inlineStr">
        <is>
          <t>32285000775378</t>
        </is>
      </c>
      <c r="BD987" t="inlineStr">
        <is>
          <t>893710650</t>
        </is>
      </c>
    </row>
    <row r="988">
      <c r="A988" t="inlineStr">
        <is>
          <t>No</t>
        </is>
      </c>
      <c r="B988" t="inlineStr">
        <is>
          <t>RC514 .S33455 1987</t>
        </is>
      </c>
      <c r="C988" t="inlineStr">
        <is>
          <t>0                      RC 0514000S  33455       1987</t>
        </is>
      </c>
      <c r="D988" t="inlineStr">
        <is>
          <t>Schizophrenia and aging : schizophrenia, paranoia, and schizophreniform disorders in later life / edited by Nancy E. Miller, Gene D. Cohen.</t>
        </is>
      </c>
      <c r="F988" t="inlineStr">
        <is>
          <t>No</t>
        </is>
      </c>
      <c r="G988" t="inlineStr">
        <is>
          <t>1</t>
        </is>
      </c>
      <c r="H988" t="inlineStr">
        <is>
          <t>No</t>
        </is>
      </c>
      <c r="I988" t="inlineStr">
        <is>
          <t>No</t>
        </is>
      </c>
      <c r="J988" t="inlineStr">
        <is>
          <t>0</t>
        </is>
      </c>
      <c r="L988" t="inlineStr">
        <is>
          <t>New York : Guilford Press, 1987.</t>
        </is>
      </c>
      <c r="M988" t="inlineStr">
        <is>
          <t>1987</t>
        </is>
      </c>
      <c r="O988" t="inlineStr">
        <is>
          <t>eng</t>
        </is>
      </c>
      <c r="P988" t="inlineStr">
        <is>
          <t>nyu</t>
        </is>
      </c>
      <c r="Q988" t="inlineStr">
        <is>
          <t>The Guilford psychiatry series</t>
        </is>
      </c>
      <c r="R988" t="inlineStr">
        <is>
          <t xml:space="preserve">RC </t>
        </is>
      </c>
      <c r="S988" t="n">
        <v>11</v>
      </c>
      <c r="T988" t="n">
        <v>11</v>
      </c>
      <c r="U988" t="inlineStr">
        <is>
          <t>2007-10-12</t>
        </is>
      </c>
      <c r="V988" t="inlineStr">
        <is>
          <t>2007-10-12</t>
        </is>
      </c>
      <c r="W988" t="inlineStr">
        <is>
          <t>1993-03-23</t>
        </is>
      </c>
      <c r="X988" t="inlineStr">
        <is>
          <t>1993-03-23</t>
        </is>
      </c>
      <c r="Y988" t="n">
        <v>287</v>
      </c>
      <c r="Z988" t="n">
        <v>236</v>
      </c>
      <c r="AA988" t="n">
        <v>236</v>
      </c>
      <c r="AB988" t="n">
        <v>2</v>
      </c>
      <c r="AC988" t="n">
        <v>2</v>
      </c>
      <c r="AD988" t="n">
        <v>12</v>
      </c>
      <c r="AE988" t="n">
        <v>12</v>
      </c>
      <c r="AF988" t="n">
        <v>3</v>
      </c>
      <c r="AG988" t="n">
        <v>3</v>
      </c>
      <c r="AH988" t="n">
        <v>3</v>
      </c>
      <c r="AI988" t="n">
        <v>3</v>
      </c>
      <c r="AJ988" t="n">
        <v>10</v>
      </c>
      <c r="AK988" t="n">
        <v>10</v>
      </c>
      <c r="AL988" t="n">
        <v>1</v>
      </c>
      <c r="AM988" t="n">
        <v>1</v>
      </c>
      <c r="AN988" t="n">
        <v>0</v>
      </c>
      <c r="AO988" t="n">
        <v>0</v>
      </c>
      <c r="AP988" t="inlineStr">
        <is>
          <t>No</t>
        </is>
      </c>
      <c r="AQ988" t="inlineStr">
        <is>
          <t>No</t>
        </is>
      </c>
      <c r="AS988">
        <f>HYPERLINK("https://creighton-primo.hosted.exlibrisgroup.com/primo-explore/search?tab=default_tab&amp;search_scope=EVERYTHING&amp;vid=01CRU&amp;lang=en_US&amp;offset=0&amp;query=any,contains,991001069999702656","Catalog Record")</f>
        <v/>
      </c>
      <c r="AT988">
        <f>HYPERLINK("http://www.worldcat.org/oclc/15860201","WorldCat Record")</f>
        <v/>
      </c>
      <c r="AU988" t="inlineStr">
        <is>
          <t>836627882:eng</t>
        </is>
      </c>
      <c r="AV988" t="inlineStr">
        <is>
          <t>15860201</t>
        </is>
      </c>
      <c r="AW988" t="inlineStr">
        <is>
          <t>991001069999702656</t>
        </is>
      </c>
      <c r="AX988" t="inlineStr">
        <is>
          <t>991001069999702656</t>
        </is>
      </c>
      <c r="AY988" t="inlineStr">
        <is>
          <t>2259004320002656</t>
        </is>
      </c>
      <c r="AZ988" t="inlineStr">
        <is>
          <t>BOOK</t>
        </is>
      </c>
      <c r="BB988" t="inlineStr">
        <is>
          <t>9780898622287</t>
        </is>
      </c>
      <c r="BC988" t="inlineStr">
        <is>
          <t>32285001607372</t>
        </is>
      </c>
      <c r="BD988" t="inlineStr">
        <is>
          <t>893589996</t>
        </is>
      </c>
    </row>
    <row r="989">
      <c r="A989" t="inlineStr">
        <is>
          <t>No</t>
        </is>
      </c>
      <c r="B989" t="inlineStr">
        <is>
          <t>RC514 .S33644 1991</t>
        </is>
      </c>
      <c r="C989" t="inlineStr">
        <is>
          <t>0                      RC 0514000S  33644       1991</t>
        </is>
      </c>
      <c r="D989" t="inlineStr">
        <is>
          <t>Schizophrenia simplified : a field guide to schizophrenia for frontline workers, families, and professionals / J. F. Thornton ... [et al.] ; the Clarke Institute of Psychiatry, Toronto, Canada.</t>
        </is>
      </c>
      <c r="F989" t="inlineStr">
        <is>
          <t>No</t>
        </is>
      </c>
      <c r="G989" t="inlineStr">
        <is>
          <t>1</t>
        </is>
      </c>
      <c r="H989" t="inlineStr">
        <is>
          <t>No</t>
        </is>
      </c>
      <c r="I989" t="inlineStr">
        <is>
          <t>No</t>
        </is>
      </c>
      <c r="J989" t="inlineStr">
        <is>
          <t>0</t>
        </is>
      </c>
      <c r="L989" t="inlineStr">
        <is>
          <t>Toronto ; Lewiston, NY : Hogrefe &amp; Huber Publishers, 1991.</t>
        </is>
      </c>
      <c r="M989" t="inlineStr">
        <is>
          <t>1991</t>
        </is>
      </c>
      <c r="O989" t="inlineStr">
        <is>
          <t>eng</t>
        </is>
      </c>
      <c r="P989" t="inlineStr">
        <is>
          <t>onc</t>
        </is>
      </c>
      <c r="R989" t="inlineStr">
        <is>
          <t xml:space="preserve">RC </t>
        </is>
      </c>
      <c r="S989" t="n">
        <v>71</v>
      </c>
      <c r="T989" t="n">
        <v>71</v>
      </c>
      <c r="U989" t="inlineStr">
        <is>
          <t>2009-03-11</t>
        </is>
      </c>
      <c r="V989" t="inlineStr">
        <is>
          <t>2009-03-11</t>
        </is>
      </c>
      <c r="W989" t="inlineStr">
        <is>
          <t>2000-01-05</t>
        </is>
      </c>
      <c r="X989" t="inlineStr">
        <is>
          <t>2000-01-05</t>
        </is>
      </c>
      <c r="Y989" t="n">
        <v>103</v>
      </c>
      <c r="Z989" t="n">
        <v>55</v>
      </c>
      <c r="AA989" t="n">
        <v>64</v>
      </c>
      <c r="AB989" t="n">
        <v>3</v>
      </c>
      <c r="AC989" t="n">
        <v>3</v>
      </c>
      <c r="AD989" t="n">
        <v>3</v>
      </c>
      <c r="AE989" t="n">
        <v>3</v>
      </c>
      <c r="AF989" t="n">
        <v>1</v>
      </c>
      <c r="AG989" t="n">
        <v>1</v>
      </c>
      <c r="AH989" t="n">
        <v>0</v>
      </c>
      <c r="AI989" t="n">
        <v>0</v>
      </c>
      <c r="AJ989" t="n">
        <v>1</v>
      </c>
      <c r="AK989" t="n">
        <v>1</v>
      </c>
      <c r="AL989" t="n">
        <v>1</v>
      </c>
      <c r="AM989" t="n">
        <v>1</v>
      </c>
      <c r="AN989" t="n">
        <v>0</v>
      </c>
      <c r="AO989" t="n">
        <v>0</v>
      </c>
      <c r="AP989" t="inlineStr">
        <is>
          <t>No</t>
        </is>
      </c>
      <c r="AQ989" t="inlineStr">
        <is>
          <t>No</t>
        </is>
      </c>
      <c r="AS989">
        <f>HYPERLINK("https://creighton-primo.hosted.exlibrisgroup.com/primo-explore/search?tab=default_tab&amp;search_scope=EVERYTHING&amp;vid=01CRU&amp;lang=en_US&amp;offset=0&amp;query=any,contains,991001898329702656","Catalog Record")</f>
        <v/>
      </c>
      <c r="AT989">
        <f>HYPERLINK("http://www.worldcat.org/oclc/23975272","WorldCat Record")</f>
        <v/>
      </c>
      <c r="AU989" t="inlineStr">
        <is>
          <t>866854468:eng</t>
        </is>
      </c>
      <c r="AV989" t="inlineStr">
        <is>
          <t>23975272</t>
        </is>
      </c>
      <c r="AW989" t="inlineStr">
        <is>
          <t>991001898329702656</t>
        </is>
      </c>
      <c r="AX989" t="inlineStr">
        <is>
          <t>991001898329702656</t>
        </is>
      </c>
      <c r="AY989" t="inlineStr">
        <is>
          <t>2270629830002656</t>
        </is>
      </c>
      <c r="AZ989" t="inlineStr">
        <is>
          <t>BOOK</t>
        </is>
      </c>
      <c r="BB989" t="inlineStr">
        <is>
          <t>9780920887172</t>
        </is>
      </c>
      <c r="BC989" t="inlineStr">
        <is>
          <t>32285003637617</t>
        </is>
      </c>
      <c r="BD989" t="inlineStr">
        <is>
          <t>893244502</t>
        </is>
      </c>
    </row>
    <row r="990">
      <c r="A990" t="inlineStr">
        <is>
          <t>No</t>
        </is>
      </c>
      <c r="B990" t="inlineStr">
        <is>
          <t>RC514 .S59 2001</t>
        </is>
      </c>
      <c r="C990" t="inlineStr">
        <is>
          <t>0                      RC 0514000S  59          2001</t>
        </is>
      </c>
      <c r="D990" t="inlineStr">
        <is>
          <t>Social cognition and schizophrenia / edited by Patrick W. Corrigan and David L. Penn.</t>
        </is>
      </c>
      <c r="F990" t="inlineStr">
        <is>
          <t>No</t>
        </is>
      </c>
      <c r="G990" t="inlineStr">
        <is>
          <t>1</t>
        </is>
      </c>
      <c r="H990" t="inlineStr">
        <is>
          <t>No</t>
        </is>
      </c>
      <c r="I990" t="inlineStr">
        <is>
          <t>No</t>
        </is>
      </c>
      <c r="J990" t="inlineStr">
        <is>
          <t>0</t>
        </is>
      </c>
      <c r="L990" t="inlineStr">
        <is>
          <t>Washington, D.C. : American Psychological Association, 2001.</t>
        </is>
      </c>
      <c r="M990" t="inlineStr">
        <is>
          <t>2001</t>
        </is>
      </c>
      <c r="N990" t="inlineStr">
        <is>
          <t>1st ed.</t>
        </is>
      </c>
      <c r="O990" t="inlineStr">
        <is>
          <t>eng</t>
        </is>
      </c>
      <c r="P990" t="inlineStr">
        <is>
          <t>dcu</t>
        </is>
      </c>
      <c r="R990" t="inlineStr">
        <is>
          <t xml:space="preserve">RC </t>
        </is>
      </c>
      <c r="S990" t="n">
        <v>11</v>
      </c>
      <c r="T990" t="n">
        <v>11</v>
      </c>
      <c r="U990" t="inlineStr">
        <is>
          <t>2007-03-12</t>
        </is>
      </c>
      <c r="V990" t="inlineStr">
        <is>
          <t>2007-03-12</t>
        </is>
      </c>
      <c r="W990" t="inlineStr">
        <is>
          <t>2003-04-22</t>
        </is>
      </c>
      <c r="X990" t="inlineStr">
        <is>
          <t>2003-04-22</t>
        </is>
      </c>
      <c r="Y990" t="n">
        <v>439</v>
      </c>
      <c r="Z990" t="n">
        <v>367</v>
      </c>
      <c r="AA990" t="n">
        <v>444</v>
      </c>
      <c r="AB990" t="n">
        <v>4</v>
      </c>
      <c r="AC990" t="n">
        <v>5</v>
      </c>
      <c r="AD990" t="n">
        <v>17</v>
      </c>
      <c r="AE990" t="n">
        <v>23</v>
      </c>
      <c r="AF990" t="n">
        <v>5</v>
      </c>
      <c r="AG990" t="n">
        <v>7</v>
      </c>
      <c r="AH990" t="n">
        <v>5</v>
      </c>
      <c r="AI990" t="n">
        <v>5</v>
      </c>
      <c r="AJ990" t="n">
        <v>8</v>
      </c>
      <c r="AK990" t="n">
        <v>11</v>
      </c>
      <c r="AL990" t="n">
        <v>3</v>
      </c>
      <c r="AM990" t="n">
        <v>4</v>
      </c>
      <c r="AN990" t="n">
        <v>0</v>
      </c>
      <c r="AO990" t="n">
        <v>0</v>
      </c>
      <c r="AP990" t="inlineStr">
        <is>
          <t>No</t>
        </is>
      </c>
      <c r="AQ990" t="inlineStr">
        <is>
          <t>No</t>
        </is>
      </c>
      <c r="AS990">
        <f>HYPERLINK("https://creighton-primo.hosted.exlibrisgroup.com/primo-explore/search?tab=default_tab&amp;search_scope=EVERYTHING&amp;vid=01CRU&amp;lang=en_US&amp;offset=0&amp;query=any,contains,991003978089702656","Catalog Record")</f>
        <v/>
      </c>
      <c r="AT990">
        <f>HYPERLINK("http://www.worldcat.org/oclc/45667667","WorldCat Record")</f>
        <v/>
      </c>
      <c r="AU990" t="inlineStr">
        <is>
          <t>349504222:eng</t>
        </is>
      </c>
      <c r="AV990" t="inlineStr">
        <is>
          <t>45667667</t>
        </is>
      </c>
      <c r="AW990" t="inlineStr">
        <is>
          <t>991003978089702656</t>
        </is>
      </c>
      <c r="AX990" t="inlineStr">
        <is>
          <t>991003978089702656</t>
        </is>
      </c>
      <c r="AY990" t="inlineStr">
        <is>
          <t>2262738280002656</t>
        </is>
      </c>
      <c r="AZ990" t="inlineStr">
        <is>
          <t>BOOK</t>
        </is>
      </c>
      <c r="BB990" t="inlineStr">
        <is>
          <t>9781557987747</t>
        </is>
      </c>
      <c r="BC990" t="inlineStr">
        <is>
          <t>32285004743349</t>
        </is>
      </c>
      <c r="BD990" t="inlineStr">
        <is>
          <t>893442031</t>
        </is>
      </c>
    </row>
    <row r="991">
      <c r="A991" t="inlineStr">
        <is>
          <t>No</t>
        </is>
      </c>
      <c r="B991" t="inlineStr">
        <is>
          <t>RC514 .S83</t>
        </is>
      </c>
      <c r="C991" t="inlineStr">
        <is>
          <t>0                      RC 0514000S  83</t>
        </is>
      </c>
      <c r="D991" t="inlineStr">
        <is>
          <t>Schizophrenia as a human process / with introd. and commentaries by Helen Swick Perry.</t>
        </is>
      </c>
      <c r="F991" t="inlineStr">
        <is>
          <t>No</t>
        </is>
      </c>
      <c r="G991" t="inlineStr">
        <is>
          <t>1</t>
        </is>
      </c>
      <c r="H991" t="inlineStr">
        <is>
          <t>No</t>
        </is>
      </c>
      <c r="I991" t="inlineStr">
        <is>
          <t>No</t>
        </is>
      </c>
      <c r="J991" t="inlineStr">
        <is>
          <t>0</t>
        </is>
      </c>
      <c r="K991" t="inlineStr">
        <is>
          <t>Sullivan, Harry Stack, 1892-1949.</t>
        </is>
      </c>
      <c r="L991" t="inlineStr">
        <is>
          <t>New York : W. W. Norton, [1962]</t>
        </is>
      </c>
      <c r="M991" t="inlineStr">
        <is>
          <t>1962</t>
        </is>
      </c>
      <c r="N991" t="inlineStr">
        <is>
          <t>[1st ed.]</t>
        </is>
      </c>
      <c r="O991" t="inlineStr">
        <is>
          <t>eng</t>
        </is>
      </c>
      <c r="P991" t="inlineStr">
        <is>
          <t>nyu</t>
        </is>
      </c>
      <c r="R991" t="inlineStr">
        <is>
          <t xml:space="preserve">RC </t>
        </is>
      </c>
      <c r="S991" t="n">
        <v>8</v>
      </c>
      <c r="T991" t="n">
        <v>8</v>
      </c>
      <c r="U991" t="inlineStr">
        <is>
          <t>2006-04-06</t>
        </is>
      </c>
      <c r="V991" t="inlineStr">
        <is>
          <t>2006-04-06</t>
        </is>
      </c>
      <c r="W991" t="inlineStr">
        <is>
          <t>1991-09-27</t>
        </is>
      </c>
      <c r="X991" t="inlineStr">
        <is>
          <t>1991-09-27</t>
        </is>
      </c>
      <c r="Y991" t="n">
        <v>643</v>
      </c>
      <c r="Z991" t="n">
        <v>571</v>
      </c>
      <c r="AA991" t="n">
        <v>730</v>
      </c>
      <c r="AB991" t="n">
        <v>3</v>
      </c>
      <c r="AC991" t="n">
        <v>3</v>
      </c>
      <c r="AD991" t="n">
        <v>25</v>
      </c>
      <c r="AE991" t="n">
        <v>30</v>
      </c>
      <c r="AF991" t="n">
        <v>9</v>
      </c>
      <c r="AG991" t="n">
        <v>11</v>
      </c>
      <c r="AH991" t="n">
        <v>5</v>
      </c>
      <c r="AI991" t="n">
        <v>7</v>
      </c>
      <c r="AJ991" t="n">
        <v>17</v>
      </c>
      <c r="AK991" t="n">
        <v>19</v>
      </c>
      <c r="AL991" t="n">
        <v>2</v>
      </c>
      <c r="AM991" t="n">
        <v>2</v>
      </c>
      <c r="AN991" t="n">
        <v>0</v>
      </c>
      <c r="AO991" t="n">
        <v>0</v>
      </c>
      <c r="AP991" t="inlineStr">
        <is>
          <t>No</t>
        </is>
      </c>
      <c r="AQ991" t="inlineStr">
        <is>
          <t>Yes</t>
        </is>
      </c>
      <c r="AR991">
        <f>HYPERLINK("http://catalog.hathitrust.org/Record/000003196","HathiTrust Record")</f>
        <v/>
      </c>
      <c r="AS991">
        <f>HYPERLINK("https://creighton-primo.hosted.exlibrisgroup.com/primo-explore/search?tab=default_tab&amp;search_scope=EVERYTHING&amp;vid=01CRU&amp;lang=en_US&amp;offset=0&amp;query=any,contains,991001289449702656","Catalog Record")</f>
        <v/>
      </c>
      <c r="AT991">
        <f>HYPERLINK("http://www.worldcat.org/oclc/217699","WorldCat Record")</f>
        <v/>
      </c>
      <c r="AU991" t="inlineStr">
        <is>
          <t>459474:eng</t>
        </is>
      </c>
      <c r="AV991" t="inlineStr">
        <is>
          <t>217699</t>
        </is>
      </c>
      <c r="AW991" t="inlineStr">
        <is>
          <t>991001289449702656</t>
        </is>
      </c>
      <c r="AX991" t="inlineStr">
        <is>
          <t>991001289449702656</t>
        </is>
      </c>
      <c r="AY991" t="inlineStr">
        <is>
          <t>2258804070002656</t>
        </is>
      </c>
      <c r="AZ991" t="inlineStr">
        <is>
          <t>BOOK</t>
        </is>
      </c>
      <c r="BC991" t="inlineStr">
        <is>
          <t>32285000760206</t>
        </is>
      </c>
      <c r="BD991" t="inlineStr">
        <is>
          <t>893702916</t>
        </is>
      </c>
    </row>
    <row r="992">
      <c r="A992" t="inlineStr">
        <is>
          <t>No</t>
        </is>
      </c>
      <c r="B992" t="inlineStr">
        <is>
          <t>RC514 .S93</t>
        </is>
      </c>
      <c r="C992" t="inlineStr">
        <is>
          <t>0                      RC 0514000S  93</t>
        </is>
      </c>
      <c r="D992" t="inlineStr">
        <is>
          <t>Schizophrenia : the sacred symbol of psychiatry / Thomas Szasz.</t>
        </is>
      </c>
      <c r="F992" t="inlineStr">
        <is>
          <t>No</t>
        </is>
      </c>
      <c r="G992" t="inlineStr">
        <is>
          <t>1</t>
        </is>
      </c>
      <c r="H992" t="inlineStr">
        <is>
          <t>Yes</t>
        </is>
      </c>
      <c r="I992" t="inlineStr">
        <is>
          <t>No</t>
        </is>
      </c>
      <c r="J992" t="inlineStr">
        <is>
          <t>0</t>
        </is>
      </c>
      <c r="K992" t="inlineStr">
        <is>
          <t>Szasz, Thomas, 1920-2012.</t>
        </is>
      </c>
      <c r="L992" t="inlineStr">
        <is>
          <t>New York : Basic Books, c1976.</t>
        </is>
      </c>
      <c r="M992" t="inlineStr">
        <is>
          <t>1976</t>
        </is>
      </c>
      <c r="O992" t="inlineStr">
        <is>
          <t>eng</t>
        </is>
      </c>
      <c r="P992" t="inlineStr">
        <is>
          <t>nyu</t>
        </is>
      </c>
      <c r="R992" t="inlineStr">
        <is>
          <t xml:space="preserve">RC </t>
        </is>
      </c>
      <c r="S992" t="n">
        <v>5</v>
      </c>
      <c r="T992" t="n">
        <v>8</v>
      </c>
      <c r="U992" t="inlineStr">
        <is>
          <t>2007-10-23</t>
        </is>
      </c>
      <c r="V992" t="inlineStr">
        <is>
          <t>2007-10-23</t>
        </is>
      </c>
      <c r="W992" t="inlineStr">
        <is>
          <t>1991-11-08</t>
        </is>
      </c>
      <c r="X992" t="inlineStr">
        <is>
          <t>1991-11-08</t>
        </is>
      </c>
      <c r="Y992" t="n">
        <v>701</v>
      </c>
      <c r="Z992" t="n">
        <v>629</v>
      </c>
      <c r="AA992" t="n">
        <v>728</v>
      </c>
      <c r="AB992" t="n">
        <v>3</v>
      </c>
      <c r="AC992" t="n">
        <v>3</v>
      </c>
      <c r="AD992" t="n">
        <v>24</v>
      </c>
      <c r="AE992" t="n">
        <v>24</v>
      </c>
      <c r="AF992" t="n">
        <v>8</v>
      </c>
      <c r="AG992" t="n">
        <v>8</v>
      </c>
      <c r="AH992" t="n">
        <v>5</v>
      </c>
      <c r="AI992" t="n">
        <v>5</v>
      </c>
      <c r="AJ992" t="n">
        <v>15</v>
      </c>
      <c r="AK992" t="n">
        <v>15</v>
      </c>
      <c r="AL992" t="n">
        <v>1</v>
      </c>
      <c r="AM992" t="n">
        <v>1</v>
      </c>
      <c r="AN992" t="n">
        <v>1</v>
      </c>
      <c r="AO992" t="n">
        <v>1</v>
      </c>
      <c r="AP992" t="inlineStr">
        <is>
          <t>No</t>
        </is>
      </c>
      <c r="AQ992" t="inlineStr">
        <is>
          <t>Yes</t>
        </is>
      </c>
      <c r="AR992">
        <f>HYPERLINK("http://catalog.hathitrust.org/Record/000726248","HathiTrust Record")</f>
        <v/>
      </c>
      <c r="AS992">
        <f>HYPERLINK("https://creighton-primo.hosted.exlibrisgroup.com/primo-explore/search?tab=default_tab&amp;search_scope=EVERYTHING&amp;vid=01CRU&amp;lang=en_US&amp;offset=0&amp;query=any,contains,991001786709702656","Catalog Record")</f>
        <v/>
      </c>
      <c r="AT992">
        <f>HYPERLINK("http://www.worldcat.org/oclc/2373464","WorldCat Record")</f>
        <v/>
      </c>
      <c r="AU992" t="inlineStr">
        <is>
          <t>487617:eng</t>
        </is>
      </c>
      <c r="AV992" t="inlineStr">
        <is>
          <t>2373464</t>
        </is>
      </c>
      <c r="AW992" t="inlineStr">
        <is>
          <t>991001786709702656</t>
        </is>
      </c>
      <c r="AX992" t="inlineStr">
        <is>
          <t>991001786709702656</t>
        </is>
      </c>
      <c r="AY992" t="inlineStr">
        <is>
          <t>2259541380002656</t>
        </is>
      </c>
      <c r="AZ992" t="inlineStr">
        <is>
          <t>BOOK</t>
        </is>
      </c>
      <c r="BB992" t="inlineStr">
        <is>
          <t>9780465072224</t>
        </is>
      </c>
      <c r="BC992" t="inlineStr">
        <is>
          <t>32285000796929</t>
        </is>
      </c>
      <c r="BD992" t="inlineStr">
        <is>
          <t>893690917</t>
        </is>
      </c>
    </row>
    <row r="993">
      <c r="A993" t="inlineStr">
        <is>
          <t>No</t>
        </is>
      </c>
      <c r="B993" t="inlineStr">
        <is>
          <t>RC514 .T5</t>
        </is>
      </c>
      <c r="C993" t="inlineStr">
        <is>
          <t>0                      RC 0514000T  5</t>
        </is>
      </c>
      <c r="D993" t="inlineStr">
        <is>
          <t>Annotated bibliography on childhood schizophrenia, 1955-1964 / [by] James R. Tilton, Marian K. DeMyer [and] Lois Hendrickson Loew.</t>
        </is>
      </c>
      <c r="F993" t="inlineStr">
        <is>
          <t>No</t>
        </is>
      </c>
      <c r="G993" t="inlineStr">
        <is>
          <t>1</t>
        </is>
      </c>
      <c r="H993" t="inlineStr">
        <is>
          <t>No</t>
        </is>
      </c>
      <c r="I993" t="inlineStr">
        <is>
          <t>No</t>
        </is>
      </c>
      <c r="J993" t="inlineStr">
        <is>
          <t>0</t>
        </is>
      </c>
      <c r="K993" t="inlineStr">
        <is>
          <t>Tilton, James R.</t>
        </is>
      </c>
      <c r="L993" t="inlineStr">
        <is>
          <t>New York : Grune &amp; Stratton, [1966]</t>
        </is>
      </c>
      <c r="M993" t="inlineStr">
        <is>
          <t>1966</t>
        </is>
      </c>
      <c r="O993" t="inlineStr">
        <is>
          <t>eng</t>
        </is>
      </c>
      <c r="P993" t="inlineStr">
        <is>
          <t>nyu</t>
        </is>
      </c>
      <c r="R993" t="inlineStr">
        <is>
          <t xml:space="preserve">RC </t>
        </is>
      </c>
      <c r="S993" t="n">
        <v>4</v>
      </c>
      <c r="T993" t="n">
        <v>4</v>
      </c>
      <c r="U993" t="inlineStr">
        <is>
          <t>2002-02-10</t>
        </is>
      </c>
      <c r="V993" t="inlineStr">
        <is>
          <t>2002-02-10</t>
        </is>
      </c>
      <c r="W993" t="inlineStr">
        <is>
          <t>1991-10-17</t>
        </is>
      </c>
      <c r="X993" t="inlineStr">
        <is>
          <t>1991-10-17</t>
        </is>
      </c>
      <c r="Y993" t="n">
        <v>183</v>
      </c>
      <c r="Z993" t="n">
        <v>151</v>
      </c>
      <c r="AA993" t="n">
        <v>156</v>
      </c>
      <c r="AB993" t="n">
        <v>2</v>
      </c>
      <c r="AC993" t="n">
        <v>2</v>
      </c>
      <c r="AD993" t="n">
        <v>8</v>
      </c>
      <c r="AE993" t="n">
        <v>8</v>
      </c>
      <c r="AF993" t="n">
        <v>2</v>
      </c>
      <c r="AG993" t="n">
        <v>2</v>
      </c>
      <c r="AH993" t="n">
        <v>0</v>
      </c>
      <c r="AI993" t="n">
        <v>0</v>
      </c>
      <c r="AJ993" t="n">
        <v>5</v>
      </c>
      <c r="AK993" t="n">
        <v>5</v>
      </c>
      <c r="AL993" t="n">
        <v>1</v>
      </c>
      <c r="AM993" t="n">
        <v>1</v>
      </c>
      <c r="AN993" t="n">
        <v>0</v>
      </c>
      <c r="AO993" t="n">
        <v>0</v>
      </c>
      <c r="AP993" t="inlineStr">
        <is>
          <t>No</t>
        </is>
      </c>
      <c r="AQ993" t="inlineStr">
        <is>
          <t>Yes</t>
        </is>
      </c>
      <c r="AR993">
        <f>HYPERLINK("http://catalog.hathitrust.org/Record/001173786","HathiTrust Record")</f>
        <v/>
      </c>
      <c r="AS993">
        <f>HYPERLINK("https://creighton-primo.hosted.exlibrisgroup.com/primo-explore/search?tab=default_tab&amp;search_scope=EVERYTHING&amp;vid=01CRU&amp;lang=en_US&amp;offset=0&amp;query=any,contains,991003991179702656","Catalog Record")</f>
        <v/>
      </c>
      <c r="AT993">
        <f>HYPERLINK("http://www.worldcat.org/oclc/2046882","WorldCat Record")</f>
        <v/>
      </c>
      <c r="AU993" t="inlineStr">
        <is>
          <t>3326563:eng</t>
        </is>
      </c>
      <c r="AV993" t="inlineStr">
        <is>
          <t>2046882</t>
        </is>
      </c>
      <c r="AW993" t="inlineStr">
        <is>
          <t>991003991179702656</t>
        </is>
      </c>
      <c r="AX993" t="inlineStr">
        <is>
          <t>991003991179702656</t>
        </is>
      </c>
      <c r="AY993" t="inlineStr">
        <is>
          <t>2267544190002656</t>
        </is>
      </c>
      <c r="AZ993" t="inlineStr">
        <is>
          <t>BOOK</t>
        </is>
      </c>
      <c r="BC993" t="inlineStr">
        <is>
          <t>32285000773886</t>
        </is>
      </c>
      <c r="BD993" t="inlineStr">
        <is>
          <t>893435742</t>
        </is>
      </c>
    </row>
    <row r="994">
      <c r="A994" t="inlineStr">
        <is>
          <t>No</t>
        </is>
      </c>
      <c r="B994" t="inlineStr">
        <is>
          <t>RC514 .T633 1983</t>
        </is>
      </c>
      <c r="C994" t="inlineStr">
        <is>
          <t>0                      RC 0514000T  633         1983</t>
        </is>
      </c>
      <c r="D994" t="inlineStr">
        <is>
          <t>Surviving schizophrenia : a family manual / E. Fuller Torrey.</t>
        </is>
      </c>
      <c r="F994" t="inlineStr">
        <is>
          <t>No</t>
        </is>
      </c>
      <c r="G994" t="inlineStr">
        <is>
          <t>1</t>
        </is>
      </c>
      <c r="H994" t="inlineStr">
        <is>
          <t>No</t>
        </is>
      </c>
      <c r="I994" t="inlineStr">
        <is>
          <t>Yes</t>
        </is>
      </c>
      <c r="J994" t="inlineStr">
        <is>
          <t>0</t>
        </is>
      </c>
      <c r="K994" t="inlineStr">
        <is>
          <t>Torrey, E. Fuller (Edwin Fuller), 1937-</t>
        </is>
      </c>
      <c r="L994" t="inlineStr">
        <is>
          <t>New York : Harper &amp; Row, c1983.</t>
        </is>
      </c>
      <c r="M994" t="inlineStr">
        <is>
          <t>1983</t>
        </is>
      </c>
      <c r="N994" t="inlineStr">
        <is>
          <t>1st ed.</t>
        </is>
      </c>
      <c r="O994" t="inlineStr">
        <is>
          <t>eng</t>
        </is>
      </c>
      <c r="P994" t="inlineStr">
        <is>
          <t>nyu</t>
        </is>
      </c>
      <c r="R994" t="inlineStr">
        <is>
          <t xml:space="preserve">RC </t>
        </is>
      </c>
      <c r="S994" t="n">
        <v>15</v>
      </c>
      <c r="T994" t="n">
        <v>15</v>
      </c>
      <c r="U994" t="inlineStr">
        <is>
          <t>2006-10-11</t>
        </is>
      </c>
      <c r="V994" t="inlineStr">
        <is>
          <t>2006-10-11</t>
        </is>
      </c>
      <c r="W994" t="inlineStr">
        <is>
          <t>1990-02-21</t>
        </is>
      </c>
      <c r="X994" t="inlineStr">
        <is>
          <t>1990-02-21</t>
        </is>
      </c>
      <c r="Y994" t="n">
        <v>774</v>
      </c>
      <c r="Z994" t="n">
        <v>703</v>
      </c>
      <c r="AA994" t="n">
        <v>1702</v>
      </c>
      <c r="AB994" t="n">
        <v>6</v>
      </c>
      <c r="AC994" t="n">
        <v>15</v>
      </c>
      <c r="AD994" t="n">
        <v>10</v>
      </c>
      <c r="AE994" t="n">
        <v>21</v>
      </c>
      <c r="AF994" t="n">
        <v>3</v>
      </c>
      <c r="AG994" t="n">
        <v>7</v>
      </c>
      <c r="AH994" t="n">
        <v>0</v>
      </c>
      <c r="AI994" t="n">
        <v>2</v>
      </c>
      <c r="AJ994" t="n">
        <v>6</v>
      </c>
      <c r="AK994" t="n">
        <v>10</v>
      </c>
      <c r="AL994" t="n">
        <v>1</v>
      </c>
      <c r="AM994" t="n">
        <v>4</v>
      </c>
      <c r="AN994" t="n">
        <v>0</v>
      </c>
      <c r="AO994" t="n">
        <v>0</v>
      </c>
      <c r="AP994" t="inlineStr">
        <is>
          <t>No</t>
        </is>
      </c>
      <c r="AQ994" t="inlineStr">
        <is>
          <t>Yes</t>
        </is>
      </c>
      <c r="AR994">
        <f>HYPERLINK("http://catalog.hathitrust.org/Record/000157005","HathiTrust Record")</f>
        <v/>
      </c>
      <c r="AS994">
        <f>HYPERLINK("https://creighton-primo.hosted.exlibrisgroup.com/primo-explore/search?tab=default_tab&amp;search_scope=EVERYTHING&amp;vid=01CRU&amp;lang=en_US&amp;offset=0&amp;query=any,contains,991000117979702656","Catalog Record")</f>
        <v/>
      </c>
      <c r="AT994">
        <f>HYPERLINK("http://www.worldcat.org/oclc/9045082","WorldCat Record")</f>
        <v/>
      </c>
      <c r="AU994" t="inlineStr">
        <is>
          <t>4926685093:eng</t>
        </is>
      </c>
      <c r="AV994" t="inlineStr">
        <is>
          <t>9045082</t>
        </is>
      </c>
      <c r="AW994" t="inlineStr">
        <is>
          <t>991000117979702656</t>
        </is>
      </c>
      <c r="AX994" t="inlineStr">
        <is>
          <t>991000117979702656</t>
        </is>
      </c>
      <c r="AY994" t="inlineStr">
        <is>
          <t>2268620090002656</t>
        </is>
      </c>
      <c r="AZ994" t="inlineStr">
        <is>
          <t>BOOK</t>
        </is>
      </c>
      <c r="BB994" t="inlineStr">
        <is>
          <t>9780060151126</t>
        </is>
      </c>
      <c r="BC994" t="inlineStr">
        <is>
          <t>32285005061014</t>
        </is>
      </c>
      <c r="BD994" t="inlineStr">
        <is>
          <t>893877811</t>
        </is>
      </c>
    </row>
    <row r="995">
      <c r="A995" t="inlineStr">
        <is>
          <t>No</t>
        </is>
      </c>
      <c r="B995" t="inlineStr">
        <is>
          <t>RC514 .W4</t>
        </is>
      </c>
      <c r="C995" t="inlineStr">
        <is>
          <t>0                      RC 0514000W  4</t>
        </is>
      </c>
      <c r="D995" t="inlineStr">
        <is>
          <t>Psychodiagnosis in schizophrenia / [by] Irving B. Weiner.</t>
        </is>
      </c>
      <c r="F995" t="inlineStr">
        <is>
          <t>No</t>
        </is>
      </c>
      <c r="G995" t="inlineStr">
        <is>
          <t>1</t>
        </is>
      </c>
      <c r="H995" t="inlineStr">
        <is>
          <t>No</t>
        </is>
      </c>
      <c r="I995" t="inlineStr">
        <is>
          <t>No</t>
        </is>
      </c>
      <c r="J995" t="inlineStr">
        <is>
          <t>0</t>
        </is>
      </c>
      <c r="K995" t="inlineStr">
        <is>
          <t>Weiner, Irving B.</t>
        </is>
      </c>
      <c r="L995" t="inlineStr">
        <is>
          <t>New York : Wiley, [1966]</t>
        </is>
      </c>
      <c r="M995" t="inlineStr">
        <is>
          <t>1966</t>
        </is>
      </c>
      <c r="O995" t="inlineStr">
        <is>
          <t>eng</t>
        </is>
      </c>
      <c r="P995" t="inlineStr">
        <is>
          <t>nyu</t>
        </is>
      </c>
      <c r="R995" t="inlineStr">
        <is>
          <t xml:space="preserve">RC </t>
        </is>
      </c>
      <c r="S995" t="n">
        <v>7</v>
      </c>
      <c r="T995" t="n">
        <v>7</v>
      </c>
      <c r="U995" t="inlineStr">
        <is>
          <t>2007-10-23</t>
        </is>
      </c>
      <c r="V995" t="inlineStr">
        <is>
          <t>2007-10-23</t>
        </is>
      </c>
      <c r="W995" t="inlineStr">
        <is>
          <t>1991-10-21</t>
        </is>
      </c>
      <c r="X995" t="inlineStr">
        <is>
          <t>1991-10-21</t>
        </is>
      </c>
      <c r="Y995" t="n">
        <v>502</v>
      </c>
      <c r="Z995" t="n">
        <v>406</v>
      </c>
      <c r="AA995" t="n">
        <v>452</v>
      </c>
      <c r="AB995" t="n">
        <v>4</v>
      </c>
      <c r="AC995" t="n">
        <v>4</v>
      </c>
      <c r="AD995" t="n">
        <v>25</v>
      </c>
      <c r="AE995" t="n">
        <v>25</v>
      </c>
      <c r="AF995" t="n">
        <v>10</v>
      </c>
      <c r="AG995" t="n">
        <v>10</v>
      </c>
      <c r="AH995" t="n">
        <v>6</v>
      </c>
      <c r="AI995" t="n">
        <v>6</v>
      </c>
      <c r="AJ995" t="n">
        <v>14</v>
      </c>
      <c r="AK995" t="n">
        <v>14</v>
      </c>
      <c r="AL995" t="n">
        <v>3</v>
      </c>
      <c r="AM995" t="n">
        <v>3</v>
      </c>
      <c r="AN995" t="n">
        <v>0</v>
      </c>
      <c r="AO995" t="n">
        <v>0</v>
      </c>
      <c r="AP995" t="inlineStr">
        <is>
          <t>No</t>
        </is>
      </c>
      <c r="AQ995" t="inlineStr">
        <is>
          <t>Yes</t>
        </is>
      </c>
      <c r="AR995">
        <f>HYPERLINK("http://catalog.hathitrust.org/Record/000262436","HathiTrust Record")</f>
        <v/>
      </c>
      <c r="AS995">
        <f>HYPERLINK("https://creighton-primo.hosted.exlibrisgroup.com/primo-explore/search?tab=default_tab&amp;search_scope=EVERYTHING&amp;vid=01CRU&amp;lang=en_US&amp;offset=0&amp;query=any,contains,991002429329702656","Catalog Record")</f>
        <v/>
      </c>
      <c r="AT995">
        <f>HYPERLINK("http://www.worldcat.org/oclc/346268","WorldCat Record")</f>
        <v/>
      </c>
      <c r="AU995" t="inlineStr">
        <is>
          <t>1495578:eng</t>
        </is>
      </c>
      <c r="AV995" t="inlineStr">
        <is>
          <t>346268</t>
        </is>
      </c>
      <c r="AW995" t="inlineStr">
        <is>
          <t>991002429329702656</t>
        </is>
      </c>
      <c r="AX995" t="inlineStr">
        <is>
          <t>991002429329702656</t>
        </is>
      </c>
      <c r="AY995" t="inlineStr">
        <is>
          <t>2272059980002656</t>
        </is>
      </c>
      <c r="AZ995" t="inlineStr">
        <is>
          <t>BOOK</t>
        </is>
      </c>
      <c r="BC995" t="inlineStr">
        <is>
          <t>32285000775386</t>
        </is>
      </c>
      <c r="BD995" t="inlineStr">
        <is>
          <t>893347485</t>
        </is>
      </c>
    </row>
    <row r="996">
      <c r="A996" t="inlineStr">
        <is>
          <t>No</t>
        </is>
      </c>
      <c r="B996" t="inlineStr">
        <is>
          <t>RC516 .B4</t>
        </is>
      </c>
      <c r="C996" t="inlineStr">
        <is>
          <t>0                      RC 0516000B  4</t>
        </is>
      </c>
      <c r="D996" t="inlineStr">
        <is>
          <t>Manic-depressive psychosis and allied conditions / by Leopold Bellak [and others]. Foreword by Winfred Overholser.</t>
        </is>
      </c>
      <c r="F996" t="inlineStr">
        <is>
          <t>No</t>
        </is>
      </c>
      <c r="G996" t="inlineStr">
        <is>
          <t>1</t>
        </is>
      </c>
      <c r="H996" t="inlineStr">
        <is>
          <t>No</t>
        </is>
      </c>
      <c r="I996" t="inlineStr">
        <is>
          <t>No</t>
        </is>
      </c>
      <c r="J996" t="inlineStr">
        <is>
          <t>0</t>
        </is>
      </c>
      <c r="K996" t="inlineStr">
        <is>
          <t>Bellak, Leopold, 1916-2000.</t>
        </is>
      </c>
      <c r="L996" t="inlineStr">
        <is>
          <t>New York : Grune &amp; Stratton, 1952.</t>
        </is>
      </c>
      <c r="M996" t="inlineStr">
        <is>
          <t>1952</t>
        </is>
      </c>
      <c r="O996" t="inlineStr">
        <is>
          <t>eng</t>
        </is>
      </c>
      <c r="P996" t="inlineStr">
        <is>
          <t>nyu</t>
        </is>
      </c>
      <c r="R996" t="inlineStr">
        <is>
          <t xml:space="preserve">RC </t>
        </is>
      </c>
      <c r="S996" t="n">
        <v>29</v>
      </c>
      <c r="T996" t="n">
        <v>29</v>
      </c>
      <c r="U996" t="inlineStr">
        <is>
          <t>2005-04-10</t>
        </is>
      </c>
      <c r="V996" t="inlineStr">
        <is>
          <t>2005-04-10</t>
        </is>
      </c>
      <c r="W996" t="inlineStr">
        <is>
          <t>1991-09-18</t>
        </is>
      </c>
      <c r="X996" t="inlineStr">
        <is>
          <t>1991-09-18</t>
        </is>
      </c>
      <c r="Y996" t="n">
        <v>248</v>
      </c>
      <c r="Z996" t="n">
        <v>210</v>
      </c>
      <c r="AA996" t="n">
        <v>222</v>
      </c>
      <c r="AB996" t="n">
        <v>3</v>
      </c>
      <c r="AC996" t="n">
        <v>3</v>
      </c>
      <c r="AD996" t="n">
        <v>9</v>
      </c>
      <c r="AE996" t="n">
        <v>10</v>
      </c>
      <c r="AF996" t="n">
        <v>1</v>
      </c>
      <c r="AG996" t="n">
        <v>2</v>
      </c>
      <c r="AH996" t="n">
        <v>3</v>
      </c>
      <c r="AI996" t="n">
        <v>3</v>
      </c>
      <c r="AJ996" t="n">
        <v>4</v>
      </c>
      <c r="AK996" t="n">
        <v>4</v>
      </c>
      <c r="AL996" t="n">
        <v>1</v>
      </c>
      <c r="AM996" t="n">
        <v>1</v>
      </c>
      <c r="AN996" t="n">
        <v>0</v>
      </c>
      <c r="AO996" t="n">
        <v>0</v>
      </c>
      <c r="AP996" t="inlineStr">
        <is>
          <t>Yes</t>
        </is>
      </c>
      <c r="AQ996" t="inlineStr">
        <is>
          <t>No</t>
        </is>
      </c>
      <c r="AR996">
        <f>HYPERLINK("http://catalog.hathitrust.org/Record/000621006","HathiTrust Record")</f>
        <v/>
      </c>
      <c r="AS996">
        <f>HYPERLINK("https://creighton-primo.hosted.exlibrisgroup.com/primo-explore/search?tab=default_tab&amp;search_scope=EVERYTHING&amp;vid=01CRU&amp;lang=en_US&amp;offset=0&amp;query=any,contains,991000948029702656","Catalog Record")</f>
        <v/>
      </c>
      <c r="AT996">
        <f>HYPERLINK("http://www.worldcat.org/oclc/167430","WorldCat Record")</f>
        <v/>
      </c>
      <c r="AU996" t="inlineStr">
        <is>
          <t>1287434:eng</t>
        </is>
      </c>
      <c r="AV996" t="inlineStr">
        <is>
          <t>167430</t>
        </is>
      </c>
      <c r="AW996" t="inlineStr">
        <is>
          <t>991000948029702656</t>
        </is>
      </c>
      <c r="AX996" t="inlineStr">
        <is>
          <t>991000948029702656</t>
        </is>
      </c>
      <c r="AY996" t="inlineStr">
        <is>
          <t>2272356890002656</t>
        </is>
      </c>
      <c r="AZ996" t="inlineStr">
        <is>
          <t>BOOK</t>
        </is>
      </c>
      <c r="BC996" t="inlineStr">
        <is>
          <t>32285000737873</t>
        </is>
      </c>
      <c r="BD996" t="inlineStr">
        <is>
          <t>893340032</t>
        </is>
      </c>
    </row>
    <row r="997">
      <c r="A997" t="inlineStr">
        <is>
          <t>No</t>
        </is>
      </c>
      <c r="B997" t="inlineStr">
        <is>
          <t>RC516 .K45</t>
        </is>
      </c>
      <c r="C997" t="inlineStr">
        <is>
          <t>0                      RC 0516000K  45</t>
        </is>
      </c>
      <c r="D997" t="inlineStr">
        <is>
          <t>The classification of depressive illnesses / by R. E. Kendell.</t>
        </is>
      </c>
      <c r="F997" t="inlineStr">
        <is>
          <t>No</t>
        </is>
      </c>
      <c r="G997" t="inlineStr">
        <is>
          <t>1</t>
        </is>
      </c>
      <c r="H997" t="inlineStr">
        <is>
          <t>No</t>
        </is>
      </c>
      <c r="I997" t="inlineStr">
        <is>
          <t>No</t>
        </is>
      </c>
      <c r="J997" t="inlineStr">
        <is>
          <t>0</t>
        </is>
      </c>
      <c r="K997" t="inlineStr">
        <is>
          <t>Kendell, R. E. (Robert Evan)</t>
        </is>
      </c>
      <c r="L997" t="inlineStr">
        <is>
          <t>London ; New York : Oxford, U.P., 1968.</t>
        </is>
      </c>
      <c r="M997" t="inlineStr">
        <is>
          <t>1968</t>
        </is>
      </c>
      <c r="O997" t="inlineStr">
        <is>
          <t>eng</t>
        </is>
      </c>
      <c r="P997" t="inlineStr">
        <is>
          <t>enk</t>
        </is>
      </c>
      <c r="Q997" t="inlineStr">
        <is>
          <t>Maudsley monographs ; no. 18</t>
        </is>
      </c>
      <c r="R997" t="inlineStr">
        <is>
          <t xml:space="preserve">RC </t>
        </is>
      </c>
      <c r="S997" t="n">
        <v>26</v>
      </c>
      <c r="T997" t="n">
        <v>26</v>
      </c>
      <c r="U997" t="inlineStr">
        <is>
          <t>2005-04-10</t>
        </is>
      </c>
      <c r="V997" t="inlineStr">
        <is>
          <t>2005-04-10</t>
        </is>
      </c>
      <c r="W997" t="inlineStr">
        <is>
          <t>1991-09-18</t>
        </is>
      </c>
      <c r="X997" t="inlineStr">
        <is>
          <t>1991-09-18</t>
        </is>
      </c>
      <c r="Y997" t="n">
        <v>242</v>
      </c>
      <c r="Z997" t="n">
        <v>164</v>
      </c>
      <c r="AA997" t="n">
        <v>166</v>
      </c>
      <c r="AB997" t="n">
        <v>2</v>
      </c>
      <c r="AC997" t="n">
        <v>2</v>
      </c>
      <c r="AD997" t="n">
        <v>3</v>
      </c>
      <c r="AE997" t="n">
        <v>3</v>
      </c>
      <c r="AF997" t="n">
        <v>0</v>
      </c>
      <c r="AG997" t="n">
        <v>0</v>
      </c>
      <c r="AH997" t="n">
        <v>0</v>
      </c>
      <c r="AI997" t="n">
        <v>0</v>
      </c>
      <c r="AJ997" t="n">
        <v>2</v>
      </c>
      <c r="AK997" t="n">
        <v>2</v>
      </c>
      <c r="AL997" t="n">
        <v>1</v>
      </c>
      <c r="AM997" t="n">
        <v>1</v>
      </c>
      <c r="AN997" t="n">
        <v>0</v>
      </c>
      <c r="AO997" t="n">
        <v>0</v>
      </c>
      <c r="AP997" t="inlineStr">
        <is>
          <t>No</t>
        </is>
      </c>
      <c r="AQ997" t="inlineStr">
        <is>
          <t>Yes</t>
        </is>
      </c>
      <c r="AR997">
        <f>HYPERLINK("http://catalog.hathitrust.org/Record/001565055","HathiTrust Record")</f>
        <v/>
      </c>
      <c r="AS997">
        <f>HYPERLINK("https://creighton-primo.hosted.exlibrisgroup.com/primo-explore/search?tab=default_tab&amp;search_scope=EVERYTHING&amp;vid=01CRU&amp;lang=en_US&amp;offset=0&amp;query=any,contains,991002818649702656","Catalog Record")</f>
        <v/>
      </c>
      <c r="AT997">
        <f>HYPERLINK("http://www.worldcat.org/oclc/464521","WorldCat Record")</f>
        <v/>
      </c>
      <c r="AU997" t="inlineStr">
        <is>
          <t>1516007:eng</t>
        </is>
      </c>
      <c r="AV997" t="inlineStr">
        <is>
          <t>464521</t>
        </is>
      </c>
      <c r="AW997" t="inlineStr">
        <is>
          <t>991002818649702656</t>
        </is>
      </c>
      <c r="AX997" t="inlineStr">
        <is>
          <t>991002818649702656</t>
        </is>
      </c>
      <c r="AY997" t="inlineStr">
        <is>
          <t>2260445830002656</t>
        </is>
      </c>
      <c r="AZ997" t="inlineStr">
        <is>
          <t>BOOK</t>
        </is>
      </c>
      <c r="BC997" t="inlineStr">
        <is>
          <t>32285000737899</t>
        </is>
      </c>
      <c r="BD997" t="inlineStr">
        <is>
          <t>893774056</t>
        </is>
      </c>
    </row>
    <row r="998">
      <c r="A998" t="inlineStr">
        <is>
          <t>No</t>
        </is>
      </c>
      <c r="B998" t="inlineStr">
        <is>
          <t>RC516 .K7</t>
        </is>
      </c>
      <c r="C998" t="inlineStr">
        <is>
          <t>0                      RC 0516000K  7</t>
        </is>
      </c>
      <c r="D998" t="inlineStr">
        <is>
          <t>Mental depressions and their treatment.</t>
        </is>
      </c>
      <c r="F998" t="inlineStr">
        <is>
          <t>No</t>
        </is>
      </c>
      <c r="G998" t="inlineStr">
        <is>
          <t>1</t>
        </is>
      </c>
      <c r="H998" t="inlineStr">
        <is>
          <t>No</t>
        </is>
      </c>
      <c r="I998" t="inlineStr">
        <is>
          <t>No</t>
        </is>
      </c>
      <c r="J998" t="inlineStr">
        <is>
          <t>0</t>
        </is>
      </c>
      <c r="K998" t="inlineStr">
        <is>
          <t>Kraines, Samuel Henry, 1906-</t>
        </is>
      </c>
      <c r="L998" t="inlineStr">
        <is>
          <t>New York : Macmillan, 1957.</t>
        </is>
      </c>
      <c r="M998" t="inlineStr">
        <is>
          <t>1957</t>
        </is>
      </c>
      <c r="O998" t="inlineStr">
        <is>
          <t>eng</t>
        </is>
      </c>
      <c r="P998" t="inlineStr">
        <is>
          <t>nyu</t>
        </is>
      </c>
      <c r="R998" t="inlineStr">
        <is>
          <t xml:space="preserve">RC </t>
        </is>
      </c>
      <c r="S998" t="n">
        <v>15</v>
      </c>
      <c r="T998" t="n">
        <v>15</v>
      </c>
      <c r="U998" t="inlineStr">
        <is>
          <t>2005-04-06</t>
        </is>
      </c>
      <c r="V998" t="inlineStr">
        <is>
          <t>2005-04-06</t>
        </is>
      </c>
      <c r="W998" t="inlineStr">
        <is>
          <t>1990-03-08</t>
        </is>
      </c>
      <c r="X998" t="inlineStr">
        <is>
          <t>1990-03-08</t>
        </is>
      </c>
      <c r="Y998" t="n">
        <v>160</v>
      </c>
      <c r="Z998" t="n">
        <v>125</v>
      </c>
      <c r="AA998" t="n">
        <v>127</v>
      </c>
      <c r="AB998" t="n">
        <v>1</v>
      </c>
      <c r="AC998" t="n">
        <v>1</v>
      </c>
      <c r="AD998" t="n">
        <v>5</v>
      </c>
      <c r="AE998" t="n">
        <v>5</v>
      </c>
      <c r="AF998" t="n">
        <v>2</v>
      </c>
      <c r="AG998" t="n">
        <v>2</v>
      </c>
      <c r="AH998" t="n">
        <v>1</v>
      </c>
      <c r="AI998" t="n">
        <v>1</v>
      </c>
      <c r="AJ998" t="n">
        <v>3</v>
      </c>
      <c r="AK998" t="n">
        <v>3</v>
      </c>
      <c r="AL998" t="n">
        <v>0</v>
      </c>
      <c r="AM998" t="n">
        <v>0</v>
      </c>
      <c r="AN998" t="n">
        <v>0</v>
      </c>
      <c r="AO998" t="n">
        <v>0</v>
      </c>
      <c r="AP998" t="inlineStr">
        <is>
          <t>No</t>
        </is>
      </c>
      <c r="AQ998" t="inlineStr">
        <is>
          <t>Yes</t>
        </is>
      </c>
      <c r="AR998">
        <f>HYPERLINK("http://catalog.hathitrust.org/Record/001565056","HathiTrust Record")</f>
        <v/>
      </c>
      <c r="AS998">
        <f>HYPERLINK("https://creighton-primo.hosted.exlibrisgroup.com/primo-explore/search?tab=default_tab&amp;search_scope=EVERYTHING&amp;vid=01CRU&amp;lang=en_US&amp;offset=0&amp;query=any,contains,991003166589702656","Catalog Record")</f>
        <v/>
      </c>
      <c r="AT998">
        <f>HYPERLINK("http://www.worldcat.org/oclc/704184","WorldCat Record")</f>
        <v/>
      </c>
      <c r="AU998" t="inlineStr">
        <is>
          <t>1619768:eng</t>
        </is>
      </c>
      <c r="AV998" t="inlineStr">
        <is>
          <t>704184</t>
        </is>
      </c>
      <c r="AW998" t="inlineStr">
        <is>
          <t>991003166589702656</t>
        </is>
      </c>
      <c r="AX998" t="inlineStr">
        <is>
          <t>991003166589702656</t>
        </is>
      </c>
      <c r="AY998" t="inlineStr">
        <is>
          <t>2257178430002656</t>
        </is>
      </c>
      <c r="AZ998" t="inlineStr">
        <is>
          <t>BOOK</t>
        </is>
      </c>
      <c r="BC998" t="inlineStr">
        <is>
          <t>32285000081140</t>
        </is>
      </c>
      <c r="BD998" t="inlineStr">
        <is>
          <t>893874492</t>
        </is>
      </c>
    </row>
    <row r="999">
      <c r="A999" t="inlineStr">
        <is>
          <t>No</t>
        </is>
      </c>
      <c r="B999" t="inlineStr">
        <is>
          <t>RC516 .M36</t>
        </is>
      </c>
      <c r="C999" t="inlineStr">
        <is>
          <t>0                      RC 0516000M  36</t>
        </is>
      </c>
      <c r="D999" t="inlineStr">
        <is>
          <t>Manic-depressive illness : history of a syndrome / edited by Edward A. Wolpert.</t>
        </is>
      </c>
      <c r="F999" t="inlineStr">
        <is>
          <t>No</t>
        </is>
      </c>
      <c r="G999" t="inlineStr">
        <is>
          <t>1</t>
        </is>
      </c>
      <c r="H999" t="inlineStr">
        <is>
          <t>No</t>
        </is>
      </c>
      <c r="I999" t="inlineStr">
        <is>
          <t>No</t>
        </is>
      </c>
      <c r="J999" t="inlineStr">
        <is>
          <t>0</t>
        </is>
      </c>
      <c r="L999" t="inlineStr">
        <is>
          <t>New York : International Universities Press, c1977.</t>
        </is>
      </c>
      <c r="M999" t="inlineStr">
        <is>
          <t>1977</t>
        </is>
      </c>
      <c r="O999" t="inlineStr">
        <is>
          <t>eng</t>
        </is>
      </c>
      <c r="P999" t="inlineStr">
        <is>
          <t>nyu</t>
        </is>
      </c>
      <c r="R999" t="inlineStr">
        <is>
          <t xml:space="preserve">RC </t>
        </is>
      </c>
      <c r="S999" t="n">
        <v>33</v>
      </c>
      <c r="T999" t="n">
        <v>33</v>
      </c>
      <c r="U999" t="inlineStr">
        <is>
          <t>2005-09-20</t>
        </is>
      </c>
      <c r="V999" t="inlineStr">
        <is>
          <t>2005-09-20</t>
        </is>
      </c>
      <c r="W999" t="inlineStr">
        <is>
          <t>1992-04-09</t>
        </is>
      </c>
      <c r="X999" t="inlineStr">
        <is>
          <t>1992-04-09</t>
        </is>
      </c>
      <c r="Y999" t="n">
        <v>288</v>
      </c>
      <c r="Z999" t="n">
        <v>241</v>
      </c>
      <c r="AA999" t="n">
        <v>241</v>
      </c>
      <c r="AB999" t="n">
        <v>1</v>
      </c>
      <c r="AC999" t="n">
        <v>1</v>
      </c>
      <c r="AD999" t="n">
        <v>11</v>
      </c>
      <c r="AE999" t="n">
        <v>11</v>
      </c>
      <c r="AF999" t="n">
        <v>4</v>
      </c>
      <c r="AG999" t="n">
        <v>4</v>
      </c>
      <c r="AH999" t="n">
        <v>3</v>
      </c>
      <c r="AI999" t="n">
        <v>3</v>
      </c>
      <c r="AJ999" t="n">
        <v>5</v>
      </c>
      <c r="AK999" t="n">
        <v>5</v>
      </c>
      <c r="AL999" t="n">
        <v>0</v>
      </c>
      <c r="AM999" t="n">
        <v>0</v>
      </c>
      <c r="AN999" t="n">
        <v>0</v>
      </c>
      <c r="AO999" t="n">
        <v>0</v>
      </c>
      <c r="AP999" t="inlineStr">
        <is>
          <t>No</t>
        </is>
      </c>
      <c r="AQ999" t="inlineStr">
        <is>
          <t>No</t>
        </is>
      </c>
      <c r="AS999">
        <f>HYPERLINK("https://creighton-primo.hosted.exlibrisgroup.com/primo-explore/search?tab=default_tab&amp;search_scope=EVERYTHING&amp;vid=01CRU&amp;lang=en_US&amp;offset=0&amp;query=any,contains,991004318959702656","Catalog Record")</f>
        <v/>
      </c>
      <c r="AT999">
        <f>HYPERLINK("http://www.worldcat.org/oclc/3016351","WorldCat Record")</f>
        <v/>
      </c>
      <c r="AU999" t="inlineStr">
        <is>
          <t>906899189:eng</t>
        </is>
      </c>
      <c r="AV999" t="inlineStr">
        <is>
          <t>3016351</t>
        </is>
      </c>
      <c r="AW999" t="inlineStr">
        <is>
          <t>991004318959702656</t>
        </is>
      </c>
      <c r="AX999" t="inlineStr">
        <is>
          <t>991004318959702656</t>
        </is>
      </c>
      <c r="AY999" t="inlineStr">
        <is>
          <t>2271423330002656</t>
        </is>
      </c>
      <c r="AZ999" t="inlineStr">
        <is>
          <t>BOOK</t>
        </is>
      </c>
      <c r="BB999" t="inlineStr">
        <is>
          <t>9780823630950</t>
        </is>
      </c>
      <c r="BC999" t="inlineStr">
        <is>
          <t>32285001056745</t>
        </is>
      </c>
      <c r="BD999" t="inlineStr">
        <is>
          <t>893599693</t>
        </is>
      </c>
    </row>
    <row r="1000">
      <c r="A1000" t="inlineStr">
        <is>
          <t>No</t>
        </is>
      </c>
      <c r="B1000" t="inlineStr">
        <is>
          <t>RC516 .M45</t>
        </is>
      </c>
      <c r="C1000" t="inlineStr">
        <is>
          <t>0                      RC 0516000M  45</t>
        </is>
      </c>
      <c r="D1000" t="inlineStr">
        <is>
          <t>Concepts of depression.</t>
        </is>
      </c>
      <c r="F1000" t="inlineStr">
        <is>
          <t>No</t>
        </is>
      </c>
      <c r="G1000" t="inlineStr">
        <is>
          <t>1</t>
        </is>
      </c>
      <c r="H1000" t="inlineStr">
        <is>
          <t>No</t>
        </is>
      </c>
      <c r="I1000" t="inlineStr">
        <is>
          <t>No</t>
        </is>
      </c>
      <c r="J1000" t="inlineStr">
        <is>
          <t>0</t>
        </is>
      </c>
      <c r="K1000" t="inlineStr">
        <is>
          <t>Mendels, Joseph.</t>
        </is>
      </c>
      <c r="L1000" t="inlineStr">
        <is>
          <t>New York : Wiley, [1970]</t>
        </is>
      </c>
      <c r="M1000" t="inlineStr">
        <is>
          <t>1970</t>
        </is>
      </c>
      <c r="O1000" t="inlineStr">
        <is>
          <t>eng</t>
        </is>
      </c>
      <c r="P1000" t="inlineStr">
        <is>
          <t>nyu</t>
        </is>
      </c>
      <c r="Q1000" t="inlineStr">
        <is>
          <t>Approaches to behavior pathology series</t>
        </is>
      </c>
      <c r="R1000" t="inlineStr">
        <is>
          <t xml:space="preserve">RC </t>
        </is>
      </c>
      <c r="S1000" t="n">
        <v>22</v>
      </c>
      <c r="T1000" t="n">
        <v>22</v>
      </c>
      <c r="U1000" t="inlineStr">
        <is>
          <t>2005-04-10</t>
        </is>
      </c>
      <c r="V1000" t="inlineStr">
        <is>
          <t>2005-04-10</t>
        </is>
      </c>
      <c r="W1000" t="inlineStr">
        <is>
          <t>1991-01-11</t>
        </is>
      </c>
      <c r="X1000" t="inlineStr">
        <is>
          <t>1991-01-11</t>
        </is>
      </c>
      <c r="Y1000" t="n">
        <v>578</v>
      </c>
      <c r="Z1000" t="n">
        <v>451</v>
      </c>
      <c r="AA1000" t="n">
        <v>458</v>
      </c>
      <c r="AB1000" t="n">
        <v>7</v>
      </c>
      <c r="AC1000" t="n">
        <v>7</v>
      </c>
      <c r="AD1000" t="n">
        <v>22</v>
      </c>
      <c r="AE1000" t="n">
        <v>22</v>
      </c>
      <c r="AF1000" t="n">
        <v>10</v>
      </c>
      <c r="AG1000" t="n">
        <v>10</v>
      </c>
      <c r="AH1000" t="n">
        <v>4</v>
      </c>
      <c r="AI1000" t="n">
        <v>4</v>
      </c>
      <c r="AJ1000" t="n">
        <v>6</v>
      </c>
      <c r="AK1000" t="n">
        <v>6</v>
      </c>
      <c r="AL1000" t="n">
        <v>5</v>
      </c>
      <c r="AM1000" t="n">
        <v>5</v>
      </c>
      <c r="AN1000" t="n">
        <v>0</v>
      </c>
      <c r="AO1000" t="n">
        <v>0</v>
      </c>
      <c r="AP1000" t="inlineStr">
        <is>
          <t>No</t>
        </is>
      </c>
      <c r="AQ1000" t="inlineStr">
        <is>
          <t>Yes</t>
        </is>
      </c>
      <c r="AR1000">
        <f>HYPERLINK("http://catalog.hathitrust.org/Record/001565058","HathiTrust Record")</f>
        <v/>
      </c>
      <c r="AS1000">
        <f>HYPERLINK("https://creighton-primo.hosted.exlibrisgroup.com/primo-explore/search?tab=default_tab&amp;search_scope=EVERYTHING&amp;vid=01CRU&amp;lang=en_US&amp;offset=0&amp;query=any,contains,991000546749702656","Catalog Record")</f>
        <v/>
      </c>
      <c r="AT1000">
        <f>HYPERLINK("http://www.worldcat.org/oclc/91565","WorldCat Record")</f>
        <v/>
      </c>
      <c r="AU1000" t="inlineStr">
        <is>
          <t>376075000:eng</t>
        </is>
      </c>
      <c r="AV1000" t="inlineStr">
        <is>
          <t>91565</t>
        </is>
      </c>
      <c r="AW1000" t="inlineStr">
        <is>
          <t>991000546749702656</t>
        </is>
      </c>
      <c r="AX1000" t="inlineStr">
        <is>
          <t>991000546749702656</t>
        </is>
      </c>
      <c r="AY1000" t="inlineStr">
        <is>
          <t>2264763150002656</t>
        </is>
      </c>
      <c r="AZ1000" t="inlineStr">
        <is>
          <t>BOOK</t>
        </is>
      </c>
      <c r="BB1000" t="inlineStr">
        <is>
          <t>9780471593508</t>
        </is>
      </c>
      <c r="BC1000" t="inlineStr">
        <is>
          <t>32285000427947</t>
        </is>
      </c>
      <c r="BD1000" t="inlineStr">
        <is>
          <t>893508885</t>
        </is>
      </c>
    </row>
    <row r="1001">
      <c r="A1001" t="inlineStr">
        <is>
          <t>No</t>
        </is>
      </c>
      <c r="B1001" t="inlineStr">
        <is>
          <t>RC520 .C64 1975</t>
        </is>
      </c>
      <c r="C1001" t="inlineStr">
        <is>
          <t>0                      RC 0520000C  64          1975</t>
        </is>
      </c>
      <c r="D1001" t="inlineStr">
        <is>
          <t>Artificial paranoia : a computer simulation of paranoid processes.</t>
        </is>
      </c>
      <c r="F1001" t="inlineStr">
        <is>
          <t>No</t>
        </is>
      </c>
      <c r="G1001" t="inlineStr">
        <is>
          <t>1</t>
        </is>
      </c>
      <c r="H1001" t="inlineStr">
        <is>
          <t>Yes</t>
        </is>
      </c>
      <c r="I1001" t="inlineStr">
        <is>
          <t>No</t>
        </is>
      </c>
      <c r="J1001" t="inlineStr">
        <is>
          <t>0</t>
        </is>
      </c>
      <c r="K1001" t="inlineStr">
        <is>
          <t>Colby, Kenneth Mark, 1920-</t>
        </is>
      </c>
      <c r="L1001" t="inlineStr">
        <is>
          <t>New York : Pergamon Press, [1975]</t>
        </is>
      </c>
      <c r="M1001" t="inlineStr">
        <is>
          <t>1975</t>
        </is>
      </c>
      <c r="O1001" t="inlineStr">
        <is>
          <t>eng</t>
        </is>
      </c>
      <c r="P1001" t="inlineStr">
        <is>
          <t>nyu</t>
        </is>
      </c>
      <c r="Q1001" t="inlineStr">
        <is>
          <t>Pergamon general psychology series ; 49</t>
        </is>
      </c>
      <c r="R1001" t="inlineStr">
        <is>
          <t xml:space="preserve">RC </t>
        </is>
      </c>
      <c r="S1001" t="n">
        <v>3</v>
      </c>
      <c r="T1001" t="n">
        <v>9</v>
      </c>
      <c r="U1001" t="inlineStr">
        <is>
          <t>1997-04-07</t>
        </is>
      </c>
      <c r="V1001" t="inlineStr">
        <is>
          <t>1997-04-07</t>
        </is>
      </c>
      <c r="W1001" t="inlineStr">
        <is>
          <t>1993-01-08</t>
        </is>
      </c>
      <c r="X1001" t="inlineStr">
        <is>
          <t>1993-01-08</t>
        </is>
      </c>
      <c r="Y1001" t="n">
        <v>255</v>
      </c>
      <c r="Z1001" t="n">
        <v>187</v>
      </c>
      <c r="AA1001" t="n">
        <v>232</v>
      </c>
      <c r="AB1001" t="n">
        <v>3</v>
      </c>
      <c r="AC1001" t="n">
        <v>3</v>
      </c>
      <c r="AD1001" t="n">
        <v>9</v>
      </c>
      <c r="AE1001" t="n">
        <v>11</v>
      </c>
      <c r="AF1001" t="n">
        <v>0</v>
      </c>
      <c r="AG1001" t="n">
        <v>1</v>
      </c>
      <c r="AH1001" t="n">
        <v>5</v>
      </c>
      <c r="AI1001" t="n">
        <v>6</v>
      </c>
      <c r="AJ1001" t="n">
        <v>6</v>
      </c>
      <c r="AK1001" t="n">
        <v>6</v>
      </c>
      <c r="AL1001" t="n">
        <v>1</v>
      </c>
      <c r="AM1001" t="n">
        <v>1</v>
      </c>
      <c r="AN1001" t="n">
        <v>0</v>
      </c>
      <c r="AO1001" t="n">
        <v>0</v>
      </c>
      <c r="AP1001" t="inlineStr">
        <is>
          <t>No</t>
        </is>
      </c>
      <c r="AQ1001" t="inlineStr">
        <is>
          <t>Yes</t>
        </is>
      </c>
      <c r="AR1001">
        <f>HYPERLINK("http://catalog.hathitrust.org/Record/000279649","HathiTrust Record")</f>
        <v/>
      </c>
      <c r="AS1001">
        <f>HYPERLINK("https://creighton-primo.hosted.exlibrisgroup.com/primo-explore/search?tab=default_tab&amp;search_scope=EVERYTHING&amp;vid=01CRU&amp;lang=en_US&amp;offset=0&amp;query=any,contains,991001786749702656","Catalog Record")</f>
        <v/>
      </c>
      <c r="AT1001">
        <f>HYPERLINK("http://www.worldcat.org/oclc/914826","WorldCat Record")</f>
        <v/>
      </c>
      <c r="AU1001" t="inlineStr">
        <is>
          <t>1855367:eng</t>
        </is>
      </c>
      <c r="AV1001" t="inlineStr">
        <is>
          <t>914826</t>
        </is>
      </c>
      <c r="AW1001" t="inlineStr">
        <is>
          <t>991001786749702656</t>
        </is>
      </c>
      <c r="AX1001" t="inlineStr">
        <is>
          <t>991001786749702656</t>
        </is>
      </c>
      <c r="AY1001" t="inlineStr">
        <is>
          <t>2262722040002656</t>
        </is>
      </c>
      <c r="AZ1001" t="inlineStr">
        <is>
          <t>BOOK</t>
        </is>
      </c>
      <c r="BB1001" t="inlineStr">
        <is>
          <t>9780080181622</t>
        </is>
      </c>
      <c r="BC1001" t="inlineStr">
        <is>
          <t>32285001473932</t>
        </is>
      </c>
      <c r="BD1001" t="inlineStr">
        <is>
          <t>893621623</t>
        </is>
      </c>
    </row>
    <row r="1002">
      <c r="A1002" t="inlineStr">
        <is>
          <t>No</t>
        </is>
      </c>
      <c r="B1002" t="inlineStr">
        <is>
          <t>RC520 .K36 2004</t>
        </is>
      </c>
      <c r="C1002" t="inlineStr">
        <is>
          <t>0                      RC 0520000K  36          2004</t>
        </is>
      </c>
      <c r="D1002" t="inlineStr">
        <is>
          <t>Understanding paranoia : a guide for professionals, families, and sufferers / Martin Kantor.</t>
        </is>
      </c>
      <c r="F1002" t="inlineStr">
        <is>
          <t>No</t>
        </is>
      </c>
      <c r="G1002" t="inlineStr">
        <is>
          <t>1</t>
        </is>
      </c>
      <c r="H1002" t="inlineStr">
        <is>
          <t>No</t>
        </is>
      </c>
      <c r="I1002" t="inlineStr">
        <is>
          <t>No</t>
        </is>
      </c>
      <c r="J1002" t="inlineStr">
        <is>
          <t>0</t>
        </is>
      </c>
      <c r="K1002" t="inlineStr">
        <is>
          <t>Kantor, Martin.</t>
        </is>
      </c>
      <c r="L1002" t="inlineStr">
        <is>
          <t>Westport, Conn. : Praeger, 2004.</t>
        </is>
      </c>
      <c r="M1002" t="inlineStr">
        <is>
          <t>2004</t>
        </is>
      </c>
      <c r="O1002" t="inlineStr">
        <is>
          <t>eng</t>
        </is>
      </c>
      <c r="P1002" t="inlineStr">
        <is>
          <t>ctu</t>
        </is>
      </c>
      <c r="R1002" t="inlineStr">
        <is>
          <t xml:space="preserve">RC </t>
        </is>
      </c>
      <c r="S1002" t="n">
        <v>1</v>
      </c>
      <c r="T1002" t="n">
        <v>1</v>
      </c>
      <c r="U1002" t="inlineStr">
        <is>
          <t>2004-11-03</t>
        </is>
      </c>
      <c r="V1002" t="inlineStr">
        <is>
          <t>2004-11-03</t>
        </is>
      </c>
      <c r="W1002" t="inlineStr">
        <is>
          <t>2004-11-03</t>
        </is>
      </c>
      <c r="X1002" t="inlineStr">
        <is>
          <t>2004-11-03</t>
        </is>
      </c>
      <c r="Y1002" t="n">
        <v>861</v>
      </c>
      <c r="Z1002" t="n">
        <v>800</v>
      </c>
      <c r="AA1002" t="n">
        <v>897</v>
      </c>
      <c r="AB1002" t="n">
        <v>6</v>
      </c>
      <c r="AC1002" t="n">
        <v>6</v>
      </c>
      <c r="AD1002" t="n">
        <v>22</v>
      </c>
      <c r="AE1002" t="n">
        <v>22</v>
      </c>
      <c r="AF1002" t="n">
        <v>9</v>
      </c>
      <c r="AG1002" t="n">
        <v>9</v>
      </c>
      <c r="AH1002" t="n">
        <v>6</v>
      </c>
      <c r="AI1002" t="n">
        <v>6</v>
      </c>
      <c r="AJ1002" t="n">
        <v>9</v>
      </c>
      <c r="AK1002" t="n">
        <v>9</v>
      </c>
      <c r="AL1002" t="n">
        <v>4</v>
      </c>
      <c r="AM1002" t="n">
        <v>4</v>
      </c>
      <c r="AN1002" t="n">
        <v>0</v>
      </c>
      <c r="AO1002" t="n">
        <v>0</v>
      </c>
      <c r="AP1002" t="inlineStr">
        <is>
          <t>No</t>
        </is>
      </c>
      <c r="AQ1002" t="inlineStr">
        <is>
          <t>No</t>
        </is>
      </c>
      <c r="AS1002">
        <f>HYPERLINK("https://creighton-primo.hosted.exlibrisgroup.com/primo-explore/search?tab=default_tab&amp;search_scope=EVERYTHING&amp;vid=01CRU&amp;lang=en_US&amp;offset=0&amp;query=any,contains,991004380839702656","Catalog Record")</f>
        <v/>
      </c>
      <c r="AT1002">
        <f>HYPERLINK("http://www.worldcat.org/oclc/54543366","WorldCat Record")</f>
        <v/>
      </c>
      <c r="AU1002" t="inlineStr">
        <is>
          <t>894209:eng</t>
        </is>
      </c>
      <c r="AV1002" t="inlineStr">
        <is>
          <t>54543366</t>
        </is>
      </c>
      <c r="AW1002" t="inlineStr">
        <is>
          <t>991004380839702656</t>
        </is>
      </c>
      <c r="AX1002" t="inlineStr">
        <is>
          <t>991004380839702656</t>
        </is>
      </c>
      <c r="AY1002" t="inlineStr">
        <is>
          <t>2259603160002656</t>
        </is>
      </c>
      <c r="AZ1002" t="inlineStr">
        <is>
          <t>BOOK</t>
        </is>
      </c>
      <c r="BB1002" t="inlineStr">
        <is>
          <t>9780275981525</t>
        </is>
      </c>
      <c r="BC1002" t="inlineStr">
        <is>
          <t>32285005008544</t>
        </is>
      </c>
      <c r="BD1002" t="inlineStr">
        <is>
          <t>893788633</t>
        </is>
      </c>
    </row>
    <row r="1003">
      <c r="A1003" t="inlineStr">
        <is>
          <t>No</t>
        </is>
      </c>
      <c r="B1003" t="inlineStr">
        <is>
          <t>RC520 .P78 1988</t>
        </is>
      </c>
      <c r="C1003" t="inlineStr">
        <is>
          <t>0                      RC 0520000P  78          1988</t>
        </is>
      </c>
      <c r="D1003" t="inlineStr">
        <is>
          <t>Psychosis and sexual identity : toward a post-analytic view of the Schreber case / edited by David B. Allison ... [et al.].</t>
        </is>
      </c>
      <c r="F1003" t="inlineStr">
        <is>
          <t>No</t>
        </is>
      </c>
      <c r="G1003" t="inlineStr">
        <is>
          <t>1</t>
        </is>
      </c>
      <c r="H1003" t="inlineStr">
        <is>
          <t>No</t>
        </is>
      </c>
      <c r="I1003" t="inlineStr">
        <is>
          <t>No</t>
        </is>
      </c>
      <c r="J1003" t="inlineStr">
        <is>
          <t>0</t>
        </is>
      </c>
      <c r="L1003" t="inlineStr">
        <is>
          <t>Albany, N.Y. : State University of New York Press, c1988.</t>
        </is>
      </c>
      <c r="M1003" t="inlineStr">
        <is>
          <t>1988</t>
        </is>
      </c>
      <c r="O1003" t="inlineStr">
        <is>
          <t>eng</t>
        </is>
      </c>
      <c r="P1003" t="inlineStr">
        <is>
          <t>nyu</t>
        </is>
      </c>
      <c r="Q1003" t="inlineStr">
        <is>
          <t>Intersections. Philosophy and critical theory</t>
        </is>
      </c>
      <c r="R1003" t="inlineStr">
        <is>
          <t xml:space="preserve">RC </t>
        </is>
      </c>
      <c r="S1003" t="n">
        <v>5</v>
      </c>
      <c r="T1003" t="n">
        <v>5</v>
      </c>
      <c r="U1003" t="inlineStr">
        <is>
          <t>1998-10-16</t>
        </is>
      </c>
      <c r="V1003" t="inlineStr">
        <is>
          <t>1998-10-16</t>
        </is>
      </c>
      <c r="W1003" t="inlineStr">
        <is>
          <t>1990-06-04</t>
        </is>
      </c>
      <c r="X1003" t="inlineStr">
        <is>
          <t>1990-06-04</t>
        </is>
      </c>
      <c r="Y1003" t="n">
        <v>204</v>
      </c>
      <c r="Z1003" t="n">
        <v>158</v>
      </c>
      <c r="AA1003" t="n">
        <v>158</v>
      </c>
      <c r="AB1003" t="n">
        <v>1</v>
      </c>
      <c r="AC1003" t="n">
        <v>1</v>
      </c>
      <c r="AD1003" t="n">
        <v>8</v>
      </c>
      <c r="AE1003" t="n">
        <v>8</v>
      </c>
      <c r="AF1003" t="n">
        <v>2</v>
      </c>
      <c r="AG1003" t="n">
        <v>2</v>
      </c>
      <c r="AH1003" t="n">
        <v>3</v>
      </c>
      <c r="AI1003" t="n">
        <v>3</v>
      </c>
      <c r="AJ1003" t="n">
        <v>6</v>
      </c>
      <c r="AK1003" t="n">
        <v>6</v>
      </c>
      <c r="AL1003" t="n">
        <v>0</v>
      </c>
      <c r="AM1003" t="n">
        <v>0</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HYPERLINK("https://creighton-primo.hosted.exlibrisgroup.com/primo-explore/search?tab=default_tab&amp;search_scope=EVERYTHING&amp;vid=01CRU&amp;lang=en_US&amp;offset=0&amp;query=any,contains,991001051259702656","Catalog Record")</f>
        <v/>
      </c>
      <c r="AT1003">
        <f>HYPERLINK("http://www.worldcat.org/oclc/15654670","WorldCat Record")</f>
        <v/>
      </c>
      <c r="AU1003" t="inlineStr">
        <is>
          <t>794177203:eng</t>
        </is>
      </c>
      <c r="AV1003" t="inlineStr">
        <is>
          <t>15654670</t>
        </is>
      </c>
      <c r="AW1003" t="inlineStr">
        <is>
          <t>991001051259702656</t>
        </is>
      </c>
      <c r="AX1003" t="inlineStr">
        <is>
          <t>991001051259702656</t>
        </is>
      </c>
      <c r="AY1003" t="inlineStr">
        <is>
          <t>2265494240002656</t>
        </is>
      </c>
      <c r="AZ1003" t="inlineStr">
        <is>
          <t>BOOK</t>
        </is>
      </c>
      <c r="BB1003" t="inlineStr">
        <is>
          <t>9780887066177</t>
        </is>
      </c>
      <c r="BC1003" t="inlineStr">
        <is>
          <t>32285000156686</t>
        </is>
      </c>
      <c r="BD1003" t="inlineStr">
        <is>
          <t>893884998</t>
        </is>
      </c>
    </row>
    <row r="1004">
      <c r="A1004" t="inlineStr">
        <is>
          <t>No</t>
        </is>
      </c>
      <c r="B1004" t="inlineStr">
        <is>
          <t>RC520 .R4</t>
        </is>
      </c>
      <c r="C1004" t="inlineStr">
        <is>
          <t>0                      RC 0520000R  4</t>
        </is>
      </c>
      <c r="D1004" t="inlineStr">
        <is>
          <t>Prognosis in paranoid psychoses.</t>
        </is>
      </c>
      <c r="F1004" t="inlineStr">
        <is>
          <t>No</t>
        </is>
      </c>
      <c r="G1004" t="inlineStr">
        <is>
          <t>1</t>
        </is>
      </c>
      <c r="H1004" t="inlineStr">
        <is>
          <t>No</t>
        </is>
      </c>
      <c r="I1004" t="inlineStr">
        <is>
          <t>No</t>
        </is>
      </c>
      <c r="J1004" t="inlineStr">
        <is>
          <t>0</t>
        </is>
      </c>
      <c r="K1004" t="inlineStr">
        <is>
          <t>Retterstøl, Nils, 1924-2008.</t>
        </is>
      </c>
      <c r="L1004" t="inlineStr">
        <is>
          <t>Oslo : Universitetsforlaget, 1970.</t>
        </is>
      </c>
      <c r="M1004" t="inlineStr">
        <is>
          <t>1970</t>
        </is>
      </c>
      <c r="O1004" t="inlineStr">
        <is>
          <t>eng</t>
        </is>
      </c>
      <c r="P1004" t="inlineStr">
        <is>
          <t xml:space="preserve">no </t>
        </is>
      </c>
      <c r="Q1004" t="inlineStr">
        <is>
          <t>Norwegian monographs on medical science</t>
        </is>
      </c>
      <c r="R1004" t="inlineStr">
        <is>
          <t xml:space="preserve">RC </t>
        </is>
      </c>
      <c r="S1004" t="n">
        <v>2</v>
      </c>
      <c r="T1004" t="n">
        <v>2</v>
      </c>
      <c r="U1004" t="inlineStr">
        <is>
          <t>1995-11-08</t>
        </is>
      </c>
      <c r="V1004" t="inlineStr">
        <is>
          <t>1995-11-08</t>
        </is>
      </c>
      <c r="W1004" t="inlineStr">
        <is>
          <t>1993-01-08</t>
        </is>
      </c>
      <c r="X1004" t="inlineStr">
        <is>
          <t>1993-01-08</t>
        </is>
      </c>
      <c r="Y1004" t="n">
        <v>108</v>
      </c>
      <c r="Z1004" t="n">
        <v>85</v>
      </c>
      <c r="AA1004" t="n">
        <v>85</v>
      </c>
      <c r="AB1004" t="n">
        <v>2</v>
      </c>
      <c r="AC1004" t="n">
        <v>2</v>
      </c>
      <c r="AD1004" t="n">
        <v>3</v>
      </c>
      <c r="AE1004" t="n">
        <v>3</v>
      </c>
      <c r="AF1004" t="n">
        <v>1</v>
      </c>
      <c r="AG1004" t="n">
        <v>1</v>
      </c>
      <c r="AH1004" t="n">
        <v>0</v>
      </c>
      <c r="AI1004" t="n">
        <v>0</v>
      </c>
      <c r="AJ1004" t="n">
        <v>2</v>
      </c>
      <c r="AK1004" t="n">
        <v>2</v>
      </c>
      <c r="AL1004" t="n">
        <v>1</v>
      </c>
      <c r="AM1004" t="n">
        <v>1</v>
      </c>
      <c r="AN1004" t="n">
        <v>0</v>
      </c>
      <c r="AO1004" t="n">
        <v>0</v>
      </c>
      <c r="AP1004" t="inlineStr">
        <is>
          <t>No</t>
        </is>
      </c>
      <c r="AQ1004" t="inlineStr">
        <is>
          <t>No</t>
        </is>
      </c>
      <c r="AS1004">
        <f>HYPERLINK("https://creighton-primo.hosted.exlibrisgroup.com/primo-explore/search?tab=default_tab&amp;search_scope=EVERYTHING&amp;vid=01CRU&amp;lang=en_US&amp;offset=0&amp;query=any,contains,991000607899702656","Catalog Record")</f>
        <v/>
      </c>
      <c r="AT1004">
        <f>HYPERLINK("http://www.worldcat.org/oclc/99657","WorldCat Record")</f>
        <v/>
      </c>
      <c r="AU1004" t="inlineStr">
        <is>
          <t>1333962:eng</t>
        </is>
      </c>
      <c r="AV1004" t="inlineStr">
        <is>
          <t>99657</t>
        </is>
      </c>
      <c r="AW1004" t="inlineStr">
        <is>
          <t>991000607899702656</t>
        </is>
      </c>
      <c r="AX1004" t="inlineStr">
        <is>
          <t>991000607899702656</t>
        </is>
      </c>
      <c r="AY1004" t="inlineStr">
        <is>
          <t>2268913290002656</t>
        </is>
      </c>
      <c r="AZ1004" t="inlineStr">
        <is>
          <t>BOOK</t>
        </is>
      </c>
      <c r="BC1004" t="inlineStr">
        <is>
          <t>32285001473924</t>
        </is>
      </c>
      <c r="BD1004" t="inlineStr">
        <is>
          <t>893784378</t>
        </is>
      </c>
    </row>
    <row r="1005">
      <c r="A1005" t="inlineStr">
        <is>
          <t>No</t>
        </is>
      </c>
      <c r="B1005" t="inlineStr">
        <is>
          <t>RC522 .H47 1983</t>
        </is>
      </c>
      <c r="C1005" t="inlineStr">
        <is>
          <t>0                      RC 0522000H  47          1983</t>
        </is>
      </c>
      <c r="D1005" t="inlineStr">
        <is>
          <t>Dementia : a practical guide to Alzheimer's disease and related illnesses / Leonard L. Heston, June A. White.</t>
        </is>
      </c>
      <c r="F1005" t="inlineStr">
        <is>
          <t>No</t>
        </is>
      </c>
      <c r="G1005" t="inlineStr">
        <is>
          <t>1</t>
        </is>
      </c>
      <c r="H1005" t="inlineStr">
        <is>
          <t>No</t>
        </is>
      </c>
      <c r="I1005" t="inlineStr">
        <is>
          <t>No</t>
        </is>
      </c>
      <c r="J1005" t="inlineStr">
        <is>
          <t>0</t>
        </is>
      </c>
      <c r="K1005" t="inlineStr">
        <is>
          <t>Heston, Leonard L.</t>
        </is>
      </c>
      <c r="L1005" t="inlineStr">
        <is>
          <t>New York : Freeman, c1983.</t>
        </is>
      </c>
      <c r="M1005" t="inlineStr">
        <is>
          <t>1983</t>
        </is>
      </c>
      <c r="O1005" t="inlineStr">
        <is>
          <t>eng</t>
        </is>
      </c>
      <c r="P1005" t="inlineStr">
        <is>
          <t>nyu</t>
        </is>
      </c>
      <c r="Q1005" t="inlineStr">
        <is>
          <t>A Series of books in psychology</t>
        </is>
      </c>
      <c r="R1005" t="inlineStr">
        <is>
          <t xml:space="preserve">RC </t>
        </is>
      </c>
      <c r="S1005" t="n">
        <v>34</v>
      </c>
      <c r="T1005" t="n">
        <v>34</v>
      </c>
      <c r="U1005" t="inlineStr">
        <is>
          <t>2009-04-19</t>
        </is>
      </c>
      <c r="V1005" t="inlineStr">
        <is>
          <t>2009-04-19</t>
        </is>
      </c>
      <c r="W1005" t="inlineStr">
        <is>
          <t>1991-12-06</t>
        </is>
      </c>
      <c r="X1005" t="inlineStr">
        <is>
          <t>1991-12-06</t>
        </is>
      </c>
      <c r="Y1005" t="n">
        <v>631</v>
      </c>
      <c r="Z1005" t="n">
        <v>546</v>
      </c>
      <c r="AA1005" t="n">
        <v>551</v>
      </c>
      <c r="AB1005" t="n">
        <v>4</v>
      </c>
      <c r="AC1005" t="n">
        <v>4</v>
      </c>
      <c r="AD1005" t="n">
        <v>14</v>
      </c>
      <c r="AE1005" t="n">
        <v>14</v>
      </c>
      <c r="AF1005" t="n">
        <v>6</v>
      </c>
      <c r="AG1005" t="n">
        <v>6</v>
      </c>
      <c r="AH1005" t="n">
        <v>2</v>
      </c>
      <c r="AI1005" t="n">
        <v>2</v>
      </c>
      <c r="AJ1005" t="n">
        <v>9</v>
      </c>
      <c r="AK1005" t="n">
        <v>9</v>
      </c>
      <c r="AL1005" t="n">
        <v>1</v>
      </c>
      <c r="AM1005" t="n">
        <v>1</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HYPERLINK("https://creighton-primo.hosted.exlibrisgroup.com/primo-explore/search?tab=default_tab&amp;search_scope=EVERYTHING&amp;vid=01CRU&amp;lang=en_US&amp;offset=0&amp;query=any,contains,991000219399702656","Catalog Record")</f>
        <v/>
      </c>
      <c r="AT1005">
        <f>HYPERLINK("http://www.worldcat.org/oclc/9575576","WorldCat Record")</f>
        <v/>
      </c>
      <c r="AU1005" t="inlineStr">
        <is>
          <t>902104918:eng</t>
        </is>
      </c>
      <c r="AV1005" t="inlineStr">
        <is>
          <t>9575576</t>
        </is>
      </c>
      <c r="AW1005" t="inlineStr">
        <is>
          <t>991000219399702656</t>
        </is>
      </c>
      <c r="AX1005" t="inlineStr">
        <is>
          <t>991000219399702656</t>
        </is>
      </c>
      <c r="AY1005" t="inlineStr">
        <is>
          <t>2267068570002656</t>
        </is>
      </c>
      <c r="AZ1005" t="inlineStr">
        <is>
          <t>BOOK</t>
        </is>
      </c>
      <c r="BB1005" t="inlineStr">
        <is>
          <t>9780716715689</t>
        </is>
      </c>
      <c r="BC1005" t="inlineStr">
        <is>
          <t>32285000885144</t>
        </is>
      </c>
      <c r="BD1005" t="inlineStr">
        <is>
          <t>893796519</t>
        </is>
      </c>
    </row>
    <row r="1006">
      <c r="A1006" t="inlineStr">
        <is>
          <t>No</t>
        </is>
      </c>
      <c r="B1006" t="inlineStr">
        <is>
          <t>RC522 .H47 1991</t>
        </is>
      </c>
      <c r="C1006" t="inlineStr">
        <is>
          <t>0                      RC 0522000H  47          1991</t>
        </is>
      </c>
      <c r="D1006" t="inlineStr">
        <is>
          <t>The vanishing mind : a practical guide to Alzheimer's disease and other dementias / Leonard L. Heston, June A. White.</t>
        </is>
      </c>
      <c r="F1006" t="inlineStr">
        <is>
          <t>No</t>
        </is>
      </c>
      <c r="G1006" t="inlineStr">
        <is>
          <t>1</t>
        </is>
      </c>
      <c r="H1006" t="inlineStr">
        <is>
          <t>No</t>
        </is>
      </c>
      <c r="I1006" t="inlineStr">
        <is>
          <t>No</t>
        </is>
      </c>
      <c r="J1006" t="inlineStr">
        <is>
          <t>0</t>
        </is>
      </c>
      <c r="K1006" t="inlineStr">
        <is>
          <t>Heston, Leonard L.</t>
        </is>
      </c>
      <c r="L1006" t="inlineStr">
        <is>
          <t>New York : Freeman, c1991.</t>
        </is>
      </c>
      <c r="M1006" t="inlineStr">
        <is>
          <t>1991</t>
        </is>
      </c>
      <c r="O1006" t="inlineStr">
        <is>
          <t>eng</t>
        </is>
      </c>
      <c r="P1006" t="inlineStr">
        <is>
          <t>nyu</t>
        </is>
      </c>
      <c r="R1006" t="inlineStr">
        <is>
          <t xml:space="preserve">RC </t>
        </is>
      </c>
      <c r="S1006" t="n">
        <v>51</v>
      </c>
      <c r="T1006" t="n">
        <v>51</v>
      </c>
      <c r="U1006" t="inlineStr">
        <is>
          <t>2010-11-30</t>
        </is>
      </c>
      <c r="V1006" t="inlineStr">
        <is>
          <t>2010-11-30</t>
        </is>
      </c>
      <c r="W1006" t="inlineStr">
        <is>
          <t>1991-06-19</t>
        </is>
      </c>
      <c r="X1006" t="inlineStr">
        <is>
          <t>1991-06-19</t>
        </is>
      </c>
      <c r="Y1006" t="n">
        <v>488</v>
      </c>
      <c r="Z1006" t="n">
        <v>397</v>
      </c>
      <c r="AA1006" t="n">
        <v>399</v>
      </c>
      <c r="AB1006" t="n">
        <v>2</v>
      </c>
      <c r="AC1006" t="n">
        <v>2</v>
      </c>
      <c r="AD1006" t="n">
        <v>9</v>
      </c>
      <c r="AE1006" t="n">
        <v>9</v>
      </c>
      <c r="AF1006" t="n">
        <v>3</v>
      </c>
      <c r="AG1006" t="n">
        <v>3</v>
      </c>
      <c r="AH1006" t="n">
        <v>2</v>
      </c>
      <c r="AI1006" t="n">
        <v>2</v>
      </c>
      <c r="AJ1006" t="n">
        <v>8</v>
      </c>
      <c r="AK1006" t="n">
        <v>8</v>
      </c>
      <c r="AL1006" t="n">
        <v>0</v>
      </c>
      <c r="AM1006" t="n">
        <v>0</v>
      </c>
      <c r="AN1006" t="n">
        <v>0</v>
      </c>
      <c r="AO1006" t="n">
        <v>0</v>
      </c>
      <c r="AP1006" t="inlineStr">
        <is>
          <t>No</t>
        </is>
      </c>
      <c r="AQ1006" t="inlineStr">
        <is>
          <t>No</t>
        </is>
      </c>
      <c r="AS1006">
        <f>HYPERLINK("https://creighton-primo.hosted.exlibrisgroup.com/primo-explore/search?tab=default_tab&amp;search_scope=EVERYTHING&amp;vid=01CRU&amp;lang=en_US&amp;offset=0&amp;query=any,contains,991001812519702656","Catalog Record")</f>
        <v/>
      </c>
      <c r="AT1006">
        <f>HYPERLINK("http://www.worldcat.org/oclc/22765113","WorldCat Record")</f>
        <v/>
      </c>
      <c r="AU1006" t="inlineStr">
        <is>
          <t>20796194:eng</t>
        </is>
      </c>
      <c r="AV1006" t="inlineStr">
        <is>
          <t>22765113</t>
        </is>
      </c>
      <c r="AW1006" t="inlineStr">
        <is>
          <t>991001812519702656</t>
        </is>
      </c>
      <c r="AX1006" t="inlineStr">
        <is>
          <t>991001812519702656</t>
        </is>
      </c>
      <c r="AY1006" t="inlineStr">
        <is>
          <t>2260367630002656</t>
        </is>
      </c>
      <c r="AZ1006" t="inlineStr">
        <is>
          <t>BOOK</t>
        </is>
      </c>
      <c r="BB1006" t="inlineStr">
        <is>
          <t>9780716721925</t>
        </is>
      </c>
      <c r="BC1006" t="inlineStr">
        <is>
          <t>32285000657071</t>
        </is>
      </c>
      <c r="BD1006" t="inlineStr">
        <is>
          <t>893420648</t>
        </is>
      </c>
    </row>
    <row r="1007">
      <c r="A1007" t="inlineStr">
        <is>
          <t>No</t>
        </is>
      </c>
      <c r="B1007" t="inlineStr">
        <is>
          <t>RC523 .C37 1994</t>
        </is>
      </c>
      <c r="C1007" t="inlineStr">
        <is>
          <t>0                      RC 0523000C  37          1994</t>
        </is>
      </c>
      <c r="D1007" t="inlineStr">
        <is>
          <t>Caring for the caregiver : a guide to living with Alzheimer's disease / sponsored by Parke-Davis.</t>
        </is>
      </c>
      <c r="F1007" t="inlineStr">
        <is>
          <t>No</t>
        </is>
      </c>
      <c r="G1007" t="inlineStr">
        <is>
          <t>1</t>
        </is>
      </c>
      <c r="H1007" t="inlineStr">
        <is>
          <t>Yes</t>
        </is>
      </c>
      <c r="I1007" t="inlineStr">
        <is>
          <t>No</t>
        </is>
      </c>
      <c r="J1007" t="inlineStr">
        <is>
          <t>0</t>
        </is>
      </c>
      <c r="L1007" t="inlineStr">
        <is>
          <t>Morris Plains, N.J. : Parke-Davis, c1994.</t>
        </is>
      </c>
      <c r="M1007" t="inlineStr">
        <is>
          <t>1994</t>
        </is>
      </c>
      <c r="O1007" t="inlineStr">
        <is>
          <t>eng</t>
        </is>
      </c>
      <c r="P1007" t="inlineStr">
        <is>
          <t>nju</t>
        </is>
      </c>
      <c r="R1007" t="inlineStr">
        <is>
          <t xml:space="preserve">RC </t>
        </is>
      </c>
      <c r="S1007" t="n">
        <v>18</v>
      </c>
      <c r="T1007" t="n">
        <v>18</v>
      </c>
      <c r="U1007" t="inlineStr">
        <is>
          <t>2009-08-10</t>
        </is>
      </c>
      <c r="V1007" t="inlineStr">
        <is>
          <t>2009-08-10</t>
        </is>
      </c>
      <c r="W1007" t="inlineStr">
        <is>
          <t>1995-11-30</t>
        </is>
      </c>
      <c r="X1007" t="inlineStr">
        <is>
          <t>1995-11-30</t>
        </is>
      </c>
      <c r="Y1007" t="n">
        <v>1718</v>
      </c>
      <c r="Z1007" t="n">
        <v>1716</v>
      </c>
      <c r="AA1007" t="n">
        <v>1950</v>
      </c>
      <c r="AB1007" t="n">
        <v>20</v>
      </c>
      <c r="AC1007" t="n">
        <v>23</v>
      </c>
      <c r="AD1007" t="n">
        <v>41</v>
      </c>
      <c r="AE1007" t="n">
        <v>42</v>
      </c>
      <c r="AF1007" t="n">
        <v>12</v>
      </c>
      <c r="AG1007" t="n">
        <v>12</v>
      </c>
      <c r="AH1007" t="n">
        <v>4</v>
      </c>
      <c r="AI1007" t="n">
        <v>4</v>
      </c>
      <c r="AJ1007" t="n">
        <v>16</v>
      </c>
      <c r="AK1007" t="n">
        <v>16</v>
      </c>
      <c r="AL1007" t="n">
        <v>10</v>
      </c>
      <c r="AM1007" t="n">
        <v>11</v>
      </c>
      <c r="AN1007" t="n">
        <v>5</v>
      </c>
      <c r="AO1007" t="n">
        <v>5</v>
      </c>
      <c r="AP1007" t="inlineStr">
        <is>
          <t>No</t>
        </is>
      </c>
      <c r="AQ1007" t="inlineStr">
        <is>
          <t>Yes</t>
        </is>
      </c>
      <c r="AR1007">
        <f>HYPERLINK("http://catalog.hathitrust.org/Record/003049561","HathiTrust Record")</f>
        <v/>
      </c>
      <c r="AS1007">
        <f>HYPERLINK("https://creighton-primo.hosted.exlibrisgroup.com/primo-explore/search?tab=default_tab&amp;search_scope=EVERYTHING&amp;vid=01CRU&amp;lang=en_US&amp;offset=0&amp;query=any,contains,991002575359702656","Catalog Record")</f>
        <v/>
      </c>
      <c r="AT1007">
        <f>HYPERLINK("http://www.worldcat.org/oclc/33489978","WorldCat Record")</f>
        <v/>
      </c>
      <c r="AU1007" t="inlineStr">
        <is>
          <t>1809255890:eng</t>
        </is>
      </c>
      <c r="AV1007" t="inlineStr">
        <is>
          <t>33489978</t>
        </is>
      </c>
      <c r="AW1007" t="inlineStr">
        <is>
          <t>991002575359702656</t>
        </is>
      </c>
      <c r="AX1007" t="inlineStr">
        <is>
          <t>991002575359702656</t>
        </is>
      </c>
      <c r="AY1007" t="inlineStr">
        <is>
          <t>2265572060002656</t>
        </is>
      </c>
      <c r="AZ1007" t="inlineStr">
        <is>
          <t>BOOK</t>
        </is>
      </c>
      <c r="BC1007" t="inlineStr">
        <is>
          <t>32285002107034</t>
        </is>
      </c>
      <c r="BD1007" t="inlineStr">
        <is>
          <t>893329262</t>
        </is>
      </c>
    </row>
    <row r="1008">
      <c r="A1008" t="inlineStr">
        <is>
          <t>No</t>
        </is>
      </c>
      <c r="B1008" t="inlineStr">
        <is>
          <t>RC523 .C66 1987</t>
        </is>
      </c>
      <c r="C1008" t="inlineStr">
        <is>
          <t>0                      RC 0523000C  66          1987</t>
        </is>
      </c>
      <c r="D1008" t="inlineStr">
        <is>
          <t>Confronting Alzheimer's disease / edited by Anne C. Kalicki.</t>
        </is>
      </c>
      <c r="F1008" t="inlineStr">
        <is>
          <t>No</t>
        </is>
      </c>
      <c r="G1008" t="inlineStr">
        <is>
          <t>1</t>
        </is>
      </c>
      <c r="H1008" t="inlineStr">
        <is>
          <t>No</t>
        </is>
      </c>
      <c r="I1008" t="inlineStr">
        <is>
          <t>No</t>
        </is>
      </c>
      <c r="J1008" t="inlineStr">
        <is>
          <t>0</t>
        </is>
      </c>
      <c r="L1008" t="inlineStr">
        <is>
          <t>Owings Mils, Md. : National Health Publishing, 1987.</t>
        </is>
      </c>
      <c r="M1008" t="inlineStr">
        <is>
          <t>1987</t>
        </is>
      </c>
      <c r="O1008" t="inlineStr">
        <is>
          <t>eng</t>
        </is>
      </c>
      <c r="P1008" t="inlineStr">
        <is>
          <t>mdu</t>
        </is>
      </c>
      <c r="R1008" t="inlineStr">
        <is>
          <t xml:space="preserve">RC </t>
        </is>
      </c>
      <c r="S1008" t="n">
        <v>44</v>
      </c>
      <c r="T1008" t="n">
        <v>44</v>
      </c>
      <c r="U1008" t="inlineStr">
        <is>
          <t>2008-11-30</t>
        </is>
      </c>
      <c r="V1008" t="inlineStr">
        <is>
          <t>2008-11-30</t>
        </is>
      </c>
      <c r="W1008" t="inlineStr">
        <is>
          <t>1990-02-15</t>
        </is>
      </c>
      <c r="X1008" t="inlineStr">
        <is>
          <t>1990-02-15</t>
        </is>
      </c>
      <c r="Y1008" t="n">
        <v>451</v>
      </c>
      <c r="Z1008" t="n">
        <v>401</v>
      </c>
      <c r="AA1008" t="n">
        <v>403</v>
      </c>
      <c r="AB1008" t="n">
        <v>4</v>
      </c>
      <c r="AC1008" t="n">
        <v>4</v>
      </c>
      <c r="AD1008" t="n">
        <v>13</v>
      </c>
      <c r="AE1008" t="n">
        <v>13</v>
      </c>
      <c r="AF1008" t="n">
        <v>8</v>
      </c>
      <c r="AG1008" t="n">
        <v>8</v>
      </c>
      <c r="AH1008" t="n">
        <v>2</v>
      </c>
      <c r="AI1008" t="n">
        <v>2</v>
      </c>
      <c r="AJ1008" t="n">
        <v>4</v>
      </c>
      <c r="AK1008" t="n">
        <v>4</v>
      </c>
      <c r="AL1008" t="n">
        <v>2</v>
      </c>
      <c r="AM1008" t="n">
        <v>2</v>
      </c>
      <c r="AN1008" t="n">
        <v>0</v>
      </c>
      <c r="AO1008" t="n">
        <v>0</v>
      </c>
      <c r="AP1008" t="inlineStr">
        <is>
          <t>No</t>
        </is>
      </c>
      <c r="AQ1008" t="inlineStr">
        <is>
          <t>Yes</t>
        </is>
      </c>
      <c r="AR1008">
        <f>HYPERLINK("http://catalog.hathitrust.org/Record/000916602","HathiTrust Record")</f>
        <v/>
      </c>
      <c r="AS1008">
        <f>HYPERLINK("https://creighton-primo.hosted.exlibrisgroup.com/primo-explore/search?tab=default_tab&amp;search_scope=EVERYTHING&amp;vid=01CRU&amp;lang=en_US&amp;offset=0&amp;query=any,contains,991001147479702656","Catalog Record")</f>
        <v/>
      </c>
      <c r="AT1008">
        <f>HYPERLINK("http://www.worldcat.org/oclc/16794488","WorldCat Record")</f>
        <v/>
      </c>
      <c r="AU1008" t="inlineStr">
        <is>
          <t>14010085:eng</t>
        </is>
      </c>
      <c r="AV1008" t="inlineStr">
        <is>
          <t>16794488</t>
        </is>
      </c>
      <c r="AW1008" t="inlineStr">
        <is>
          <t>991001147479702656</t>
        </is>
      </c>
      <c r="AX1008" t="inlineStr">
        <is>
          <t>991001147479702656</t>
        </is>
      </c>
      <c r="AY1008" t="inlineStr">
        <is>
          <t>2266583890002656</t>
        </is>
      </c>
      <c r="AZ1008" t="inlineStr">
        <is>
          <t>BOOK</t>
        </is>
      </c>
      <c r="BB1008" t="inlineStr">
        <is>
          <t>9780932500915</t>
        </is>
      </c>
      <c r="BC1008" t="inlineStr">
        <is>
          <t>32285000053586</t>
        </is>
      </c>
      <c r="BD1008" t="inlineStr">
        <is>
          <t>893608594</t>
        </is>
      </c>
    </row>
    <row r="1009">
      <c r="A1009" t="inlineStr">
        <is>
          <t>No</t>
        </is>
      </c>
      <c r="B1009" t="inlineStr">
        <is>
          <t>RC523 .F384 2008</t>
        </is>
      </c>
      <c r="C1009" t="inlineStr">
        <is>
          <t>0                      RC 0523000F  384         2008</t>
        </is>
      </c>
      <c r="D1009" t="inlineStr">
        <is>
          <t>The enduring self in people with Alzheimer's : getting to the heart of individualized care / by Sam Fazio.</t>
        </is>
      </c>
      <c r="F1009" t="inlineStr">
        <is>
          <t>No</t>
        </is>
      </c>
      <c r="G1009" t="inlineStr">
        <is>
          <t>1</t>
        </is>
      </c>
      <c r="H1009" t="inlineStr">
        <is>
          <t>No</t>
        </is>
      </c>
      <c r="I1009" t="inlineStr">
        <is>
          <t>No</t>
        </is>
      </c>
      <c r="J1009" t="inlineStr">
        <is>
          <t>0</t>
        </is>
      </c>
      <c r="K1009" t="inlineStr">
        <is>
          <t>Fazio, Sam.</t>
        </is>
      </c>
      <c r="L1009" t="inlineStr">
        <is>
          <t>Baltimore : Health Professions Press, c2008.</t>
        </is>
      </c>
      <c r="M1009" t="inlineStr">
        <is>
          <t>2008</t>
        </is>
      </c>
      <c r="O1009" t="inlineStr">
        <is>
          <t>eng</t>
        </is>
      </c>
      <c r="P1009" t="inlineStr">
        <is>
          <t>mdu</t>
        </is>
      </c>
      <c r="R1009" t="inlineStr">
        <is>
          <t xml:space="preserve">RC </t>
        </is>
      </c>
      <c r="S1009" t="n">
        <v>6</v>
      </c>
      <c r="T1009" t="n">
        <v>6</v>
      </c>
      <c r="U1009" t="inlineStr">
        <is>
          <t>2010-11-30</t>
        </is>
      </c>
      <c r="V1009" t="inlineStr">
        <is>
          <t>2010-11-30</t>
        </is>
      </c>
      <c r="W1009" t="inlineStr">
        <is>
          <t>2009-04-16</t>
        </is>
      </c>
      <c r="X1009" t="inlineStr">
        <is>
          <t>2009-04-16</t>
        </is>
      </c>
      <c r="Y1009" t="n">
        <v>271</v>
      </c>
      <c r="Z1009" t="n">
        <v>216</v>
      </c>
      <c r="AA1009" t="n">
        <v>229</v>
      </c>
      <c r="AB1009" t="n">
        <v>3</v>
      </c>
      <c r="AC1009" t="n">
        <v>4</v>
      </c>
      <c r="AD1009" t="n">
        <v>7</v>
      </c>
      <c r="AE1009" t="n">
        <v>8</v>
      </c>
      <c r="AF1009" t="n">
        <v>2</v>
      </c>
      <c r="AG1009" t="n">
        <v>3</v>
      </c>
      <c r="AH1009" t="n">
        <v>2</v>
      </c>
      <c r="AI1009" t="n">
        <v>3</v>
      </c>
      <c r="AJ1009" t="n">
        <v>3</v>
      </c>
      <c r="AK1009" t="n">
        <v>3</v>
      </c>
      <c r="AL1009" t="n">
        <v>1</v>
      </c>
      <c r="AM1009" t="n">
        <v>1</v>
      </c>
      <c r="AN1009" t="n">
        <v>0</v>
      </c>
      <c r="AO1009" t="n">
        <v>0</v>
      </c>
      <c r="AP1009" t="inlineStr">
        <is>
          <t>No</t>
        </is>
      </c>
      <c r="AQ1009" t="inlineStr">
        <is>
          <t>No</t>
        </is>
      </c>
      <c r="AS1009">
        <f>HYPERLINK("https://creighton-primo.hosted.exlibrisgroup.com/primo-explore/search?tab=default_tab&amp;search_scope=EVERYTHING&amp;vid=01CRU&amp;lang=en_US&amp;offset=0&amp;query=any,contains,991005306949702656","Catalog Record")</f>
        <v/>
      </c>
      <c r="AT1009">
        <f>HYPERLINK("http://www.worldcat.org/oclc/169452515","WorldCat Record")</f>
        <v/>
      </c>
      <c r="AU1009" t="inlineStr">
        <is>
          <t>836503571:eng</t>
        </is>
      </c>
      <c r="AV1009" t="inlineStr">
        <is>
          <t>169452515</t>
        </is>
      </c>
      <c r="AW1009" t="inlineStr">
        <is>
          <t>991005306949702656</t>
        </is>
      </c>
      <c r="AX1009" t="inlineStr">
        <is>
          <t>991005306949702656</t>
        </is>
      </c>
      <c r="AY1009" t="inlineStr">
        <is>
          <t>2258637680002656</t>
        </is>
      </c>
      <c r="AZ1009" t="inlineStr">
        <is>
          <t>BOOK</t>
        </is>
      </c>
      <c r="BB1009" t="inlineStr">
        <is>
          <t>9781932529388</t>
        </is>
      </c>
      <c r="BC1009" t="inlineStr">
        <is>
          <t>32285005516447</t>
        </is>
      </c>
      <c r="BD1009" t="inlineStr">
        <is>
          <t>893607190</t>
        </is>
      </c>
    </row>
    <row r="1010">
      <c r="A1010" t="inlineStr">
        <is>
          <t>No</t>
        </is>
      </c>
      <c r="B1010" t="inlineStr">
        <is>
          <t>RC523 .G45 1998</t>
        </is>
      </c>
      <c r="C1010" t="inlineStr">
        <is>
          <t>0                      RC 0523000G  45          1998</t>
        </is>
      </c>
      <c r="D1010" t="inlineStr">
        <is>
          <t>Genetic testing for Alzheimer disease : ethical and clinical issues / edited by Stephen G. Post &amp; Peter J. Whitehouse.</t>
        </is>
      </c>
      <c r="F1010" t="inlineStr">
        <is>
          <t>No</t>
        </is>
      </c>
      <c r="G1010" t="inlineStr">
        <is>
          <t>1</t>
        </is>
      </c>
      <c r="H1010" t="inlineStr">
        <is>
          <t>No</t>
        </is>
      </c>
      <c r="I1010" t="inlineStr">
        <is>
          <t>No</t>
        </is>
      </c>
      <c r="J1010" t="inlineStr">
        <is>
          <t>0</t>
        </is>
      </c>
      <c r="L1010" t="inlineStr">
        <is>
          <t>Baltimore : Johns Hopkins University Press, c1998.</t>
        </is>
      </c>
      <c r="M1010" t="inlineStr">
        <is>
          <t>1998</t>
        </is>
      </c>
      <c r="O1010" t="inlineStr">
        <is>
          <t>eng</t>
        </is>
      </c>
      <c r="P1010" t="inlineStr">
        <is>
          <t>mdu</t>
        </is>
      </c>
      <c r="R1010" t="inlineStr">
        <is>
          <t xml:space="preserve">RC </t>
        </is>
      </c>
      <c r="S1010" t="n">
        <v>9</v>
      </c>
      <c r="T1010" t="n">
        <v>9</v>
      </c>
      <c r="U1010" t="inlineStr">
        <is>
          <t>2006-04-03</t>
        </is>
      </c>
      <c r="V1010" t="inlineStr">
        <is>
          <t>2006-04-03</t>
        </is>
      </c>
      <c r="W1010" t="inlineStr">
        <is>
          <t>2000-07-24</t>
        </is>
      </c>
      <c r="X1010" t="inlineStr">
        <is>
          <t>2000-07-24</t>
        </is>
      </c>
      <c r="Y1010" t="n">
        <v>251</v>
      </c>
      <c r="Z1010" t="n">
        <v>215</v>
      </c>
      <c r="AA1010" t="n">
        <v>218</v>
      </c>
      <c r="AB1010" t="n">
        <v>1</v>
      </c>
      <c r="AC1010" t="n">
        <v>1</v>
      </c>
      <c r="AD1010" t="n">
        <v>15</v>
      </c>
      <c r="AE1010" t="n">
        <v>15</v>
      </c>
      <c r="AF1010" t="n">
        <v>4</v>
      </c>
      <c r="AG1010" t="n">
        <v>4</v>
      </c>
      <c r="AH1010" t="n">
        <v>6</v>
      </c>
      <c r="AI1010" t="n">
        <v>6</v>
      </c>
      <c r="AJ1010" t="n">
        <v>10</v>
      </c>
      <c r="AK1010" t="n">
        <v>10</v>
      </c>
      <c r="AL1010" t="n">
        <v>0</v>
      </c>
      <c r="AM1010" t="n">
        <v>0</v>
      </c>
      <c r="AN1010" t="n">
        <v>0</v>
      </c>
      <c r="AO1010" t="n">
        <v>0</v>
      </c>
      <c r="AP1010" t="inlineStr">
        <is>
          <t>No</t>
        </is>
      </c>
      <c r="AQ1010" t="inlineStr">
        <is>
          <t>Yes</t>
        </is>
      </c>
      <c r="AR1010">
        <f>HYPERLINK("http://catalog.hathitrust.org/Record/003997994","HathiTrust Record")</f>
        <v/>
      </c>
      <c r="AS1010">
        <f>HYPERLINK("https://creighton-primo.hosted.exlibrisgroup.com/primo-explore/search?tab=default_tab&amp;search_scope=EVERYTHING&amp;vid=01CRU&amp;lang=en_US&amp;offset=0&amp;query=any,contains,991003214569702656","Catalog Record")</f>
        <v/>
      </c>
      <c r="AT1010">
        <f>HYPERLINK("http://www.worldcat.org/oclc/37910801","WorldCat Record")</f>
        <v/>
      </c>
      <c r="AU1010" t="inlineStr">
        <is>
          <t>837020593:eng</t>
        </is>
      </c>
      <c r="AV1010" t="inlineStr">
        <is>
          <t>37910801</t>
        </is>
      </c>
      <c r="AW1010" t="inlineStr">
        <is>
          <t>991003214569702656</t>
        </is>
      </c>
      <c r="AX1010" t="inlineStr">
        <is>
          <t>991003214569702656</t>
        </is>
      </c>
      <c r="AY1010" t="inlineStr">
        <is>
          <t>2269159190002656</t>
        </is>
      </c>
      <c r="AZ1010" t="inlineStr">
        <is>
          <t>BOOK</t>
        </is>
      </c>
      <c r="BB1010" t="inlineStr">
        <is>
          <t>9780801858406</t>
        </is>
      </c>
      <c r="BC1010" t="inlineStr">
        <is>
          <t>32285003741773</t>
        </is>
      </c>
      <c r="BD1010" t="inlineStr">
        <is>
          <t>893258175</t>
        </is>
      </c>
    </row>
    <row r="1011">
      <c r="A1011" t="inlineStr">
        <is>
          <t>No</t>
        </is>
      </c>
      <c r="B1011" t="inlineStr">
        <is>
          <t>RC523 .G476 2010</t>
        </is>
      </c>
      <c r="C1011" t="inlineStr">
        <is>
          <t>0                      RC 0523000G  476         2010</t>
        </is>
      </c>
      <c r="D1011" t="inlineStr">
        <is>
          <t>Keeper : one house, three generations, and a journey into Alzheimer's / Andrea Gillies.</t>
        </is>
      </c>
      <c r="F1011" t="inlineStr">
        <is>
          <t>No</t>
        </is>
      </c>
      <c r="G1011" t="inlineStr">
        <is>
          <t>1</t>
        </is>
      </c>
      <c r="H1011" t="inlineStr">
        <is>
          <t>No</t>
        </is>
      </c>
      <c r="I1011" t="inlineStr">
        <is>
          <t>No</t>
        </is>
      </c>
      <c r="J1011" t="inlineStr">
        <is>
          <t>0</t>
        </is>
      </c>
      <c r="K1011" t="inlineStr">
        <is>
          <t>Gillies, Andrea.</t>
        </is>
      </c>
      <c r="L1011" t="inlineStr">
        <is>
          <t>New York : Broadway Books, [2010], c2009.</t>
        </is>
      </c>
      <c r="M1011" t="inlineStr">
        <is>
          <t>2009</t>
        </is>
      </c>
      <c r="N1011" t="inlineStr">
        <is>
          <t>1st U.S. ed.</t>
        </is>
      </c>
      <c r="O1011" t="inlineStr">
        <is>
          <t>eng</t>
        </is>
      </c>
      <c r="P1011" t="inlineStr">
        <is>
          <t>nyu</t>
        </is>
      </c>
      <c r="R1011" t="inlineStr">
        <is>
          <t xml:space="preserve">RC </t>
        </is>
      </c>
      <c r="S1011" t="n">
        <v>2</v>
      </c>
      <c r="T1011" t="n">
        <v>2</v>
      </c>
      <c r="U1011" t="inlineStr">
        <is>
          <t>2010-10-12</t>
        </is>
      </c>
      <c r="V1011" t="inlineStr">
        <is>
          <t>2010-10-12</t>
        </is>
      </c>
      <c r="W1011" t="inlineStr">
        <is>
          <t>2010-09-20</t>
        </is>
      </c>
      <c r="X1011" t="inlineStr">
        <is>
          <t>2010-09-20</t>
        </is>
      </c>
      <c r="Y1011" t="n">
        <v>557</v>
      </c>
      <c r="Z1011" t="n">
        <v>542</v>
      </c>
      <c r="AA1011" t="n">
        <v>663</v>
      </c>
      <c r="AB1011" t="n">
        <v>6</v>
      </c>
      <c r="AC1011" t="n">
        <v>6</v>
      </c>
      <c r="AD1011" t="n">
        <v>3</v>
      </c>
      <c r="AE1011" t="n">
        <v>3</v>
      </c>
      <c r="AF1011" t="n">
        <v>2</v>
      </c>
      <c r="AG1011" t="n">
        <v>2</v>
      </c>
      <c r="AH1011" t="n">
        <v>1</v>
      </c>
      <c r="AI1011" t="n">
        <v>1</v>
      </c>
      <c r="AJ1011" t="n">
        <v>0</v>
      </c>
      <c r="AK1011" t="n">
        <v>0</v>
      </c>
      <c r="AL1011" t="n">
        <v>0</v>
      </c>
      <c r="AM1011" t="n">
        <v>0</v>
      </c>
      <c r="AN1011" t="n">
        <v>0</v>
      </c>
      <c r="AO1011" t="n">
        <v>0</v>
      </c>
      <c r="AP1011" t="inlineStr">
        <is>
          <t>No</t>
        </is>
      </c>
      <c r="AQ1011" t="inlineStr">
        <is>
          <t>No</t>
        </is>
      </c>
      <c r="AS1011">
        <f>HYPERLINK("https://creighton-primo.hosted.exlibrisgroup.com/primo-explore/search?tab=default_tab&amp;search_scope=EVERYTHING&amp;vid=01CRU&amp;lang=en_US&amp;offset=0&amp;query=any,contains,991000081689702656","Catalog Record")</f>
        <v/>
      </c>
      <c r="AT1011">
        <f>HYPERLINK("http://www.worldcat.org/oclc/505417104","WorldCat Record")</f>
        <v/>
      </c>
      <c r="AU1011" t="inlineStr">
        <is>
          <t>865183905:eng</t>
        </is>
      </c>
      <c r="AV1011" t="inlineStr">
        <is>
          <t>505417104</t>
        </is>
      </c>
      <c r="AW1011" t="inlineStr">
        <is>
          <t>991000081689702656</t>
        </is>
      </c>
      <c r="AX1011" t="inlineStr">
        <is>
          <t>991000081689702656</t>
        </is>
      </c>
      <c r="AY1011" t="inlineStr">
        <is>
          <t>2258128260002656</t>
        </is>
      </c>
      <c r="AZ1011" t="inlineStr">
        <is>
          <t>BOOK</t>
        </is>
      </c>
      <c r="BB1011" t="inlineStr">
        <is>
          <t>9780307719119</t>
        </is>
      </c>
      <c r="BC1011" t="inlineStr">
        <is>
          <t>32285005595128</t>
        </is>
      </c>
      <c r="BD1011" t="inlineStr">
        <is>
          <t>893237055</t>
        </is>
      </c>
    </row>
    <row r="1012">
      <c r="A1012" t="inlineStr">
        <is>
          <t>No</t>
        </is>
      </c>
      <c r="B1012" t="inlineStr">
        <is>
          <t>RC523 .G83 1986</t>
        </is>
      </c>
      <c r="C1012" t="inlineStr">
        <is>
          <t>0                      RC 0523000G  83          1986</t>
        </is>
      </c>
      <c r="D1012" t="inlineStr">
        <is>
          <t>Oldtimers and Alzheimer's : the descriptive organization of senility / by Jaber F. Gubrium.</t>
        </is>
      </c>
      <c r="F1012" t="inlineStr">
        <is>
          <t>No</t>
        </is>
      </c>
      <c r="G1012" t="inlineStr">
        <is>
          <t>1</t>
        </is>
      </c>
      <c r="H1012" t="inlineStr">
        <is>
          <t>No</t>
        </is>
      </c>
      <c r="I1012" t="inlineStr">
        <is>
          <t>No</t>
        </is>
      </c>
      <c r="J1012" t="inlineStr">
        <is>
          <t>0</t>
        </is>
      </c>
      <c r="K1012" t="inlineStr">
        <is>
          <t>Gubrium, Jaber F.</t>
        </is>
      </c>
      <c r="L1012" t="inlineStr">
        <is>
          <t>Greenwich, Conn. : JAI Press, c1986.</t>
        </is>
      </c>
      <c r="M1012" t="inlineStr">
        <is>
          <t>1986</t>
        </is>
      </c>
      <c r="O1012" t="inlineStr">
        <is>
          <t>eng</t>
        </is>
      </c>
      <c r="P1012" t="inlineStr">
        <is>
          <t>ctu</t>
        </is>
      </c>
      <c r="Q1012" t="inlineStr">
        <is>
          <t>Contemporary ethnographic studies</t>
        </is>
      </c>
      <c r="R1012" t="inlineStr">
        <is>
          <t xml:space="preserve">RC </t>
        </is>
      </c>
      <c r="S1012" t="n">
        <v>34</v>
      </c>
      <c r="T1012" t="n">
        <v>34</v>
      </c>
      <c r="U1012" t="inlineStr">
        <is>
          <t>2007-02-24</t>
        </is>
      </c>
      <c r="V1012" t="inlineStr">
        <is>
          <t>2007-02-24</t>
        </is>
      </c>
      <c r="W1012" t="inlineStr">
        <is>
          <t>1990-02-15</t>
        </is>
      </c>
      <c r="X1012" t="inlineStr">
        <is>
          <t>1990-02-15</t>
        </is>
      </c>
      <c r="Y1012" t="n">
        <v>191</v>
      </c>
      <c r="Z1012" t="n">
        <v>148</v>
      </c>
      <c r="AA1012" t="n">
        <v>149</v>
      </c>
      <c r="AB1012" t="n">
        <v>1</v>
      </c>
      <c r="AC1012" t="n">
        <v>1</v>
      </c>
      <c r="AD1012" t="n">
        <v>7</v>
      </c>
      <c r="AE1012" t="n">
        <v>7</v>
      </c>
      <c r="AF1012" t="n">
        <v>2</v>
      </c>
      <c r="AG1012" t="n">
        <v>2</v>
      </c>
      <c r="AH1012" t="n">
        <v>3</v>
      </c>
      <c r="AI1012" t="n">
        <v>3</v>
      </c>
      <c r="AJ1012" t="n">
        <v>5</v>
      </c>
      <c r="AK1012" t="n">
        <v>5</v>
      </c>
      <c r="AL1012" t="n">
        <v>0</v>
      </c>
      <c r="AM1012" t="n">
        <v>0</v>
      </c>
      <c r="AN1012" t="n">
        <v>0</v>
      </c>
      <c r="AO1012" t="n">
        <v>0</v>
      </c>
      <c r="AP1012" t="inlineStr">
        <is>
          <t>No</t>
        </is>
      </c>
      <c r="AQ1012" t="inlineStr">
        <is>
          <t>No</t>
        </is>
      </c>
      <c r="AS1012">
        <f>HYPERLINK("https://creighton-primo.hosted.exlibrisgroup.com/primo-explore/search?tab=default_tab&amp;search_scope=EVERYTHING&amp;vid=01CRU&amp;lang=en_US&amp;offset=0&amp;query=any,contains,991000871569702656","Catalog Record")</f>
        <v/>
      </c>
      <c r="AT1012">
        <f>HYPERLINK("http://www.worldcat.org/oclc/13793200","WorldCat Record")</f>
        <v/>
      </c>
      <c r="AU1012" t="inlineStr">
        <is>
          <t>836656263:eng</t>
        </is>
      </c>
      <c r="AV1012" t="inlineStr">
        <is>
          <t>13793200</t>
        </is>
      </c>
      <c r="AW1012" t="inlineStr">
        <is>
          <t>991000871569702656</t>
        </is>
      </c>
      <c r="AX1012" t="inlineStr">
        <is>
          <t>991000871569702656</t>
        </is>
      </c>
      <c r="AY1012" t="inlineStr">
        <is>
          <t>2271983600002656</t>
        </is>
      </c>
      <c r="AZ1012" t="inlineStr">
        <is>
          <t>BOOK</t>
        </is>
      </c>
      <c r="BB1012" t="inlineStr">
        <is>
          <t>9780892326976</t>
        </is>
      </c>
      <c r="BC1012" t="inlineStr">
        <is>
          <t>32285000053594</t>
        </is>
      </c>
      <c r="BD1012" t="inlineStr">
        <is>
          <t>893522086</t>
        </is>
      </c>
    </row>
    <row r="1013">
      <c r="A1013" t="inlineStr">
        <is>
          <t>No</t>
        </is>
      </c>
      <c r="B1013" t="inlineStr">
        <is>
          <t>RC523 .M33 1991</t>
        </is>
      </c>
      <c r="C1013" t="inlineStr">
        <is>
          <t>0                      RC 0523000M  33          1991</t>
        </is>
      </c>
      <c r="D1013" t="inlineStr">
        <is>
          <t>The 36-hour day : a family guide to caring for persons with Alzheimer's disease, related dementing illnesses, and memory loss in later life / Nancy L. Mace, Peter V. Rabins.</t>
        </is>
      </c>
      <c r="F1013" t="inlineStr">
        <is>
          <t>No</t>
        </is>
      </c>
      <c r="G1013" t="inlineStr">
        <is>
          <t>1</t>
        </is>
      </c>
      <c r="H1013" t="inlineStr">
        <is>
          <t>No</t>
        </is>
      </c>
      <c r="I1013" t="inlineStr">
        <is>
          <t>Yes</t>
        </is>
      </c>
      <c r="J1013" t="inlineStr">
        <is>
          <t>0</t>
        </is>
      </c>
      <c r="K1013" t="inlineStr">
        <is>
          <t>Mace, Nancy L.</t>
        </is>
      </c>
      <c r="L1013" t="inlineStr">
        <is>
          <t>Baltimore : Johns Hopkins University Press, c1991.</t>
        </is>
      </c>
      <c r="M1013" t="inlineStr">
        <is>
          <t>1991</t>
        </is>
      </c>
      <c r="N1013" t="inlineStr">
        <is>
          <t>Rev. ed.</t>
        </is>
      </c>
      <c r="O1013" t="inlineStr">
        <is>
          <t>eng</t>
        </is>
      </c>
      <c r="P1013" t="inlineStr">
        <is>
          <t>mdu</t>
        </is>
      </c>
      <c r="R1013" t="inlineStr">
        <is>
          <t xml:space="preserve">RC </t>
        </is>
      </c>
      <c r="S1013" t="n">
        <v>54</v>
      </c>
      <c r="T1013" t="n">
        <v>54</v>
      </c>
      <c r="U1013" t="inlineStr">
        <is>
          <t>2009-03-03</t>
        </is>
      </c>
      <c r="V1013" t="inlineStr">
        <is>
          <t>2009-03-03</t>
        </is>
      </c>
      <c r="W1013" t="inlineStr">
        <is>
          <t>1991-10-16</t>
        </is>
      </c>
      <c r="X1013" t="inlineStr">
        <is>
          <t>1991-10-16</t>
        </is>
      </c>
      <c r="Y1013" t="n">
        <v>998</v>
      </c>
      <c r="Z1013" t="n">
        <v>915</v>
      </c>
      <c r="AA1013" t="n">
        <v>2051</v>
      </c>
      <c r="AB1013" t="n">
        <v>9</v>
      </c>
      <c r="AC1013" t="n">
        <v>27</v>
      </c>
      <c r="AD1013" t="n">
        <v>17</v>
      </c>
      <c r="AE1013" t="n">
        <v>31</v>
      </c>
      <c r="AF1013" t="n">
        <v>4</v>
      </c>
      <c r="AG1013" t="n">
        <v>9</v>
      </c>
      <c r="AH1013" t="n">
        <v>4</v>
      </c>
      <c r="AI1013" t="n">
        <v>5</v>
      </c>
      <c r="AJ1013" t="n">
        <v>7</v>
      </c>
      <c r="AK1013" t="n">
        <v>16</v>
      </c>
      <c r="AL1013" t="n">
        <v>4</v>
      </c>
      <c r="AM1013" t="n">
        <v>5</v>
      </c>
      <c r="AN1013" t="n">
        <v>1</v>
      </c>
      <c r="AO1013" t="n">
        <v>1</v>
      </c>
      <c r="AP1013" t="inlineStr">
        <is>
          <t>No</t>
        </is>
      </c>
      <c r="AQ1013" t="inlineStr">
        <is>
          <t>Yes</t>
        </is>
      </c>
      <c r="AR1013">
        <f>HYPERLINK("http://catalog.hathitrust.org/Record/002446636","HathiTrust Record")</f>
        <v/>
      </c>
      <c r="AS1013">
        <f>HYPERLINK("https://creighton-primo.hosted.exlibrisgroup.com/primo-explore/search?tab=default_tab&amp;search_scope=EVERYTHING&amp;vid=01CRU&amp;lang=en_US&amp;offset=0&amp;query=any,contains,991001786909702656","Catalog Record")</f>
        <v/>
      </c>
      <c r="AT1013">
        <f>HYPERLINK("http://www.worldcat.org/oclc/22508083","WorldCat Record")</f>
        <v/>
      </c>
      <c r="AU1013" t="inlineStr">
        <is>
          <t>8961540570:eng</t>
        </is>
      </c>
      <c r="AV1013" t="inlineStr">
        <is>
          <t>22508083</t>
        </is>
      </c>
      <c r="AW1013" t="inlineStr">
        <is>
          <t>991001786909702656</t>
        </is>
      </c>
      <c r="AX1013" t="inlineStr">
        <is>
          <t>991001786909702656</t>
        </is>
      </c>
      <c r="AY1013" t="inlineStr">
        <is>
          <t>2272024350002656</t>
        </is>
      </c>
      <c r="AZ1013" t="inlineStr">
        <is>
          <t>BOOK</t>
        </is>
      </c>
      <c r="BB1013" t="inlineStr">
        <is>
          <t>9780801840340</t>
        </is>
      </c>
      <c r="BC1013" t="inlineStr">
        <is>
          <t>32285000726769</t>
        </is>
      </c>
      <c r="BD1013" t="inlineStr">
        <is>
          <t>893797830</t>
        </is>
      </c>
    </row>
    <row r="1014">
      <c r="A1014" t="inlineStr">
        <is>
          <t>No</t>
        </is>
      </c>
      <c r="B1014" t="inlineStr">
        <is>
          <t>RC523 .M45 1992</t>
        </is>
      </c>
      <c r="C1014" t="inlineStr">
        <is>
          <t>0                      RC 0523000M  45          1992</t>
        </is>
      </c>
      <c r="D1014" t="inlineStr">
        <is>
          <t>Memory functioning in dementia / edited by Lars Bäckman.</t>
        </is>
      </c>
      <c r="F1014" t="inlineStr">
        <is>
          <t>No</t>
        </is>
      </c>
      <c r="G1014" t="inlineStr">
        <is>
          <t>1</t>
        </is>
      </c>
      <c r="H1014" t="inlineStr">
        <is>
          <t>No</t>
        </is>
      </c>
      <c r="I1014" t="inlineStr">
        <is>
          <t>No</t>
        </is>
      </c>
      <c r="J1014" t="inlineStr">
        <is>
          <t>0</t>
        </is>
      </c>
      <c r="L1014" t="inlineStr">
        <is>
          <t>Amsterdam ; New York : North-Holland, 1992.</t>
        </is>
      </c>
      <c r="M1014" t="inlineStr">
        <is>
          <t>1992</t>
        </is>
      </c>
      <c r="O1014" t="inlineStr">
        <is>
          <t>eng</t>
        </is>
      </c>
      <c r="P1014" t="inlineStr">
        <is>
          <t xml:space="preserve">ne </t>
        </is>
      </c>
      <c r="Q1014" t="inlineStr">
        <is>
          <t>Advances in psychology ; 89</t>
        </is>
      </c>
      <c r="R1014" t="inlineStr">
        <is>
          <t xml:space="preserve">RC </t>
        </is>
      </c>
      <c r="S1014" t="n">
        <v>15</v>
      </c>
      <c r="T1014" t="n">
        <v>15</v>
      </c>
      <c r="U1014" t="inlineStr">
        <is>
          <t>2009-04-19</t>
        </is>
      </c>
      <c r="V1014" t="inlineStr">
        <is>
          <t>2009-04-19</t>
        </is>
      </c>
      <c r="W1014" t="inlineStr">
        <is>
          <t>1994-12-14</t>
        </is>
      </c>
      <c r="X1014" t="inlineStr">
        <is>
          <t>1994-12-14</t>
        </is>
      </c>
      <c r="Y1014" t="n">
        <v>164</v>
      </c>
      <c r="Z1014" t="n">
        <v>98</v>
      </c>
      <c r="AA1014" t="n">
        <v>136</v>
      </c>
      <c r="AB1014" t="n">
        <v>2</v>
      </c>
      <c r="AC1014" t="n">
        <v>2</v>
      </c>
      <c r="AD1014" t="n">
        <v>5</v>
      </c>
      <c r="AE1014" t="n">
        <v>7</v>
      </c>
      <c r="AF1014" t="n">
        <v>0</v>
      </c>
      <c r="AG1014" t="n">
        <v>1</v>
      </c>
      <c r="AH1014" t="n">
        <v>2</v>
      </c>
      <c r="AI1014" t="n">
        <v>3</v>
      </c>
      <c r="AJ1014" t="n">
        <v>2</v>
      </c>
      <c r="AK1014" t="n">
        <v>2</v>
      </c>
      <c r="AL1014" t="n">
        <v>1</v>
      </c>
      <c r="AM1014" t="n">
        <v>1</v>
      </c>
      <c r="AN1014" t="n">
        <v>0</v>
      </c>
      <c r="AO1014" t="n">
        <v>0</v>
      </c>
      <c r="AP1014" t="inlineStr">
        <is>
          <t>No</t>
        </is>
      </c>
      <c r="AQ1014" t="inlineStr">
        <is>
          <t>Yes</t>
        </is>
      </c>
      <c r="AR1014">
        <f>HYPERLINK("http://catalog.hathitrust.org/Record/002566793","HathiTrust Record")</f>
        <v/>
      </c>
      <c r="AS1014">
        <f>HYPERLINK("https://creighton-primo.hosted.exlibrisgroup.com/primo-explore/search?tab=default_tab&amp;search_scope=EVERYTHING&amp;vid=01CRU&amp;lang=en_US&amp;offset=0&amp;query=any,contains,991002019619702656","Catalog Record")</f>
        <v/>
      </c>
      <c r="AT1014">
        <f>HYPERLINK("http://www.worldcat.org/oclc/25676948","WorldCat Record")</f>
        <v/>
      </c>
      <c r="AU1014" t="inlineStr">
        <is>
          <t>1011455905:eng</t>
        </is>
      </c>
      <c r="AV1014" t="inlineStr">
        <is>
          <t>25676948</t>
        </is>
      </c>
      <c r="AW1014" t="inlineStr">
        <is>
          <t>991002019619702656</t>
        </is>
      </c>
      <c r="AX1014" t="inlineStr">
        <is>
          <t>991002019619702656</t>
        </is>
      </c>
      <c r="AY1014" t="inlineStr">
        <is>
          <t>2269134750002656</t>
        </is>
      </c>
      <c r="AZ1014" t="inlineStr">
        <is>
          <t>BOOK</t>
        </is>
      </c>
      <c r="BB1014" t="inlineStr">
        <is>
          <t>9780444889201</t>
        </is>
      </c>
      <c r="BC1014" t="inlineStr">
        <is>
          <t>32285001977064</t>
        </is>
      </c>
      <c r="BD1014" t="inlineStr">
        <is>
          <t>893262039</t>
        </is>
      </c>
    </row>
    <row r="1015">
      <c r="A1015" t="inlineStr">
        <is>
          <t>No</t>
        </is>
      </c>
      <c r="B1015" t="inlineStr">
        <is>
          <t>RC523 .P79 1988</t>
        </is>
      </c>
      <c r="C1015" t="inlineStr">
        <is>
          <t>0                      RC 0523000P  79          1988</t>
        </is>
      </c>
      <c r="D1015" t="inlineStr">
        <is>
          <t>The Psychiatric treatment of Alzheimer's disease / formulated by the Committee on Aging, Group for the Advancement of Psychiatry.</t>
        </is>
      </c>
      <c r="F1015" t="inlineStr">
        <is>
          <t>No</t>
        </is>
      </c>
      <c r="G1015" t="inlineStr">
        <is>
          <t>1</t>
        </is>
      </c>
      <c r="H1015" t="inlineStr">
        <is>
          <t>No</t>
        </is>
      </c>
      <c r="I1015" t="inlineStr">
        <is>
          <t>No</t>
        </is>
      </c>
      <c r="J1015" t="inlineStr">
        <is>
          <t>0</t>
        </is>
      </c>
      <c r="L1015" t="inlineStr">
        <is>
          <t>New York : Brunner/Mazel, c1988.</t>
        </is>
      </c>
      <c r="M1015" t="inlineStr">
        <is>
          <t>1988</t>
        </is>
      </c>
      <c r="O1015" t="inlineStr">
        <is>
          <t>eng</t>
        </is>
      </c>
      <c r="P1015" t="inlineStr">
        <is>
          <t>nyu</t>
        </is>
      </c>
      <c r="Q1015" t="inlineStr">
        <is>
          <t>Report ; no. 125</t>
        </is>
      </c>
      <c r="R1015" t="inlineStr">
        <is>
          <t xml:space="preserve">RC </t>
        </is>
      </c>
      <c r="S1015" t="n">
        <v>36</v>
      </c>
      <c r="T1015" t="n">
        <v>36</v>
      </c>
      <c r="U1015" t="inlineStr">
        <is>
          <t>2009-10-06</t>
        </is>
      </c>
      <c r="V1015" t="inlineStr">
        <is>
          <t>2009-10-06</t>
        </is>
      </c>
      <c r="W1015" t="inlineStr">
        <is>
          <t>1991-05-17</t>
        </is>
      </c>
      <c r="X1015" t="inlineStr">
        <is>
          <t>1991-05-17</t>
        </is>
      </c>
      <c r="Y1015" t="n">
        <v>281</v>
      </c>
      <c r="Z1015" t="n">
        <v>228</v>
      </c>
      <c r="AA1015" t="n">
        <v>228</v>
      </c>
      <c r="AB1015" t="n">
        <v>2</v>
      </c>
      <c r="AC1015" t="n">
        <v>2</v>
      </c>
      <c r="AD1015" t="n">
        <v>9</v>
      </c>
      <c r="AE1015" t="n">
        <v>9</v>
      </c>
      <c r="AF1015" t="n">
        <v>1</v>
      </c>
      <c r="AG1015" t="n">
        <v>1</v>
      </c>
      <c r="AH1015" t="n">
        <v>4</v>
      </c>
      <c r="AI1015" t="n">
        <v>4</v>
      </c>
      <c r="AJ1015" t="n">
        <v>6</v>
      </c>
      <c r="AK1015" t="n">
        <v>6</v>
      </c>
      <c r="AL1015" t="n">
        <v>1</v>
      </c>
      <c r="AM1015" t="n">
        <v>1</v>
      </c>
      <c r="AN1015" t="n">
        <v>0</v>
      </c>
      <c r="AO1015" t="n">
        <v>0</v>
      </c>
      <c r="AP1015" t="inlineStr">
        <is>
          <t>No</t>
        </is>
      </c>
      <c r="AQ1015" t="inlineStr">
        <is>
          <t>No</t>
        </is>
      </c>
      <c r="AS1015">
        <f>HYPERLINK("https://creighton-primo.hosted.exlibrisgroup.com/primo-explore/search?tab=default_tab&amp;search_scope=EVERYTHING&amp;vid=01CRU&amp;lang=en_US&amp;offset=0&amp;query=any,contains,991001285819702656","Catalog Record")</f>
        <v/>
      </c>
      <c r="AT1015">
        <f>HYPERLINK("http://www.worldcat.org/oclc/17953985","WorldCat Record")</f>
        <v/>
      </c>
      <c r="AU1015" t="inlineStr">
        <is>
          <t>9738224327:eng</t>
        </is>
      </c>
      <c r="AV1015" t="inlineStr">
        <is>
          <t>17953985</t>
        </is>
      </c>
      <c r="AW1015" t="inlineStr">
        <is>
          <t>991001285819702656</t>
        </is>
      </c>
      <c r="AX1015" t="inlineStr">
        <is>
          <t>991001285819702656</t>
        </is>
      </c>
      <c r="AY1015" t="inlineStr">
        <is>
          <t>2271825350002656</t>
        </is>
      </c>
      <c r="AZ1015" t="inlineStr">
        <is>
          <t>BOOK</t>
        </is>
      </c>
      <c r="BB1015" t="inlineStr">
        <is>
          <t>9780876305195</t>
        </is>
      </c>
      <c r="BC1015" t="inlineStr">
        <is>
          <t>32285000574243</t>
        </is>
      </c>
      <c r="BD1015" t="inlineStr">
        <is>
          <t>893684225</t>
        </is>
      </c>
    </row>
    <row r="1016">
      <c r="A1016" t="inlineStr">
        <is>
          <t>No</t>
        </is>
      </c>
      <c r="B1016" t="inlineStr">
        <is>
          <t>RC523.2 .S535 2001</t>
        </is>
      </c>
      <c r="C1016" t="inlineStr">
        <is>
          <t>0                      RC 0523200S  535         2001</t>
        </is>
      </c>
      <c r="D1016" t="inlineStr">
        <is>
          <t>The forgetting : Alzheimer's, portrait of an epidemic / David Shenk.</t>
        </is>
      </c>
      <c r="F1016" t="inlineStr">
        <is>
          <t>No</t>
        </is>
      </c>
      <c r="G1016" t="inlineStr">
        <is>
          <t>1</t>
        </is>
      </c>
      <c r="H1016" t="inlineStr">
        <is>
          <t>Yes</t>
        </is>
      </c>
      <c r="I1016" t="inlineStr">
        <is>
          <t>Yes</t>
        </is>
      </c>
      <c r="J1016" t="inlineStr">
        <is>
          <t>0</t>
        </is>
      </c>
      <c r="K1016" t="inlineStr">
        <is>
          <t>Shenk, David.</t>
        </is>
      </c>
      <c r="L1016" t="inlineStr">
        <is>
          <t>New York : Doubleday, 2001.</t>
        </is>
      </c>
      <c r="M1016" t="inlineStr">
        <is>
          <t>2001</t>
        </is>
      </c>
      <c r="N1016" t="inlineStr">
        <is>
          <t>1st ed.</t>
        </is>
      </c>
      <c r="O1016" t="inlineStr">
        <is>
          <t>eng</t>
        </is>
      </c>
      <c r="P1016" t="inlineStr">
        <is>
          <t>nyu</t>
        </is>
      </c>
      <c r="R1016" t="inlineStr">
        <is>
          <t xml:space="preserve">RC </t>
        </is>
      </c>
      <c r="S1016" t="n">
        <v>5</v>
      </c>
      <c r="T1016" t="n">
        <v>20</v>
      </c>
      <c r="U1016" t="inlineStr">
        <is>
          <t>2003-12-23</t>
        </is>
      </c>
      <c r="V1016" t="inlineStr">
        <is>
          <t>2004-09-21</t>
        </is>
      </c>
      <c r="W1016" t="inlineStr">
        <is>
          <t>2001-10-13</t>
        </is>
      </c>
      <c r="X1016" t="inlineStr">
        <is>
          <t>2002-06-17</t>
        </is>
      </c>
      <c r="Y1016" t="n">
        <v>1776</v>
      </c>
      <c r="Z1016" t="n">
        <v>1693</v>
      </c>
      <c r="AA1016" t="n">
        <v>1978</v>
      </c>
      <c r="AB1016" t="n">
        <v>14</v>
      </c>
      <c r="AC1016" t="n">
        <v>17</v>
      </c>
      <c r="AD1016" t="n">
        <v>41</v>
      </c>
      <c r="AE1016" t="n">
        <v>50</v>
      </c>
      <c r="AF1016" t="n">
        <v>18</v>
      </c>
      <c r="AG1016" t="n">
        <v>23</v>
      </c>
      <c r="AH1016" t="n">
        <v>7</v>
      </c>
      <c r="AI1016" t="n">
        <v>7</v>
      </c>
      <c r="AJ1016" t="n">
        <v>16</v>
      </c>
      <c r="AK1016" t="n">
        <v>18</v>
      </c>
      <c r="AL1016" t="n">
        <v>9</v>
      </c>
      <c r="AM1016" t="n">
        <v>10</v>
      </c>
      <c r="AN1016" t="n">
        <v>0</v>
      </c>
      <c r="AO1016" t="n">
        <v>1</v>
      </c>
      <c r="AP1016" t="inlineStr">
        <is>
          <t>No</t>
        </is>
      </c>
      <c r="AQ1016" t="inlineStr">
        <is>
          <t>Yes</t>
        </is>
      </c>
      <c r="AR1016">
        <f>HYPERLINK("http://catalog.hathitrust.org/Record/004284204","HathiTrust Record")</f>
        <v/>
      </c>
      <c r="AS1016">
        <f>HYPERLINK("https://creighton-primo.hosted.exlibrisgroup.com/primo-explore/search?tab=default_tab&amp;search_scope=EVERYTHING&amp;vid=01CRU&amp;lang=en_US&amp;offset=0&amp;query=any,contains,991001707649702656","Catalog Record")</f>
        <v/>
      </c>
      <c r="AT1016">
        <f>HYPERLINK("http://www.worldcat.org/oclc/45888939","WorldCat Record")</f>
        <v/>
      </c>
      <c r="AU1016" t="inlineStr">
        <is>
          <t>2641640:eng</t>
        </is>
      </c>
      <c r="AV1016" t="inlineStr">
        <is>
          <t>45888939</t>
        </is>
      </c>
      <c r="AW1016" t="inlineStr">
        <is>
          <t>991001707649702656</t>
        </is>
      </c>
      <c r="AX1016" t="inlineStr">
        <is>
          <t>991001707649702656</t>
        </is>
      </c>
      <c r="AY1016" t="inlineStr">
        <is>
          <t>2262422860002656</t>
        </is>
      </c>
      <c r="AZ1016" t="inlineStr">
        <is>
          <t>BOOK</t>
        </is>
      </c>
      <c r="BB1016" t="inlineStr">
        <is>
          <t>9780385498371</t>
        </is>
      </c>
      <c r="BC1016" t="inlineStr">
        <is>
          <t>32285004396015</t>
        </is>
      </c>
      <c r="BD1016" t="inlineStr">
        <is>
          <t>893715645</t>
        </is>
      </c>
    </row>
    <row r="1017">
      <c r="A1017" t="inlineStr">
        <is>
          <t>No</t>
        </is>
      </c>
      <c r="B1017" t="inlineStr">
        <is>
          <t>RC523.2 .S535 2003</t>
        </is>
      </c>
      <c r="C1017" t="inlineStr">
        <is>
          <t>0                      RC 0523200S  535         2003</t>
        </is>
      </c>
      <c r="D1017" t="inlineStr">
        <is>
          <t>The forgetting : Alzheimer's, portrait of an epidemic / David Shenk.</t>
        </is>
      </c>
      <c r="F1017" t="inlineStr">
        <is>
          <t>No</t>
        </is>
      </c>
      <c r="G1017" t="inlineStr">
        <is>
          <t>1</t>
        </is>
      </c>
      <c r="H1017" t="inlineStr">
        <is>
          <t>No</t>
        </is>
      </c>
      <c r="I1017" t="inlineStr">
        <is>
          <t>Yes</t>
        </is>
      </c>
      <c r="J1017" t="inlineStr">
        <is>
          <t>0</t>
        </is>
      </c>
      <c r="K1017" t="inlineStr">
        <is>
          <t>Shenk, David, 1966-</t>
        </is>
      </c>
      <c r="L1017" t="inlineStr">
        <is>
          <t>New York : Anchor Books, 2003.</t>
        </is>
      </c>
      <c r="M1017" t="inlineStr">
        <is>
          <t>2003</t>
        </is>
      </c>
      <c r="N1017" t="inlineStr">
        <is>
          <t>1st Anchor Books ed.</t>
        </is>
      </c>
      <c r="O1017" t="inlineStr">
        <is>
          <t>eng</t>
        </is>
      </c>
      <c r="P1017" t="inlineStr">
        <is>
          <t>nyu</t>
        </is>
      </c>
      <c r="R1017" t="inlineStr">
        <is>
          <t xml:space="preserve">RC </t>
        </is>
      </c>
      <c r="S1017" t="n">
        <v>6</v>
      </c>
      <c r="T1017" t="n">
        <v>6</v>
      </c>
      <c r="U1017" t="inlineStr">
        <is>
          <t>2010-11-16</t>
        </is>
      </c>
      <c r="V1017" t="inlineStr">
        <is>
          <t>2010-11-16</t>
        </is>
      </c>
      <c r="W1017" t="inlineStr">
        <is>
          <t>2004-10-08</t>
        </is>
      </c>
      <c r="X1017" t="inlineStr">
        <is>
          <t>2004-10-08</t>
        </is>
      </c>
      <c r="Y1017" t="n">
        <v>320</v>
      </c>
      <c r="Z1017" t="n">
        <v>283</v>
      </c>
      <c r="AA1017" t="n">
        <v>1978</v>
      </c>
      <c r="AB1017" t="n">
        <v>2</v>
      </c>
      <c r="AC1017" t="n">
        <v>17</v>
      </c>
      <c r="AD1017" t="n">
        <v>8</v>
      </c>
      <c r="AE1017" t="n">
        <v>50</v>
      </c>
      <c r="AF1017" t="n">
        <v>5</v>
      </c>
      <c r="AG1017" t="n">
        <v>23</v>
      </c>
      <c r="AH1017" t="n">
        <v>0</v>
      </c>
      <c r="AI1017" t="n">
        <v>7</v>
      </c>
      <c r="AJ1017" t="n">
        <v>2</v>
      </c>
      <c r="AK1017" t="n">
        <v>18</v>
      </c>
      <c r="AL1017" t="n">
        <v>0</v>
      </c>
      <c r="AM1017" t="n">
        <v>10</v>
      </c>
      <c r="AN1017" t="n">
        <v>1</v>
      </c>
      <c r="AO1017" t="n">
        <v>1</v>
      </c>
      <c r="AP1017" t="inlineStr">
        <is>
          <t>No</t>
        </is>
      </c>
      <c r="AQ1017" t="inlineStr">
        <is>
          <t>No</t>
        </is>
      </c>
      <c r="AS1017">
        <f>HYPERLINK("https://creighton-primo.hosted.exlibrisgroup.com/primo-explore/search?tab=default_tab&amp;search_scope=EVERYTHING&amp;vid=01CRU&amp;lang=en_US&amp;offset=0&amp;query=any,contains,991004396799702656","Catalog Record")</f>
        <v/>
      </c>
      <c r="AT1017">
        <f>HYPERLINK("http://www.worldcat.org/oclc/51619921","WorldCat Record")</f>
        <v/>
      </c>
      <c r="AU1017" t="inlineStr">
        <is>
          <t>2641640:eng</t>
        </is>
      </c>
      <c r="AV1017" t="inlineStr">
        <is>
          <t>51619921</t>
        </is>
      </c>
      <c r="AW1017" t="inlineStr">
        <is>
          <t>991004396799702656</t>
        </is>
      </c>
      <c r="AX1017" t="inlineStr">
        <is>
          <t>991004396799702656</t>
        </is>
      </c>
      <c r="AY1017" t="inlineStr">
        <is>
          <t>2265323680002656</t>
        </is>
      </c>
      <c r="AZ1017" t="inlineStr">
        <is>
          <t>BOOK</t>
        </is>
      </c>
      <c r="BB1017" t="inlineStr">
        <is>
          <t>9780385498388</t>
        </is>
      </c>
      <c r="BC1017" t="inlineStr">
        <is>
          <t>32285004955091</t>
        </is>
      </c>
      <c r="BD1017" t="inlineStr">
        <is>
          <t>893712537</t>
        </is>
      </c>
    </row>
    <row r="1018">
      <c r="A1018" t="inlineStr">
        <is>
          <t>No</t>
        </is>
      </c>
      <c r="B1018" t="inlineStr">
        <is>
          <t>RC523.2 .V36 2003</t>
        </is>
      </c>
      <c r="C1018" t="inlineStr">
        <is>
          <t>0                      RC 0523200V  36          2003</t>
        </is>
      </c>
      <c r="D1018" t="inlineStr">
        <is>
          <t>The house on Beartown Road : a memoir of learning and forgetting / Elizabeth Cohen.</t>
        </is>
      </c>
      <c r="F1018" t="inlineStr">
        <is>
          <t>No</t>
        </is>
      </c>
      <c r="G1018" t="inlineStr">
        <is>
          <t>1</t>
        </is>
      </c>
      <c r="H1018" t="inlineStr">
        <is>
          <t>No</t>
        </is>
      </c>
      <c r="I1018" t="inlineStr">
        <is>
          <t>No</t>
        </is>
      </c>
      <c r="J1018" t="inlineStr">
        <is>
          <t>0</t>
        </is>
      </c>
      <c r="K1018" t="inlineStr">
        <is>
          <t>Cohen, Elizabeth.</t>
        </is>
      </c>
      <c r="L1018" t="inlineStr">
        <is>
          <t>New York : Random House, c2003.</t>
        </is>
      </c>
      <c r="M1018" t="inlineStr">
        <is>
          <t>2003</t>
        </is>
      </c>
      <c r="N1018" t="inlineStr">
        <is>
          <t>1st ed.</t>
        </is>
      </c>
      <c r="O1018" t="inlineStr">
        <is>
          <t>eng</t>
        </is>
      </c>
      <c r="P1018" t="inlineStr">
        <is>
          <t>nyu</t>
        </is>
      </c>
      <c r="R1018" t="inlineStr">
        <is>
          <t xml:space="preserve">RC </t>
        </is>
      </c>
      <c r="S1018" t="n">
        <v>2</v>
      </c>
      <c r="T1018" t="n">
        <v>2</v>
      </c>
      <c r="U1018" t="inlineStr">
        <is>
          <t>2003-12-10</t>
        </is>
      </c>
      <c r="V1018" t="inlineStr">
        <is>
          <t>2003-12-10</t>
        </is>
      </c>
      <c r="W1018" t="inlineStr">
        <is>
          <t>2003-12-10</t>
        </is>
      </c>
      <c r="X1018" t="inlineStr">
        <is>
          <t>2003-12-10</t>
        </is>
      </c>
      <c r="Y1018" t="n">
        <v>628</v>
      </c>
      <c r="Z1018" t="n">
        <v>605</v>
      </c>
      <c r="AA1018" t="n">
        <v>723</v>
      </c>
      <c r="AB1018" t="n">
        <v>4</v>
      </c>
      <c r="AC1018" t="n">
        <v>6</v>
      </c>
      <c r="AD1018" t="n">
        <v>8</v>
      </c>
      <c r="AE1018" t="n">
        <v>8</v>
      </c>
      <c r="AF1018" t="n">
        <v>0</v>
      </c>
      <c r="AG1018" t="n">
        <v>0</v>
      </c>
      <c r="AH1018" t="n">
        <v>3</v>
      </c>
      <c r="AI1018" t="n">
        <v>3</v>
      </c>
      <c r="AJ1018" t="n">
        <v>4</v>
      </c>
      <c r="AK1018" t="n">
        <v>4</v>
      </c>
      <c r="AL1018" t="n">
        <v>2</v>
      </c>
      <c r="AM1018" t="n">
        <v>2</v>
      </c>
      <c r="AN1018" t="n">
        <v>0</v>
      </c>
      <c r="AO1018" t="n">
        <v>0</v>
      </c>
      <c r="AP1018" t="inlineStr">
        <is>
          <t>No</t>
        </is>
      </c>
      <c r="AQ1018" t="inlineStr">
        <is>
          <t>Yes</t>
        </is>
      </c>
      <c r="AR1018">
        <f>HYPERLINK("http://catalog.hathitrust.org/Record/102026748","HathiTrust Record")</f>
        <v/>
      </c>
      <c r="AS1018">
        <f>HYPERLINK("https://creighton-primo.hosted.exlibrisgroup.com/primo-explore/search?tab=default_tab&amp;search_scope=EVERYTHING&amp;vid=01CRU&amp;lang=en_US&amp;offset=0&amp;query=any,contains,991004175449702656","Catalog Record")</f>
        <v/>
      </c>
      <c r="AT1018">
        <f>HYPERLINK("http://www.worldcat.org/oclc/50851583","WorldCat Record")</f>
        <v/>
      </c>
      <c r="AU1018" t="inlineStr">
        <is>
          <t>233186982:eng</t>
        </is>
      </c>
      <c r="AV1018" t="inlineStr">
        <is>
          <t>50851583</t>
        </is>
      </c>
      <c r="AW1018" t="inlineStr">
        <is>
          <t>991004175449702656</t>
        </is>
      </c>
      <c r="AX1018" t="inlineStr">
        <is>
          <t>991004175449702656</t>
        </is>
      </c>
      <c r="AY1018" t="inlineStr">
        <is>
          <t>2259915990002656</t>
        </is>
      </c>
      <c r="AZ1018" t="inlineStr">
        <is>
          <t>BOOK</t>
        </is>
      </c>
      <c r="BB1018" t="inlineStr">
        <is>
          <t>9780375507274</t>
        </is>
      </c>
      <c r="BC1018" t="inlineStr">
        <is>
          <t>32285004845680</t>
        </is>
      </c>
      <c r="BD1018" t="inlineStr">
        <is>
          <t>893532071</t>
        </is>
      </c>
    </row>
    <row r="1019">
      <c r="A1019" t="inlineStr">
        <is>
          <t>No</t>
        </is>
      </c>
      <c r="B1019" t="inlineStr">
        <is>
          <t>RC524 .E64</t>
        </is>
      </c>
      <c r="C1019" t="inlineStr">
        <is>
          <t>0                      RC 0524000E  64</t>
        </is>
      </c>
      <c r="D1019" t="inlineStr">
        <is>
          <t>The Epidemiology of dementia / edited by James A. Mortimer and Leonard M. Schuman.</t>
        </is>
      </c>
      <c r="F1019" t="inlineStr">
        <is>
          <t>No</t>
        </is>
      </c>
      <c r="G1019" t="inlineStr">
        <is>
          <t>1</t>
        </is>
      </c>
      <c r="H1019" t="inlineStr">
        <is>
          <t>No</t>
        </is>
      </c>
      <c r="I1019" t="inlineStr">
        <is>
          <t>No</t>
        </is>
      </c>
      <c r="J1019" t="inlineStr">
        <is>
          <t>0</t>
        </is>
      </c>
      <c r="L1019" t="inlineStr">
        <is>
          <t>New York : Oxford University Press, 1981.</t>
        </is>
      </c>
      <c r="M1019" t="inlineStr">
        <is>
          <t>1981</t>
        </is>
      </c>
      <c r="O1019" t="inlineStr">
        <is>
          <t>eng</t>
        </is>
      </c>
      <c r="P1019" t="inlineStr">
        <is>
          <t>nyu</t>
        </is>
      </c>
      <c r="Q1019" t="inlineStr">
        <is>
          <t>Monographs in epidemiology and biostatistics</t>
        </is>
      </c>
      <c r="R1019" t="inlineStr">
        <is>
          <t xml:space="preserve">RC </t>
        </is>
      </c>
      <c r="S1019" t="n">
        <v>12</v>
      </c>
      <c r="T1019" t="n">
        <v>12</v>
      </c>
      <c r="U1019" t="inlineStr">
        <is>
          <t>2009-04-19</t>
        </is>
      </c>
      <c r="V1019" t="inlineStr">
        <is>
          <t>2009-04-19</t>
        </is>
      </c>
      <c r="W1019" t="inlineStr">
        <is>
          <t>1992-03-31</t>
        </is>
      </c>
      <c r="X1019" t="inlineStr">
        <is>
          <t>1992-03-31</t>
        </is>
      </c>
      <c r="Y1019" t="n">
        <v>254</v>
      </c>
      <c r="Z1019" t="n">
        <v>188</v>
      </c>
      <c r="AA1019" t="n">
        <v>193</v>
      </c>
      <c r="AB1019" t="n">
        <v>3</v>
      </c>
      <c r="AC1019" t="n">
        <v>3</v>
      </c>
      <c r="AD1019" t="n">
        <v>5</v>
      </c>
      <c r="AE1019" t="n">
        <v>5</v>
      </c>
      <c r="AF1019" t="n">
        <v>0</v>
      </c>
      <c r="AG1019" t="n">
        <v>0</v>
      </c>
      <c r="AH1019" t="n">
        <v>0</v>
      </c>
      <c r="AI1019" t="n">
        <v>0</v>
      </c>
      <c r="AJ1019" t="n">
        <v>3</v>
      </c>
      <c r="AK1019" t="n">
        <v>3</v>
      </c>
      <c r="AL1019" t="n">
        <v>2</v>
      </c>
      <c r="AM1019" t="n">
        <v>2</v>
      </c>
      <c r="AN1019" t="n">
        <v>0</v>
      </c>
      <c r="AO1019" t="n">
        <v>0</v>
      </c>
      <c r="AP1019" t="inlineStr">
        <is>
          <t>No</t>
        </is>
      </c>
      <c r="AQ1019" t="inlineStr">
        <is>
          <t>No</t>
        </is>
      </c>
      <c r="AS1019">
        <f>HYPERLINK("https://creighton-primo.hosted.exlibrisgroup.com/primo-explore/search?tab=default_tab&amp;search_scope=EVERYTHING&amp;vid=01CRU&amp;lang=en_US&amp;offset=0&amp;query=any,contains,991005097349702656","Catalog Record")</f>
        <v/>
      </c>
      <c r="AT1019">
        <f>HYPERLINK("http://www.worldcat.org/oclc/7275946","WorldCat Record")</f>
        <v/>
      </c>
      <c r="AU1019" t="inlineStr">
        <is>
          <t>348341894:eng</t>
        </is>
      </c>
      <c r="AV1019" t="inlineStr">
        <is>
          <t>7275946</t>
        </is>
      </c>
      <c r="AW1019" t="inlineStr">
        <is>
          <t>991005097349702656</t>
        </is>
      </c>
      <c r="AX1019" t="inlineStr">
        <is>
          <t>991005097349702656</t>
        </is>
      </c>
      <c r="AY1019" t="inlineStr">
        <is>
          <t>2259939980002656</t>
        </is>
      </c>
      <c r="AZ1019" t="inlineStr">
        <is>
          <t>BOOK</t>
        </is>
      </c>
      <c r="BB1019" t="inlineStr">
        <is>
          <t>9780195029062</t>
        </is>
      </c>
      <c r="BC1019" t="inlineStr">
        <is>
          <t>32285001031649</t>
        </is>
      </c>
      <c r="BD1019" t="inlineStr">
        <is>
          <t>893526891</t>
        </is>
      </c>
    </row>
    <row r="1020">
      <c r="A1020" t="inlineStr">
        <is>
          <t>No</t>
        </is>
      </c>
      <c r="B1020" t="inlineStr">
        <is>
          <t>RC524 .R44 1981</t>
        </is>
      </c>
      <c r="C1020" t="inlineStr">
        <is>
          <t>0                      RC 0524000R  44          1981</t>
        </is>
      </c>
      <c r="D1020" t="inlineStr">
        <is>
          <t>Brain failure : an introduction to current concepts of senility / Barry Reisberg.</t>
        </is>
      </c>
      <c r="F1020" t="inlineStr">
        <is>
          <t>No</t>
        </is>
      </c>
      <c r="G1020" t="inlineStr">
        <is>
          <t>1</t>
        </is>
      </c>
      <c r="H1020" t="inlineStr">
        <is>
          <t>No</t>
        </is>
      </c>
      <c r="I1020" t="inlineStr">
        <is>
          <t>No</t>
        </is>
      </c>
      <c r="J1020" t="inlineStr">
        <is>
          <t>0</t>
        </is>
      </c>
      <c r="K1020" t="inlineStr">
        <is>
          <t>Reisberg, Barry.</t>
        </is>
      </c>
      <c r="L1020" t="inlineStr">
        <is>
          <t>New York : Free Press, 1981.</t>
        </is>
      </c>
      <c r="M1020" t="inlineStr">
        <is>
          <t>1981</t>
        </is>
      </c>
      <c r="O1020" t="inlineStr">
        <is>
          <t>eng</t>
        </is>
      </c>
      <c r="P1020" t="inlineStr">
        <is>
          <t>nyu</t>
        </is>
      </c>
      <c r="R1020" t="inlineStr">
        <is>
          <t xml:space="preserve">RC </t>
        </is>
      </c>
      <c r="S1020" t="n">
        <v>9</v>
      </c>
      <c r="T1020" t="n">
        <v>9</v>
      </c>
      <c r="U1020" t="inlineStr">
        <is>
          <t>1994-04-24</t>
        </is>
      </c>
      <c r="V1020" t="inlineStr">
        <is>
          <t>1994-04-24</t>
        </is>
      </c>
      <c r="W1020" t="inlineStr">
        <is>
          <t>1990-06-01</t>
        </is>
      </c>
      <c r="X1020" t="inlineStr">
        <is>
          <t>1990-06-01</t>
        </is>
      </c>
      <c r="Y1020" t="n">
        <v>366</v>
      </c>
      <c r="Z1020" t="n">
        <v>315</v>
      </c>
      <c r="AA1020" t="n">
        <v>318</v>
      </c>
      <c r="AB1020" t="n">
        <v>2</v>
      </c>
      <c r="AC1020" t="n">
        <v>2</v>
      </c>
      <c r="AD1020" t="n">
        <v>9</v>
      </c>
      <c r="AE1020" t="n">
        <v>9</v>
      </c>
      <c r="AF1020" t="n">
        <v>3</v>
      </c>
      <c r="AG1020" t="n">
        <v>3</v>
      </c>
      <c r="AH1020" t="n">
        <v>3</v>
      </c>
      <c r="AI1020" t="n">
        <v>3</v>
      </c>
      <c r="AJ1020" t="n">
        <v>7</v>
      </c>
      <c r="AK1020" t="n">
        <v>7</v>
      </c>
      <c r="AL1020" t="n">
        <v>1</v>
      </c>
      <c r="AM1020" t="n">
        <v>1</v>
      </c>
      <c r="AN1020" t="n">
        <v>0</v>
      </c>
      <c r="AO1020" t="n">
        <v>0</v>
      </c>
      <c r="AP1020" t="inlineStr">
        <is>
          <t>No</t>
        </is>
      </c>
      <c r="AQ1020" t="inlineStr">
        <is>
          <t>Yes</t>
        </is>
      </c>
      <c r="AR1020">
        <f>HYPERLINK("http://catalog.hathitrust.org/Record/000266191","HathiTrust Record")</f>
        <v/>
      </c>
      <c r="AS1020">
        <f>HYPERLINK("https://creighton-primo.hosted.exlibrisgroup.com/primo-explore/search?tab=default_tab&amp;search_scope=EVERYTHING&amp;vid=01CRU&amp;lang=en_US&amp;offset=0&amp;query=any,contains,991005138029702656","Catalog Record")</f>
        <v/>
      </c>
      <c r="AT1020">
        <f>HYPERLINK("http://www.worldcat.org/oclc/7590852","WorldCat Record")</f>
        <v/>
      </c>
      <c r="AU1020" t="inlineStr">
        <is>
          <t>909738809:eng</t>
        </is>
      </c>
      <c r="AV1020" t="inlineStr">
        <is>
          <t>7590852</t>
        </is>
      </c>
      <c r="AW1020" t="inlineStr">
        <is>
          <t>991005138029702656</t>
        </is>
      </c>
      <c r="AX1020" t="inlineStr">
        <is>
          <t>991005138029702656</t>
        </is>
      </c>
      <c r="AY1020" t="inlineStr">
        <is>
          <t>2271610590002656</t>
        </is>
      </c>
      <c r="AZ1020" t="inlineStr">
        <is>
          <t>BOOK</t>
        </is>
      </c>
      <c r="BB1020" t="inlineStr">
        <is>
          <t>9780029262603</t>
        </is>
      </c>
      <c r="BC1020" t="inlineStr">
        <is>
          <t>32285000180132</t>
        </is>
      </c>
      <c r="BD1020" t="inlineStr">
        <is>
          <t>893248429</t>
        </is>
      </c>
    </row>
    <row r="1021">
      <c r="A1021" t="inlineStr">
        <is>
          <t>No</t>
        </is>
      </c>
      <c r="B1021" t="inlineStr">
        <is>
          <t>RC530 .E9</t>
        </is>
      </c>
      <c r="C1021" t="inlineStr">
        <is>
          <t>0                      RC 0530000E  9</t>
        </is>
      </c>
      <c r="D1021" t="inlineStr">
        <is>
          <t>The causes and cures of neurosis; an introduction to modern behaviour therapy based on learning theory and the principles of conditioning, by H. J. Eysenck and S. Rachman.</t>
        </is>
      </c>
      <c r="F1021" t="inlineStr">
        <is>
          <t>No</t>
        </is>
      </c>
      <c r="G1021" t="inlineStr">
        <is>
          <t>1</t>
        </is>
      </c>
      <c r="H1021" t="inlineStr">
        <is>
          <t>No</t>
        </is>
      </c>
      <c r="I1021" t="inlineStr">
        <is>
          <t>No</t>
        </is>
      </c>
      <c r="J1021" t="inlineStr">
        <is>
          <t>0</t>
        </is>
      </c>
      <c r="K1021" t="inlineStr">
        <is>
          <t>Eysenck, H. J. (Hans Jurgen), 1916-1997.</t>
        </is>
      </c>
      <c r="L1021" t="inlineStr">
        <is>
          <t>San Diego, Calif., R. R. Knapp [1965]</t>
        </is>
      </c>
      <c r="M1021" t="inlineStr">
        <is>
          <t>1965</t>
        </is>
      </c>
      <c r="N1021" t="inlineStr">
        <is>
          <t>[1st ed.]</t>
        </is>
      </c>
      <c r="O1021" t="inlineStr">
        <is>
          <t>eng</t>
        </is>
      </c>
      <c r="P1021" t="inlineStr">
        <is>
          <t>cau</t>
        </is>
      </c>
      <c r="R1021" t="inlineStr">
        <is>
          <t xml:space="preserve">RC </t>
        </is>
      </c>
      <c r="S1021" t="n">
        <v>0</v>
      </c>
      <c r="T1021" t="n">
        <v>0</v>
      </c>
      <c r="U1021" t="inlineStr">
        <is>
          <t>2009-06-18</t>
        </is>
      </c>
      <c r="V1021" t="inlineStr">
        <is>
          <t>2009-06-18</t>
        </is>
      </c>
      <c r="W1021" t="inlineStr">
        <is>
          <t>1997-08-12</t>
        </is>
      </c>
      <c r="X1021" t="inlineStr">
        <is>
          <t>1997-08-12</t>
        </is>
      </c>
      <c r="Y1021" t="n">
        <v>664</v>
      </c>
      <c r="Z1021" t="n">
        <v>602</v>
      </c>
      <c r="AA1021" t="n">
        <v>668</v>
      </c>
      <c r="AB1021" t="n">
        <v>6</v>
      </c>
      <c r="AC1021" t="n">
        <v>6</v>
      </c>
      <c r="AD1021" t="n">
        <v>27</v>
      </c>
      <c r="AE1021" t="n">
        <v>27</v>
      </c>
      <c r="AF1021" t="n">
        <v>12</v>
      </c>
      <c r="AG1021" t="n">
        <v>12</v>
      </c>
      <c r="AH1021" t="n">
        <v>5</v>
      </c>
      <c r="AI1021" t="n">
        <v>5</v>
      </c>
      <c r="AJ1021" t="n">
        <v>12</v>
      </c>
      <c r="AK1021" t="n">
        <v>12</v>
      </c>
      <c r="AL1021" t="n">
        <v>5</v>
      </c>
      <c r="AM1021" t="n">
        <v>5</v>
      </c>
      <c r="AN1021" t="n">
        <v>0</v>
      </c>
      <c r="AO1021" t="n">
        <v>0</v>
      </c>
      <c r="AP1021" t="inlineStr">
        <is>
          <t>No</t>
        </is>
      </c>
      <c r="AQ1021" t="inlineStr">
        <is>
          <t>Yes</t>
        </is>
      </c>
      <c r="AR1021">
        <f>HYPERLINK("http://catalog.hathitrust.org/Record/001565078","HathiTrust Record")</f>
        <v/>
      </c>
      <c r="AS1021">
        <f>HYPERLINK("https://creighton-primo.hosted.exlibrisgroup.com/primo-explore/search?tab=default_tab&amp;search_scope=EVERYTHING&amp;vid=01CRU&amp;lang=en_US&amp;offset=0&amp;query=any,contains,991002741449702656","Catalog Record")</f>
        <v/>
      </c>
      <c r="AT1021">
        <f>HYPERLINK("http://www.worldcat.org/oclc/421273","WorldCat Record")</f>
        <v/>
      </c>
      <c r="AU1021" t="inlineStr">
        <is>
          <t>57519785:eng</t>
        </is>
      </c>
      <c r="AV1021" t="inlineStr">
        <is>
          <t>421273</t>
        </is>
      </c>
      <c r="AW1021" t="inlineStr">
        <is>
          <t>991002741449702656</t>
        </is>
      </c>
      <c r="AX1021" t="inlineStr">
        <is>
          <t>991002741449702656</t>
        </is>
      </c>
      <c r="AY1021" t="inlineStr">
        <is>
          <t>2270093180002656</t>
        </is>
      </c>
      <c r="AZ1021" t="inlineStr">
        <is>
          <t>BOOK</t>
        </is>
      </c>
      <c r="BC1021" t="inlineStr">
        <is>
          <t>32285003092409</t>
        </is>
      </c>
      <c r="BD1021" t="inlineStr">
        <is>
          <t>893341784</t>
        </is>
      </c>
    </row>
    <row r="1022">
      <c r="A1022" t="inlineStr">
        <is>
          <t>No</t>
        </is>
      </c>
      <c r="B1022" t="inlineStr">
        <is>
          <t>RC530 .L47</t>
        </is>
      </c>
      <c r="C1022" t="inlineStr">
        <is>
          <t>0                      RC 0530000L  47</t>
        </is>
      </c>
      <c r="D1022" t="inlineStr">
        <is>
          <t>Freud's early psychology of the neuroses : a historical perspective / Kenneth Levin.</t>
        </is>
      </c>
      <c r="F1022" t="inlineStr">
        <is>
          <t>No</t>
        </is>
      </c>
      <c r="G1022" t="inlineStr">
        <is>
          <t>1</t>
        </is>
      </c>
      <c r="H1022" t="inlineStr">
        <is>
          <t>No</t>
        </is>
      </c>
      <c r="I1022" t="inlineStr">
        <is>
          <t>No</t>
        </is>
      </c>
      <c r="J1022" t="inlineStr">
        <is>
          <t>0</t>
        </is>
      </c>
      <c r="K1022" t="inlineStr">
        <is>
          <t>Levin, Kenneth, 1944-</t>
        </is>
      </c>
      <c r="L1022" t="inlineStr">
        <is>
          <t>Pittsburgh : University of Pittsburgh Press, [1978]</t>
        </is>
      </c>
      <c r="M1022" t="inlineStr">
        <is>
          <t>1978</t>
        </is>
      </c>
      <c r="O1022" t="inlineStr">
        <is>
          <t>eng</t>
        </is>
      </c>
      <c r="P1022" t="inlineStr">
        <is>
          <t>pau</t>
        </is>
      </c>
      <c r="R1022" t="inlineStr">
        <is>
          <t xml:space="preserve">RC </t>
        </is>
      </c>
      <c r="S1022" t="n">
        <v>3</v>
      </c>
      <c r="T1022" t="n">
        <v>3</v>
      </c>
      <c r="U1022" t="inlineStr">
        <is>
          <t>1996-12-02</t>
        </is>
      </c>
      <c r="V1022" t="inlineStr">
        <is>
          <t>1996-12-02</t>
        </is>
      </c>
      <c r="W1022" t="inlineStr">
        <is>
          <t>1993-03-23</t>
        </is>
      </c>
      <c r="X1022" t="inlineStr">
        <is>
          <t>1993-03-23</t>
        </is>
      </c>
      <c r="Y1022" t="n">
        <v>558</v>
      </c>
      <c r="Z1022" t="n">
        <v>494</v>
      </c>
      <c r="AA1022" t="n">
        <v>513</v>
      </c>
      <c r="AB1022" t="n">
        <v>5</v>
      </c>
      <c r="AC1022" t="n">
        <v>5</v>
      </c>
      <c r="AD1022" t="n">
        <v>18</v>
      </c>
      <c r="AE1022" t="n">
        <v>18</v>
      </c>
      <c r="AF1022" t="n">
        <v>6</v>
      </c>
      <c r="AG1022" t="n">
        <v>6</v>
      </c>
      <c r="AH1022" t="n">
        <v>3</v>
      </c>
      <c r="AI1022" t="n">
        <v>3</v>
      </c>
      <c r="AJ1022" t="n">
        <v>5</v>
      </c>
      <c r="AK1022" t="n">
        <v>5</v>
      </c>
      <c r="AL1022" t="n">
        <v>4</v>
      </c>
      <c r="AM1022" t="n">
        <v>4</v>
      </c>
      <c r="AN1022" t="n">
        <v>0</v>
      </c>
      <c r="AO1022" t="n">
        <v>0</v>
      </c>
      <c r="AP1022" t="inlineStr">
        <is>
          <t>No</t>
        </is>
      </c>
      <c r="AQ1022" t="inlineStr">
        <is>
          <t>Yes</t>
        </is>
      </c>
      <c r="AR1022">
        <f>HYPERLINK("http://catalog.hathitrust.org/Record/000089767","HathiTrust Record")</f>
        <v/>
      </c>
      <c r="AS1022">
        <f>HYPERLINK("https://creighton-primo.hosted.exlibrisgroup.com/primo-explore/search?tab=default_tab&amp;search_scope=EVERYTHING&amp;vid=01CRU&amp;lang=en_US&amp;offset=0&amp;query=any,contains,991004461469702656","Catalog Record")</f>
        <v/>
      </c>
      <c r="AT1022">
        <f>HYPERLINK("http://www.worldcat.org/oclc/3543598","WorldCat Record")</f>
        <v/>
      </c>
      <c r="AU1022" t="inlineStr">
        <is>
          <t>889852520:eng</t>
        </is>
      </c>
      <c r="AV1022" t="inlineStr">
        <is>
          <t>3543598</t>
        </is>
      </c>
      <c r="AW1022" t="inlineStr">
        <is>
          <t>991004461469702656</t>
        </is>
      </c>
      <c r="AX1022" t="inlineStr">
        <is>
          <t>991004461469702656</t>
        </is>
      </c>
      <c r="AY1022" t="inlineStr">
        <is>
          <t>2264928980002656</t>
        </is>
      </c>
      <c r="AZ1022" t="inlineStr">
        <is>
          <t>BOOK</t>
        </is>
      </c>
      <c r="BB1022" t="inlineStr">
        <is>
          <t>9780822933663</t>
        </is>
      </c>
      <c r="BC1022" t="inlineStr">
        <is>
          <t>32285001607380</t>
        </is>
      </c>
      <c r="BD1022" t="inlineStr">
        <is>
          <t>893788719</t>
        </is>
      </c>
    </row>
    <row r="1023">
      <c r="A1023" t="inlineStr">
        <is>
          <t>No</t>
        </is>
      </c>
      <c r="B1023" t="inlineStr">
        <is>
          <t>RC530 .M3</t>
        </is>
      </c>
      <c r="C1023" t="inlineStr">
        <is>
          <t>0                      RC 0530000M  3</t>
        </is>
      </c>
      <c r="D1023" t="inlineStr">
        <is>
          <t>Neuroses and personality disorders / [by] Elton B. McNeil.</t>
        </is>
      </c>
      <c r="F1023" t="inlineStr">
        <is>
          <t>No</t>
        </is>
      </c>
      <c r="G1023" t="inlineStr">
        <is>
          <t>1</t>
        </is>
      </c>
      <c r="H1023" t="inlineStr">
        <is>
          <t>No</t>
        </is>
      </c>
      <c r="I1023" t="inlineStr">
        <is>
          <t>No</t>
        </is>
      </c>
      <c r="J1023" t="inlineStr">
        <is>
          <t>0</t>
        </is>
      </c>
      <c r="K1023" t="inlineStr">
        <is>
          <t>McNeil, Elton B.</t>
        </is>
      </c>
      <c r="L1023" t="inlineStr">
        <is>
          <t>Englewood Cliffs, N.J. : Prentice-Hall, [1970]</t>
        </is>
      </c>
      <c r="M1023" t="inlineStr">
        <is>
          <t>1970</t>
        </is>
      </c>
      <c r="O1023" t="inlineStr">
        <is>
          <t>eng</t>
        </is>
      </c>
      <c r="P1023" t="inlineStr">
        <is>
          <t>nju</t>
        </is>
      </c>
      <c r="Q1023" t="inlineStr">
        <is>
          <t>Lives in disorder series</t>
        </is>
      </c>
      <c r="R1023" t="inlineStr">
        <is>
          <t xml:space="preserve">RC </t>
        </is>
      </c>
      <c r="S1023" t="n">
        <v>13</v>
      </c>
      <c r="T1023" t="n">
        <v>13</v>
      </c>
      <c r="U1023" t="inlineStr">
        <is>
          <t>2010-04-08</t>
        </is>
      </c>
      <c r="V1023" t="inlineStr">
        <is>
          <t>2010-04-08</t>
        </is>
      </c>
      <c r="W1023" t="inlineStr">
        <is>
          <t>1990-03-13</t>
        </is>
      </c>
      <c r="X1023" t="inlineStr">
        <is>
          <t>1990-03-13</t>
        </is>
      </c>
      <c r="Y1023" t="n">
        <v>400</v>
      </c>
      <c r="Z1023" t="n">
        <v>303</v>
      </c>
      <c r="AA1023" t="n">
        <v>311</v>
      </c>
      <c r="AB1023" t="n">
        <v>2</v>
      </c>
      <c r="AC1023" t="n">
        <v>2</v>
      </c>
      <c r="AD1023" t="n">
        <v>11</v>
      </c>
      <c r="AE1023" t="n">
        <v>11</v>
      </c>
      <c r="AF1023" t="n">
        <v>4</v>
      </c>
      <c r="AG1023" t="n">
        <v>4</v>
      </c>
      <c r="AH1023" t="n">
        <v>3</v>
      </c>
      <c r="AI1023" t="n">
        <v>3</v>
      </c>
      <c r="AJ1023" t="n">
        <v>6</v>
      </c>
      <c r="AK1023" t="n">
        <v>6</v>
      </c>
      <c r="AL1023" t="n">
        <v>1</v>
      </c>
      <c r="AM1023" t="n">
        <v>1</v>
      </c>
      <c r="AN1023" t="n">
        <v>0</v>
      </c>
      <c r="AO1023" t="n">
        <v>0</v>
      </c>
      <c r="AP1023" t="inlineStr">
        <is>
          <t>No</t>
        </is>
      </c>
      <c r="AQ1023" t="inlineStr">
        <is>
          <t>Yes</t>
        </is>
      </c>
      <c r="AR1023">
        <f>HYPERLINK("http://catalog.hathitrust.org/Record/001565087","HathiTrust Record")</f>
        <v/>
      </c>
      <c r="AS1023">
        <f>HYPERLINK("https://creighton-primo.hosted.exlibrisgroup.com/primo-explore/search?tab=default_tab&amp;search_scope=EVERYTHING&amp;vid=01CRU&amp;lang=en_US&amp;offset=0&amp;query=any,contains,991000597249702656","Catalog Record")</f>
        <v/>
      </c>
      <c r="AT1023">
        <f>HYPERLINK("http://www.worldcat.org/oclc/97389","WorldCat Record")</f>
        <v/>
      </c>
      <c r="AU1023" t="inlineStr">
        <is>
          <t>411653:eng</t>
        </is>
      </c>
      <c r="AV1023" t="inlineStr">
        <is>
          <t>97389</t>
        </is>
      </c>
      <c r="AW1023" t="inlineStr">
        <is>
          <t>991000597249702656</t>
        </is>
      </c>
      <c r="AX1023" t="inlineStr">
        <is>
          <t>991000597249702656</t>
        </is>
      </c>
      <c r="AY1023" t="inlineStr">
        <is>
          <t>2269869070002656</t>
        </is>
      </c>
      <c r="AZ1023" t="inlineStr">
        <is>
          <t>BOOK</t>
        </is>
      </c>
      <c r="BB1023" t="inlineStr">
        <is>
          <t>9780136115090</t>
        </is>
      </c>
      <c r="BC1023" t="inlineStr">
        <is>
          <t>32285000082437</t>
        </is>
      </c>
      <c r="BD1023" t="inlineStr">
        <is>
          <t>893496377</t>
        </is>
      </c>
    </row>
    <row r="1024">
      <c r="A1024" t="inlineStr">
        <is>
          <t>No</t>
        </is>
      </c>
      <c r="B1024" t="inlineStr">
        <is>
          <t>RC530 .M464 1987</t>
        </is>
      </c>
      <c r="C1024" t="inlineStr">
        <is>
          <t>0                      RC 0530000M  464         1987</t>
        </is>
      </c>
      <c r="D1024" t="inlineStr">
        <is>
          <t>The neurotic behavior of organizations / Uri Merry, George I. Brown.</t>
        </is>
      </c>
      <c r="F1024" t="inlineStr">
        <is>
          <t>No</t>
        </is>
      </c>
      <c r="G1024" t="inlineStr">
        <is>
          <t>1</t>
        </is>
      </c>
      <c r="H1024" t="inlineStr">
        <is>
          <t>No</t>
        </is>
      </c>
      <c r="I1024" t="inlineStr">
        <is>
          <t>No</t>
        </is>
      </c>
      <c r="J1024" t="inlineStr">
        <is>
          <t>0</t>
        </is>
      </c>
      <c r="K1024" t="inlineStr">
        <is>
          <t>Merry, Uri.</t>
        </is>
      </c>
      <c r="L1024" t="inlineStr">
        <is>
          <t>New York : Gestalt Institute of Cleveland Press : Published and distributed by Gardner Press, c1987.</t>
        </is>
      </c>
      <c r="M1024" t="inlineStr">
        <is>
          <t>1987</t>
        </is>
      </c>
      <c r="O1024" t="inlineStr">
        <is>
          <t>eng</t>
        </is>
      </c>
      <c r="P1024" t="inlineStr">
        <is>
          <t>nyu</t>
        </is>
      </c>
      <c r="R1024" t="inlineStr">
        <is>
          <t xml:space="preserve">RC </t>
        </is>
      </c>
      <c r="S1024" t="n">
        <v>2</v>
      </c>
      <c r="T1024" t="n">
        <v>2</v>
      </c>
      <c r="U1024" t="inlineStr">
        <is>
          <t>1995-10-01</t>
        </is>
      </c>
      <c r="V1024" t="inlineStr">
        <is>
          <t>1995-10-01</t>
        </is>
      </c>
      <c r="W1024" t="inlineStr">
        <is>
          <t>1993-03-23</t>
        </is>
      </c>
      <c r="X1024" t="inlineStr">
        <is>
          <t>1993-03-23</t>
        </is>
      </c>
      <c r="Y1024" t="n">
        <v>229</v>
      </c>
      <c r="Z1024" t="n">
        <v>173</v>
      </c>
      <c r="AA1024" t="n">
        <v>175</v>
      </c>
      <c r="AB1024" t="n">
        <v>2</v>
      </c>
      <c r="AC1024" t="n">
        <v>2</v>
      </c>
      <c r="AD1024" t="n">
        <v>10</v>
      </c>
      <c r="AE1024" t="n">
        <v>10</v>
      </c>
      <c r="AF1024" t="n">
        <v>4</v>
      </c>
      <c r="AG1024" t="n">
        <v>4</v>
      </c>
      <c r="AH1024" t="n">
        <v>3</v>
      </c>
      <c r="AI1024" t="n">
        <v>3</v>
      </c>
      <c r="AJ1024" t="n">
        <v>7</v>
      </c>
      <c r="AK1024" t="n">
        <v>7</v>
      </c>
      <c r="AL1024" t="n">
        <v>1</v>
      </c>
      <c r="AM1024" t="n">
        <v>1</v>
      </c>
      <c r="AN1024" t="n">
        <v>0</v>
      </c>
      <c r="AO1024" t="n">
        <v>0</v>
      </c>
      <c r="AP1024" t="inlineStr">
        <is>
          <t>No</t>
        </is>
      </c>
      <c r="AQ1024" t="inlineStr">
        <is>
          <t>Yes</t>
        </is>
      </c>
      <c r="AR1024">
        <f>HYPERLINK("http://catalog.hathitrust.org/Record/007551439","HathiTrust Record")</f>
        <v/>
      </c>
      <c r="AS1024">
        <f>HYPERLINK("https://creighton-primo.hosted.exlibrisgroup.com/primo-explore/search?tab=default_tab&amp;search_scope=EVERYTHING&amp;vid=01CRU&amp;lang=en_US&amp;offset=0&amp;query=any,contains,991000705189702656","Catalog Record")</f>
        <v/>
      </c>
      <c r="AT1024">
        <f>HYPERLINK("http://www.worldcat.org/oclc/12556688","WorldCat Record")</f>
        <v/>
      </c>
      <c r="AU1024" t="inlineStr">
        <is>
          <t>4923400:eng</t>
        </is>
      </c>
      <c r="AV1024" t="inlineStr">
        <is>
          <t>12556688</t>
        </is>
      </c>
      <c r="AW1024" t="inlineStr">
        <is>
          <t>991000705189702656</t>
        </is>
      </c>
      <c r="AX1024" t="inlineStr">
        <is>
          <t>991000705189702656</t>
        </is>
      </c>
      <c r="AY1024" t="inlineStr">
        <is>
          <t>2254836600002656</t>
        </is>
      </c>
      <c r="AZ1024" t="inlineStr">
        <is>
          <t>BOOK</t>
        </is>
      </c>
      <c r="BB1024" t="inlineStr">
        <is>
          <t>9780898761160</t>
        </is>
      </c>
      <c r="BC1024" t="inlineStr">
        <is>
          <t>32285001607398</t>
        </is>
      </c>
      <c r="BD1024" t="inlineStr">
        <is>
          <t>893595800</t>
        </is>
      </c>
    </row>
    <row r="1025">
      <c r="A1025" t="inlineStr">
        <is>
          <t>No</t>
        </is>
      </c>
      <c r="B1025" t="inlineStr">
        <is>
          <t>RC530 .N813</t>
        </is>
      </c>
      <c r="C1025" t="inlineStr">
        <is>
          <t>0                      RC 0530000N  813</t>
        </is>
      </c>
      <c r="D1025" t="inlineStr">
        <is>
          <t>Principles of psychoanalysis : their application to the neuroses / foreword by Sigmund Freud. Translated by Madlyn Kahr and Sidney Kahr.</t>
        </is>
      </c>
      <c r="F1025" t="inlineStr">
        <is>
          <t>No</t>
        </is>
      </c>
      <c r="G1025" t="inlineStr">
        <is>
          <t>1</t>
        </is>
      </c>
      <c r="H1025" t="inlineStr">
        <is>
          <t>No</t>
        </is>
      </c>
      <c r="I1025" t="inlineStr">
        <is>
          <t>No</t>
        </is>
      </c>
      <c r="J1025" t="inlineStr">
        <is>
          <t>0</t>
        </is>
      </c>
      <c r="K1025" t="inlineStr">
        <is>
          <t>Nunberg, Herman, 1884-1970.</t>
        </is>
      </c>
      <c r="L1025" t="inlineStr">
        <is>
          <t>New York : International Universities Press, [1955]</t>
        </is>
      </c>
      <c r="M1025" t="inlineStr">
        <is>
          <t>1955</t>
        </is>
      </c>
      <c r="O1025" t="inlineStr">
        <is>
          <t>eng</t>
        </is>
      </c>
      <c r="P1025" t="inlineStr">
        <is>
          <t>nyu</t>
        </is>
      </c>
      <c r="R1025" t="inlineStr">
        <is>
          <t xml:space="preserve">RC </t>
        </is>
      </c>
      <c r="S1025" t="n">
        <v>2</v>
      </c>
      <c r="T1025" t="n">
        <v>2</v>
      </c>
      <c r="U1025" t="inlineStr">
        <is>
          <t>1996-12-02</t>
        </is>
      </c>
      <c r="V1025" t="inlineStr">
        <is>
          <t>1996-12-02</t>
        </is>
      </c>
      <c r="W1025" t="inlineStr">
        <is>
          <t>1990-03-26</t>
        </is>
      </c>
      <c r="X1025" t="inlineStr">
        <is>
          <t>1990-03-26</t>
        </is>
      </c>
      <c r="Y1025" t="n">
        <v>439</v>
      </c>
      <c r="Z1025" t="n">
        <v>390</v>
      </c>
      <c r="AA1025" t="n">
        <v>411</v>
      </c>
      <c r="AB1025" t="n">
        <v>2</v>
      </c>
      <c r="AC1025" t="n">
        <v>2</v>
      </c>
      <c r="AD1025" t="n">
        <v>12</v>
      </c>
      <c r="AE1025" t="n">
        <v>14</v>
      </c>
      <c r="AF1025" t="n">
        <v>3</v>
      </c>
      <c r="AG1025" t="n">
        <v>4</v>
      </c>
      <c r="AH1025" t="n">
        <v>3</v>
      </c>
      <c r="AI1025" t="n">
        <v>4</v>
      </c>
      <c r="AJ1025" t="n">
        <v>8</v>
      </c>
      <c r="AK1025" t="n">
        <v>8</v>
      </c>
      <c r="AL1025" t="n">
        <v>1</v>
      </c>
      <c r="AM1025" t="n">
        <v>1</v>
      </c>
      <c r="AN1025" t="n">
        <v>0</v>
      </c>
      <c r="AO1025" t="n">
        <v>0</v>
      </c>
      <c r="AP1025" t="inlineStr">
        <is>
          <t>No</t>
        </is>
      </c>
      <c r="AQ1025" t="inlineStr">
        <is>
          <t>Yes</t>
        </is>
      </c>
      <c r="AR1025">
        <f>HYPERLINK("http://catalog.hathitrust.org/Record/001565090","HathiTrust Record")</f>
        <v/>
      </c>
      <c r="AS1025">
        <f>HYPERLINK("https://creighton-primo.hosted.exlibrisgroup.com/primo-explore/search?tab=default_tab&amp;search_scope=EVERYTHING&amp;vid=01CRU&amp;lang=en_US&amp;offset=0&amp;query=any,contains,991002836829702656","Catalog Record")</f>
        <v/>
      </c>
      <c r="AT1025">
        <f>HYPERLINK("http://www.worldcat.org/oclc/480373","WorldCat Record")</f>
        <v/>
      </c>
      <c r="AU1025" t="inlineStr">
        <is>
          <t>9355687:eng</t>
        </is>
      </c>
      <c r="AV1025" t="inlineStr">
        <is>
          <t>480373</t>
        </is>
      </c>
      <c r="AW1025" t="inlineStr">
        <is>
          <t>991002836829702656</t>
        </is>
      </c>
      <c r="AX1025" t="inlineStr">
        <is>
          <t>991002836829702656</t>
        </is>
      </c>
      <c r="AY1025" t="inlineStr">
        <is>
          <t>2268854830002656</t>
        </is>
      </c>
      <c r="AZ1025" t="inlineStr">
        <is>
          <t>BOOK</t>
        </is>
      </c>
      <c r="BC1025" t="inlineStr">
        <is>
          <t>32285000093343</t>
        </is>
      </c>
      <c r="BD1025" t="inlineStr">
        <is>
          <t>893721665</t>
        </is>
      </c>
    </row>
    <row r="1026">
      <c r="A1026" t="inlineStr">
        <is>
          <t>No</t>
        </is>
      </c>
      <c r="B1026" t="inlineStr">
        <is>
          <t>RC530 .S4 1982</t>
        </is>
      </c>
      <c r="C1026" t="inlineStr">
        <is>
          <t>0                      RC 0530000S  4           1982</t>
        </is>
      </c>
      <c r="D1026" t="inlineStr">
        <is>
          <t>The tyranny of magical thinking : the child's world of belief and adult neurosis / George Serban.</t>
        </is>
      </c>
      <c r="F1026" t="inlineStr">
        <is>
          <t>No</t>
        </is>
      </c>
      <c r="G1026" t="inlineStr">
        <is>
          <t>1</t>
        </is>
      </c>
      <c r="H1026" t="inlineStr">
        <is>
          <t>No</t>
        </is>
      </c>
      <c r="I1026" t="inlineStr">
        <is>
          <t>No</t>
        </is>
      </c>
      <c r="J1026" t="inlineStr">
        <is>
          <t>0</t>
        </is>
      </c>
      <c r="K1026" t="inlineStr">
        <is>
          <t>Serban, George, 1926-</t>
        </is>
      </c>
      <c r="L1026" t="inlineStr">
        <is>
          <t>New York : E.P. Dutton, c1982.</t>
        </is>
      </c>
      <c r="M1026" t="inlineStr">
        <is>
          <t>1982</t>
        </is>
      </c>
      <c r="N1026" t="inlineStr">
        <is>
          <t>1st ed.</t>
        </is>
      </c>
      <c r="O1026" t="inlineStr">
        <is>
          <t>eng</t>
        </is>
      </c>
      <c r="P1026" t="inlineStr">
        <is>
          <t>nyu</t>
        </is>
      </c>
      <c r="R1026" t="inlineStr">
        <is>
          <t xml:space="preserve">RC </t>
        </is>
      </c>
      <c r="S1026" t="n">
        <v>4</v>
      </c>
      <c r="T1026" t="n">
        <v>4</v>
      </c>
      <c r="U1026" t="inlineStr">
        <is>
          <t>1996-12-02</t>
        </is>
      </c>
      <c r="V1026" t="inlineStr">
        <is>
          <t>1996-12-02</t>
        </is>
      </c>
      <c r="W1026" t="inlineStr">
        <is>
          <t>1992-12-16</t>
        </is>
      </c>
      <c r="X1026" t="inlineStr">
        <is>
          <t>1992-12-16</t>
        </is>
      </c>
      <c r="Y1026" t="n">
        <v>216</v>
      </c>
      <c r="Z1026" t="n">
        <v>195</v>
      </c>
      <c r="AA1026" t="n">
        <v>201</v>
      </c>
      <c r="AB1026" t="n">
        <v>3</v>
      </c>
      <c r="AC1026" t="n">
        <v>3</v>
      </c>
      <c r="AD1026" t="n">
        <v>8</v>
      </c>
      <c r="AE1026" t="n">
        <v>8</v>
      </c>
      <c r="AF1026" t="n">
        <v>2</v>
      </c>
      <c r="AG1026" t="n">
        <v>2</v>
      </c>
      <c r="AH1026" t="n">
        <v>2</v>
      </c>
      <c r="AI1026" t="n">
        <v>2</v>
      </c>
      <c r="AJ1026" t="n">
        <v>2</v>
      </c>
      <c r="AK1026" t="n">
        <v>2</v>
      </c>
      <c r="AL1026" t="n">
        <v>2</v>
      </c>
      <c r="AM1026" t="n">
        <v>2</v>
      </c>
      <c r="AN1026" t="n">
        <v>0</v>
      </c>
      <c r="AO1026" t="n">
        <v>0</v>
      </c>
      <c r="AP1026" t="inlineStr">
        <is>
          <t>No</t>
        </is>
      </c>
      <c r="AQ1026" t="inlineStr">
        <is>
          <t>Yes</t>
        </is>
      </c>
      <c r="AR1026">
        <f>HYPERLINK("http://catalog.hathitrust.org/Record/000312171","HathiTrust Record")</f>
        <v/>
      </c>
      <c r="AS1026">
        <f>HYPERLINK("https://creighton-primo.hosted.exlibrisgroup.com/primo-explore/search?tab=default_tab&amp;search_scope=EVERYTHING&amp;vid=01CRU&amp;lang=en_US&amp;offset=0&amp;query=any,contains,991005225549702656","Catalog Record")</f>
        <v/>
      </c>
      <c r="AT1026">
        <f>HYPERLINK("http://www.worldcat.org/oclc/8281653","WorldCat Record")</f>
        <v/>
      </c>
      <c r="AU1026" t="inlineStr">
        <is>
          <t>479216923:eng</t>
        </is>
      </c>
      <c r="AV1026" t="inlineStr">
        <is>
          <t>8281653</t>
        </is>
      </c>
      <c r="AW1026" t="inlineStr">
        <is>
          <t>991005225549702656</t>
        </is>
      </c>
      <c r="AX1026" t="inlineStr">
        <is>
          <t>991005225549702656</t>
        </is>
      </c>
      <c r="AY1026" t="inlineStr">
        <is>
          <t>2266740540002656</t>
        </is>
      </c>
      <c r="AZ1026" t="inlineStr">
        <is>
          <t>BOOK</t>
        </is>
      </c>
      <c r="BC1026" t="inlineStr">
        <is>
          <t>32285001443315</t>
        </is>
      </c>
      <c r="BD1026" t="inlineStr">
        <is>
          <t>893883550</t>
        </is>
      </c>
    </row>
    <row r="1027">
      <c r="A1027" t="inlineStr">
        <is>
          <t>No</t>
        </is>
      </c>
      <c r="B1027" t="inlineStr">
        <is>
          <t>RC531 .A566 1995</t>
        </is>
      </c>
      <c r="C1027" t="inlineStr">
        <is>
          <t>0                      RC 0531000A  566         1995</t>
        </is>
      </c>
      <c r="D1027" t="inlineStr">
        <is>
          <t>Anxiety and depression in adults and children / Kenneth D. Craig, Keith S. Dobson, editors.</t>
        </is>
      </c>
      <c r="F1027" t="inlineStr">
        <is>
          <t>No</t>
        </is>
      </c>
      <c r="G1027" t="inlineStr">
        <is>
          <t>1</t>
        </is>
      </c>
      <c r="H1027" t="inlineStr">
        <is>
          <t>No</t>
        </is>
      </c>
      <c r="I1027" t="inlineStr">
        <is>
          <t>No</t>
        </is>
      </c>
      <c r="J1027" t="inlineStr">
        <is>
          <t>0</t>
        </is>
      </c>
      <c r="L1027" t="inlineStr">
        <is>
          <t>Thousand Oaks, Calif. : Sage Publications, c1995.</t>
        </is>
      </c>
      <c r="M1027" t="inlineStr">
        <is>
          <t>1995</t>
        </is>
      </c>
      <c r="O1027" t="inlineStr">
        <is>
          <t>eng</t>
        </is>
      </c>
      <c r="P1027" t="inlineStr">
        <is>
          <t>cau</t>
        </is>
      </c>
      <c r="Q1027" t="inlineStr">
        <is>
          <t>Banff international behavioral science series</t>
        </is>
      </c>
      <c r="R1027" t="inlineStr">
        <is>
          <t xml:space="preserve">RC </t>
        </is>
      </c>
      <c r="S1027" t="n">
        <v>47</v>
      </c>
      <c r="T1027" t="n">
        <v>47</v>
      </c>
      <c r="U1027" t="inlineStr">
        <is>
          <t>2008-01-14</t>
        </is>
      </c>
      <c r="V1027" t="inlineStr">
        <is>
          <t>2008-01-14</t>
        </is>
      </c>
      <c r="W1027" t="inlineStr">
        <is>
          <t>1995-04-05</t>
        </is>
      </c>
      <c r="X1027" t="inlineStr">
        <is>
          <t>1995-04-05</t>
        </is>
      </c>
      <c r="Y1027" t="n">
        <v>326</v>
      </c>
      <c r="Z1027" t="n">
        <v>214</v>
      </c>
      <c r="AA1027" t="n">
        <v>217</v>
      </c>
      <c r="AB1027" t="n">
        <v>2</v>
      </c>
      <c r="AC1027" t="n">
        <v>2</v>
      </c>
      <c r="AD1027" t="n">
        <v>12</v>
      </c>
      <c r="AE1027" t="n">
        <v>12</v>
      </c>
      <c r="AF1027" t="n">
        <v>4</v>
      </c>
      <c r="AG1027" t="n">
        <v>4</v>
      </c>
      <c r="AH1027" t="n">
        <v>3</v>
      </c>
      <c r="AI1027" t="n">
        <v>3</v>
      </c>
      <c r="AJ1027" t="n">
        <v>6</v>
      </c>
      <c r="AK1027" t="n">
        <v>6</v>
      </c>
      <c r="AL1027" t="n">
        <v>1</v>
      </c>
      <c r="AM1027" t="n">
        <v>1</v>
      </c>
      <c r="AN1027" t="n">
        <v>0</v>
      </c>
      <c r="AO1027" t="n">
        <v>0</v>
      </c>
      <c r="AP1027" t="inlineStr">
        <is>
          <t>No</t>
        </is>
      </c>
      <c r="AQ1027" t="inlineStr">
        <is>
          <t>Yes</t>
        </is>
      </c>
      <c r="AR1027">
        <f>HYPERLINK("http://catalog.hathitrust.org/Record/002977290","HathiTrust Record")</f>
        <v/>
      </c>
      <c r="AS1027">
        <f>HYPERLINK("https://creighton-primo.hosted.exlibrisgroup.com/primo-explore/search?tab=default_tab&amp;search_scope=EVERYTHING&amp;vid=01CRU&amp;lang=en_US&amp;offset=0&amp;query=any,contains,991002414499702656","Catalog Record")</f>
        <v/>
      </c>
      <c r="AT1027">
        <f>HYPERLINK("http://www.worldcat.org/oclc/31434046","WorldCat Record")</f>
        <v/>
      </c>
      <c r="AU1027" t="inlineStr">
        <is>
          <t>353260340:eng</t>
        </is>
      </c>
      <c r="AV1027" t="inlineStr">
        <is>
          <t>31434046</t>
        </is>
      </c>
      <c r="AW1027" t="inlineStr">
        <is>
          <t>991002414499702656</t>
        </is>
      </c>
      <c r="AX1027" t="inlineStr">
        <is>
          <t>991002414499702656</t>
        </is>
      </c>
      <c r="AY1027" t="inlineStr">
        <is>
          <t>2263678650002656</t>
        </is>
      </c>
      <c r="AZ1027" t="inlineStr">
        <is>
          <t>BOOK</t>
        </is>
      </c>
      <c r="BB1027" t="inlineStr">
        <is>
          <t>9780803970205</t>
        </is>
      </c>
      <c r="BC1027" t="inlineStr">
        <is>
          <t>32285002016474</t>
        </is>
      </c>
      <c r="BD1027" t="inlineStr">
        <is>
          <t>893498087</t>
        </is>
      </c>
    </row>
    <row r="1028">
      <c r="A1028" t="inlineStr">
        <is>
          <t>No</t>
        </is>
      </c>
      <c r="B1028" t="inlineStr">
        <is>
          <t>RC531 .A576 1987</t>
        </is>
      </c>
      <c r="C1028" t="inlineStr">
        <is>
          <t>0                      RC 0531000A  576         1987</t>
        </is>
      </c>
      <c r="D1028" t="inlineStr">
        <is>
          <t>Anxiety and stress disorders : cognitive-behavioral assessment and treatment / edited by Larry Michelson, L. Michael Ascher.</t>
        </is>
      </c>
      <c r="F1028" t="inlineStr">
        <is>
          <t>No</t>
        </is>
      </c>
      <c r="G1028" t="inlineStr">
        <is>
          <t>1</t>
        </is>
      </c>
      <c r="H1028" t="inlineStr">
        <is>
          <t>No</t>
        </is>
      </c>
      <c r="I1028" t="inlineStr">
        <is>
          <t>No</t>
        </is>
      </c>
      <c r="J1028" t="inlineStr">
        <is>
          <t>0</t>
        </is>
      </c>
      <c r="L1028" t="inlineStr">
        <is>
          <t>New York : Guilford Press, c1987.</t>
        </is>
      </c>
      <c r="M1028" t="inlineStr">
        <is>
          <t>1987</t>
        </is>
      </c>
      <c r="O1028" t="inlineStr">
        <is>
          <t>eng</t>
        </is>
      </c>
      <c r="P1028" t="inlineStr">
        <is>
          <t>nyu</t>
        </is>
      </c>
      <c r="R1028" t="inlineStr">
        <is>
          <t xml:space="preserve">RC </t>
        </is>
      </c>
      <c r="S1028" t="n">
        <v>48</v>
      </c>
      <c r="T1028" t="n">
        <v>48</v>
      </c>
      <c r="U1028" t="inlineStr">
        <is>
          <t>2007-05-25</t>
        </is>
      </c>
      <c r="V1028" t="inlineStr">
        <is>
          <t>2007-05-25</t>
        </is>
      </c>
      <c r="W1028" t="inlineStr">
        <is>
          <t>1992-02-20</t>
        </is>
      </c>
      <c r="X1028" t="inlineStr">
        <is>
          <t>1992-02-20</t>
        </is>
      </c>
      <c r="Y1028" t="n">
        <v>478</v>
      </c>
      <c r="Z1028" t="n">
        <v>376</v>
      </c>
      <c r="AA1028" t="n">
        <v>377</v>
      </c>
      <c r="AB1028" t="n">
        <v>2</v>
      </c>
      <c r="AC1028" t="n">
        <v>2</v>
      </c>
      <c r="AD1028" t="n">
        <v>17</v>
      </c>
      <c r="AE1028" t="n">
        <v>17</v>
      </c>
      <c r="AF1028" t="n">
        <v>9</v>
      </c>
      <c r="AG1028" t="n">
        <v>9</v>
      </c>
      <c r="AH1028" t="n">
        <v>5</v>
      </c>
      <c r="AI1028" t="n">
        <v>5</v>
      </c>
      <c r="AJ1028" t="n">
        <v>8</v>
      </c>
      <c r="AK1028" t="n">
        <v>8</v>
      </c>
      <c r="AL1028" t="n">
        <v>1</v>
      </c>
      <c r="AM1028" t="n">
        <v>1</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HYPERLINK("https://creighton-primo.hosted.exlibrisgroup.com/primo-explore/search?tab=default_tab&amp;search_scope=EVERYTHING&amp;vid=01CRU&amp;lang=en_US&amp;offset=0&amp;query=any,contains,991000969929702656","Catalog Record")</f>
        <v/>
      </c>
      <c r="AT1028">
        <f>HYPERLINK("http://www.worldcat.org/oclc/14933042","WorldCat Record")</f>
        <v/>
      </c>
      <c r="AU1028" t="inlineStr">
        <is>
          <t>353262738:eng</t>
        </is>
      </c>
      <c r="AV1028" t="inlineStr">
        <is>
          <t>14933042</t>
        </is>
      </c>
      <c r="AW1028" t="inlineStr">
        <is>
          <t>991000969929702656</t>
        </is>
      </c>
      <c r="AX1028" t="inlineStr">
        <is>
          <t>991000969929702656</t>
        </is>
      </c>
      <c r="AY1028" t="inlineStr">
        <is>
          <t>2260896580002656</t>
        </is>
      </c>
      <c r="AZ1028" t="inlineStr">
        <is>
          <t>BOOK</t>
        </is>
      </c>
      <c r="BB1028" t="inlineStr">
        <is>
          <t>9780898626933</t>
        </is>
      </c>
      <c r="BC1028" t="inlineStr">
        <is>
          <t>32285000972009</t>
        </is>
      </c>
      <c r="BD1028" t="inlineStr">
        <is>
          <t>893237773</t>
        </is>
      </c>
    </row>
    <row r="1029">
      <c r="A1029" t="inlineStr">
        <is>
          <t>No</t>
        </is>
      </c>
      <c r="B1029" t="inlineStr">
        <is>
          <t>RC531 .A6125 1994</t>
        </is>
      </c>
      <c r="C1029" t="inlineStr">
        <is>
          <t>0                      RC 0531000A  6125        1994</t>
        </is>
      </c>
      <c r="D1029" t="inlineStr">
        <is>
          <t>Anxiety disorders in African Americans / Steven Friedman, editor.</t>
        </is>
      </c>
      <c r="F1029" t="inlineStr">
        <is>
          <t>No</t>
        </is>
      </c>
      <c r="G1029" t="inlineStr">
        <is>
          <t>1</t>
        </is>
      </c>
      <c r="H1029" t="inlineStr">
        <is>
          <t>No</t>
        </is>
      </c>
      <c r="I1029" t="inlineStr">
        <is>
          <t>No</t>
        </is>
      </c>
      <c r="J1029" t="inlineStr">
        <is>
          <t>0</t>
        </is>
      </c>
      <c r="L1029" t="inlineStr">
        <is>
          <t>New York : Springer Pub. Co., c1994.</t>
        </is>
      </c>
      <c r="M1029" t="inlineStr">
        <is>
          <t>1994</t>
        </is>
      </c>
      <c r="O1029" t="inlineStr">
        <is>
          <t>eng</t>
        </is>
      </c>
      <c r="P1029" t="inlineStr">
        <is>
          <t>nyu</t>
        </is>
      </c>
      <c r="R1029" t="inlineStr">
        <is>
          <t xml:space="preserve">RC </t>
        </is>
      </c>
      <c r="S1029" t="n">
        <v>13</v>
      </c>
      <c r="T1029" t="n">
        <v>13</v>
      </c>
      <c r="U1029" t="inlineStr">
        <is>
          <t>2000-02-24</t>
        </is>
      </c>
      <c r="V1029" t="inlineStr">
        <is>
          <t>2000-02-24</t>
        </is>
      </c>
      <c r="W1029" t="inlineStr">
        <is>
          <t>1996-06-18</t>
        </is>
      </c>
      <c r="X1029" t="inlineStr">
        <is>
          <t>1996-06-18</t>
        </is>
      </c>
      <c r="Y1029" t="n">
        <v>209</v>
      </c>
      <c r="Z1029" t="n">
        <v>199</v>
      </c>
      <c r="AA1029" t="n">
        <v>201</v>
      </c>
      <c r="AB1029" t="n">
        <v>2</v>
      </c>
      <c r="AC1029" t="n">
        <v>2</v>
      </c>
      <c r="AD1029" t="n">
        <v>9</v>
      </c>
      <c r="AE1029" t="n">
        <v>9</v>
      </c>
      <c r="AF1029" t="n">
        <v>1</v>
      </c>
      <c r="AG1029" t="n">
        <v>1</v>
      </c>
      <c r="AH1029" t="n">
        <v>3</v>
      </c>
      <c r="AI1029" t="n">
        <v>3</v>
      </c>
      <c r="AJ1029" t="n">
        <v>6</v>
      </c>
      <c r="AK1029" t="n">
        <v>6</v>
      </c>
      <c r="AL1029" t="n">
        <v>1</v>
      </c>
      <c r="AM1029" t="n">
        <v>1</v>
      </c>
      <c r="AN1029" t="n">
        <v>0</v>
      </c>
      <c r="AO1029" t="n">
        <v>0</v>
      </c>
      <c r="AP1029" t="inlineStr">
        <is>
          <t>No</t>
        </is>
      </c>
      <c r="AQ1029" t="inlineStr">
        <is>
          <t>Yes</t>
        </is>
      </c>
      <c r="AR1029">
        <f>HYPERLINK("http://catalog.hathitrust.org/Record/002905709","HathiTrust Record")</f>
        <v/>
      </c>
      <c r="AS1029">
        <f>HYPERLINK("https://creighton-primo.hosted.exlibrisgroup.com/primo-explore/search?tab=default_tab&amp;search_scope=EVERYTHING&amp;vid=01CRU&amp;lang=en_US&amp;offset=0&amp;query=any,contains,991002349169702656","Catalog Record")</f>
        <v/>
      </c>
      <c r="AT1029">
        <f>HYPERLINK("http://www.worldcat.org/oclc/30593987","WorldCat Record")</f>
        <v/>
      </c>
      <c r="AU1029" t="inlineStr">
        <is>
          <t>968112:eng</t>
        </is>
      </c>
      <c r="AV1029" t="inlineStr">
        <is>
          <t>30593987</t>
        </is>
      </c>
      <c r="AW1029" t="inlineStr">
        <is>
          <t>991002349169702656</t>
        </is>
      </c>
      <c r="AX1029" t="inlineStr">
        <is>
          <t>991002349169702656</t>
        </is>
      </c>
      <c r="AY1029" t="inlineStr">
        <is>
          <t>2260726190002656</t>
        </is>
      </c>
      <c r="AZ1029" t="inlineStr">
        <is>
          <t>BOOK</t>
        </is>
      </c>
      <c r="BB1029" t="inlineStr">
        <is>
          <t>9780826185402</t>
        </is>
      </c>
      <c r="BC1029" t="inlineStr">
        <is>
          <t>32285002194305</t>
        </is>
      </c>
      <c r="BD1029" t="inlineStr">
        <is>
          <t>893697670</t>
        </is>
      </c>
    </row>
    <row r="1030">
      <c r="A1030" t="inlineStr">
        <is>
          <t>No</t>
        </is>
      </c>
      <c r="B1030" t="inlineStr">
        <is>
          <t>RC531 .B473 1993</t>
        </is>
      </c>
      <c r="C1030" t="inlineStr">
        <is>
          <t>0                      RC 0531000B  473         1993</t>
        </is>
      </c>
      <c r="D1030" t="inlineStr">
        <is>
          <t>Biology of anxiety disorders / edited by Rudolf Hoehn-Saric, Daniel R. McLeod.</t>
        </is>
      </c>
      <c r="F1030" t="inlineStr">
        <is>
          <t>No</t>
        </is>
      </c>
      <c r="G1030" t="inlineStr">
        <is>
          <t>1</t>
        </is>
      </c>
      <c r="H1030" t="inlineStr">
        <is>
          <t>No</t>
        </is>
      </c>
      <c r="I1030" t="inlineStr">
        <is>
          <t>No</t>
        </is>
      </c>
      <c r="J1030" t="inlineStr">
        <is>
          <t>0</t>
        </is>
      </c>
      <c r="L1030" t="inlineStr">
        <is>
          <t>Washington, DC : American Psychiatric Press, c1993.</t>
        </is>
      </c>
      <c r="M1030" t="inlineStr">
        <is>
          <t>1993</t>
        </is>
      </c>
      <c r="N1030" t="inlineStr">
        <is>
          <t>1st ed.</t>
        </is>
      </c>
      <c r="O1030" t="inlineStr">
        <is>
          <t>eng</t>
        </is>
      </c>
      <c r="P1030" t="inlineStr">
        <is>
          <t>dcu</t>
        </is>
      </c>
      <c r="Q1030" t="inlineStr">
        <is>
          <t>Progress in psychiatry ; no. 36</t>
        </is>
      </c>
      <c r="R1030" t="inlineStr">
        <is>
          <t xml:space="preserve">RC </t>
        </is>
      </c>
      <c r="S1030" t="n">
        <v>18</v>
      </c>
      <c r="T1030" t="n">
        <v>18</v>
      </c>
      <c r="U1030" t="inlineStr">
        <is>
          <t>2007-10-17</t>
        </is>
      </c>
      <c r="V1030" t="inlineStr">
        <is>
          <t>2007-10-17</t>
        </is>
      </c>
      <c r="W1030" t="inlineStr">
        <is>
          <t>1996-06-13</t>
        </is>
      </c>
      <c r="X1030" t="inlineStr">
        <is>
          <t>1996-06-13</t>
        </is>
      </c>
      <c r="Y1030" t="n">
        <v>173</v>
      </c>
      <c r="Z1030" t="n">
        <v>136</v>
      </c>
      <c r="AA1030" t="n">
        <v>138</v>
      </c>
      <c r="AB1030" t="n">
        <v>2</v>
      </c>
      <c r="AC1030" t="n">
        <v>2</v>
      </c>
      <c r="AD1030" t="n">
        <v>6</v>
      </c>
      <c r="AE1030" t="n">
        <v>6</v>
      </c>
      <c r="AF1030" t="n">
        <v>2</v>
      </c>
      <c r="AG1030" t="n">
        <v>2</v>
      </c>
      <c r="AH1030" t="n">
        <v>1</v>
      </c>
      <c r="AI1030" t="n">
        <v>1</v>
      </c>
      <c r="AJ1030" t="n">
        <v>4</v>
      </c>
      <c r="AK1030" t="n">
        <v>4</v>
      </c>
      <c r="AL1030" t="n">
        <v>1</v>
      </c>
      <c r="AM1030" t="n">
        <v>1</v>
      </c>
      <c r="AN1030" t="n">
        <v>0</v>
      </c>
      <c r="AO1030" t="n">
        <v>0</v>
      </c>
      <c r="AP1030" t="inlineStr">
        <is>
          <t>No</t>
        </is>
      </c>
      <c r="AQ1030" t="inlineStr">
        <is>
          <t>Yes</t>
        </is>
      </c>
      <c r="AR1030">
        <f>HYPERLINK("http://catalog.hathitrust.org/Record/002615450","HathiTrust Record")</f>
        <v/>
      </c>
      <c r="AS1030">
        <f>HYPERLINK("https://creighton-primo.hosted.exlibrisgroup.com/primo-explore/search?tab=default_tab&amp;search_scope=EVERYTHING&amp;vid=01CRU&amp;lang=en_US&amp;offset=0&amp;query=any,contains,991002032899702656","Catalog Record")</f>
        <v/>
      </c>
      <c r="AT1030">
        <f>HYPERLINK("http://www.worldcat.org/oclc/25874391","WorldCat Record")</f>
        <v/>
      </c>
      <c r="AU1030" t="inlineStr">
        <is>
          <t>3857366913:eng</t>
        </is>
      </c>
      <c r="AV1030" t="inlineStr">
        <is>
          <t>25874391</t>
        </is>
      </c>
      <c r="AW1030" t="inlineStr">
        <is>
          <t>991002032899702656</t>
        </is>
      </c>
      <c r="AX1030" t="inlineStr">
        <is>
          <t>991002032899702656</t>
        </is>
      </c>
      <c r="AY1030" t="inlineStr">
        <is>
          <t>2267622130002656</t>
        </is>
      </c>
      <c r="AZ1030" t="inlineStr">
        <is>
          <t>BOOK</t>
        </is>
      </c>
      <c r="BB1030" t="inlineStr">
        <is>
          <t>9780880484763</t>
        </is>
      </c>
      <c r="BC1030" t="inlineStr">
        <is>
          <t>32285002192622</t>
        </is>
      </c>
      <c r="BD1030" t="inlineStr">
        <is>
          <t>893621838</t>
        </is>
      </c>
    </row>
    <row r="1031">
      <c r="A1031" t="inlineStr">
        <is>
          <t>No</t>
        </is>
      </c>
      <c r="B1031" t="inlineStr">
        <is>
          <t>RC531 .G65</t>
        </is>
      </c>
      <c r="C1031" t="inlineStr">
        <is>
          <t>0                      RC 0531000G  65</t>
        </is>
      </c>
      <c r="D1031" t="inlineStr">
        <is>
          <t>The experience of anxiety : a casebook / [by] Michael J. Goldstein [and] James O. Palmer.</t>
        </is>
      </c>
      <c r="F1031" t="inlineStr">
        <is>
          <t>No</t>
        </is>
      </c>
      <c r="G1031" t="inlineStr">
        <is>
          <t>1</t>
        </is>
      </c>
      <c r="H1031" t="inlineStr">
        <is>
          <t>No</t>
        </is>
      </c>
      <c r="I1031" t="inlineStr">
        <is>
          <t>No</t>
        </is>
      </c>
      <c r="J1031" t="inlineStr">
        <is>
          <t>0</t>
        </is>
      </c>
      <c r="K1031" t="inlineStr">
        <is>
          <t>Goldstein, Michael J. (Michael Joseph), 1930-</t>
        </is>
      </c>
      <c r="L1031" t="inlineStr">
        <is>
          <t>New York : Oxford University Press, 1963.</t>
        </is>
      </c>
      <c r="M1031" t="inlineStr">
        <is>
          <t>1963</t>
        </is>
      </c>
      <c r="O1031" t="inlineStr">
        <is>
          <t>eng</t>
        </is>
      </c>
      <c r="P1031" t="inlineStr">
        <is>
          <t>nyu</t>
        </is>
      </c>
      <c r="R1031" t="inlineStr">
        <is>
          <t xml:space="preserve">RC </t>
        </is>
      </c>
      <c r="S1031" t="n">
        <v>2</v>
      </c>
      <c r="T1031" t="n">
        <v>2</v>
      </c>
      <c r="U1031" t="inlineStr">
        <is>
          <t>2005-03-15</t>
        </is>
      </c>
      <c r="V1031" t="inlineStr">
        <is>
          <t>2005-03-15</t>
        </is>
      </c>
      <c r="W1031" t="inlineStr">
        <is>
          <t>1990-03-08</t>
        </is>
      </c>
      <c r="X1031" t="inlineStr">
        <is>
          <t>1990-03-08</t>
        </is>
      </c>
      <c r="Y1031" t="n">
        <v>537</v>
      </c>
      <c r="Z1031" t="n">
        <v>464</v>
      </c>
      <c r="AA1031" t="n">
        <v>611</v>
      </c>
      <c r="AB1031" t="n">
        <v>4</v>
      </c>
      <c r="AC1031" t="n">
        <v>4</v>
      </c>
      <c r="AD1031" t="n">
        <v>17</v>
      </c>
      <c r="AE1031" t="n">
        <v>21</v>
      </c>
      <c r="AF1031" t="n">
        <v>8</v>
      </c>
      <c r="AG1031" t="n">
        <v>10</v>
      </c>
      <c r="AH1031" t="n">
        <v>3</v>
      </c>
      <c r="AI1031" t="n">
        <v>3</v>
      </c>
      <c r="AJ1031" t="n">
        <v>8</v>
      </c>
      <c r="AK1031" t="n">
        <v>11</v>
      </c>
      <c r="AL1031" t="n">
        <v>3</v>
      </c>
      <c r="AM1031" t="n">
        <v>3</v>
      </c>
      <c r="AN1031" t="n">
        <v>0</v>
      </c>
      <c r="AO1031" t="n">
        <v>0</v>
      </c>
      <c r="AP1031" t="inlineStr">
        <is>
          <t>No</t>
        </is>
      </c>
      <c r="AQ1031" t="inlineStr">
        <is>
          <t>Yes</t>
        </is>
      </c>
      <c r="AR1031">
        <f>HYPERLINK("http://catalog.hathitrust.org/Record/001578168","HathiTrust Record")</f>
        <v/>
      </c>
      <c r="AS1031">
        <f>HYPERLINK("https://creighton-primo.hosted.exlibrisgroup.com/primo-explore/search?tab=default_tab&amp;search_scope=EVERYTHING&amp;vid=01CRU&amp;lang=en_US&amp;offset=0&amp;query=any,contains,991002955529702656","Catalog Record")</f>
        <v/>
      </c>
      <c r="AT1031">
        <f>HYPERLINK("http://www.worldcat.org/oclc/541877","WorldCat Record")</f>
        <v/>
      </c>
      <c r="AU1031" t="inlineStr">
        <is>
          <t>414850:eng</t>
        </is>
      </c>
      <c r="AV1031" t="inlineStr">
        <is>
          <t>541877</t>
        </is>
      </c>
      <c r="AW1031" t="inlineStr">
        <is>
          <t>991002955529702656</t>
        </is>
      </c>
      <c r="AX1031" t="inlineStr">
        <is>
          <t>991002955529702656</t>
        </is>
      </c>
      <c r="AY1031" t="inlineStr">
        <is>
          <t>2268244750002656</t>
        </is>
      </c>
      <c r="AZ1031" t="inlineStr">
        <is>
          <t>BOOK</t>
        </is>
      </c>
      <c r="BC1031" t="inlineStr">
        <is>
          <t>32285000081157</t>
        </is>
      </c>
      <c r="BD1031" t="inlineStr">
        <is>
          <t>893899452</t>
        </is>
      </c>
    </row>
    <row r="1032">
      <c r="A1032" t="inlineStr">
        <is>
          <t>No</t>
        </is>
      </c>
      <c r="B1032" t="inlineStr">
        <is>
          <t>RC531 .K44</t>
        </is>
      </c>
      <c r="C1032" t="inlineStr">
        <is>
          <t>0                      RC 0531000K  44</t>
        </is>
      </c>
      <c r="D1032" t="inlineStr">
        <is>
          <t>Anxiety and emotions : physiological basis and treatment / by Desmond Kelly ; foreword by W. Horsley Gantt.</t>
        </is>
      </c>
      <c r="F1032" t="inlineStr">
        <is>
          <t>No</t>
        </is>
      </c>
      <c r="G1032" t="inlineStr">
        <is>
          <t>1</t>
        </is>
      </c>
      <c r="H1032" t="inlineStr">
        <is>
          <t>No</t>
        </is>
      </c>
      <c r="I1032" t="inlineStr">
        <is>
          <t>No</t>
        </is>
      </c>
      <c r="J1032" t="inlineStr">
        <is>
          <t>0</t>
        </is>
      </c>
      <c r="K1032" t="inlineStr">
        <is>
          <t>Kelly, Desmond.</t>
        </is>
      </c>
      <c r="L1032" t="inlineStr">
        <is>
          <t>Springfield, Ill. : Thomas, c1980.</t>
        </is>
      </c>
      <c r="M1032" t="inlineStr">
        <is>
          <t>1979</t>
        </is>
      </c>
      <c r="O1032" t="inlineStr">
        <is>
          <t>eng</t>
        </is>
      </c>
      <c r="P1032" t="inlineStr">
        <is>
          <t>ilu</t>
        </is>
      </c>
      <c r="Q1032" t="inlineStr">
        <is>
          <t>American lecture series ; no. 1026</t>
        </is>
      </c>
      <c r="R1032" t="inlineStr">
        <is>
          <t xml:space="preserve">RC </t>
        </is>
      </c>
      <c r="S1032" t="n">
        <v>15</v>
      </c>
      <c r="T1032" t="n">
        <v>15</v>
      </c>
      <c r="U1032" t="inlineStr">
        <is>
          <t>2007-10-12</t>
        </is>
      </c>
      <c r="V1032" t="inlineStr">
        <is>
          <t>2007-10-12</t>
        </is>
      </c>
      <c r="W1032" t="inlineStr">
        <is>
          <t>1990-02-28</t>
        </is>
      </c>
      <c r="X1032" t="inlineStr">
        <is>
          <t>1990-02-28</t>
        </is>
      </c>
      <c r="Y1032" t="n">
        <v>252</v>
      </c>
      <c r="Z1032" t="n">
        <v>205</v>
      </c>
      <c r="AA1032" t="n">
        <v>215</v>
      </c>
      <c r="AB1032" t="n">
        <v>2</v>
      </c>
      <c r="AC1032" t="n">
        <v>2</v>
      </c>
      <c r="AD1032" t="n">
        <v>6</v>
      </c>
      <c r="AE1032" t="n">
        <v>6</v>
      </c>
      <c r="AF1032" t="n">
        <v>2</v>
      </c>
      <c r="AG1032" t="n">
        <v>2</v>
      </c>
      <c r="AH1032" t="n">
        <v>1</v>
      </c>
      <c r="AI1032" t="n">
        <v>1</v>
      </c>
      <c r="AJ1032" t="n">
        <v>3</v>
      </c>
      <c r="AK1032" t="n">
        <v>3</v>
      </c>
      <c r="AL1032" t="n">
        <v>1</v>
      </c>
      <c r="AM1032" t="n">
        <v>1</v>
      </c>
      <c r="AN1032" t="n">
        <v>0</v>
      </c>
      <c r="AO1032" t="n">
        <v>0</v>
      </c>
      <c r="AP1032" t="inlineStr">
        <is>
          <t>No</t>
        </is>
      </c>
      <c r="AQ1032" t="inlineStr">
        <is>
          <t>No</t>
        </is>
      </c>
      <c r="AS1032">
        <f>HYPERLINK("https://creighton-primo.hosted.exlibrisgroup.com/primo-explore/search?tab=default_tab&amp;search_scope=EVERYTHING&amp;vid=01CRU&amp;lang=en_US&amp;offset=0&amp;query=any,contains,991004693779702656","Catalog Record")</f>
        <v/>
      </c>
      <c r="AT1032">
        <f>HYPERLINK("http://www.worldcat.org/oclc/4638129","WorldCat Record")</f>
        <v/>
      </c>
      <c r="AU1032" t="inlineStr">
        <is>
          <t>374706185:eng</t>
        </is>
      </c>
      <c r="AV1032" t="inlineStr">
        <is>
          <t>4638129</t>
        </is>
      </c>
      <c r="AW1032" t="inlineStr">
        <is>
          <t>991004693779702656</t>
        </is>
      </c>
      <c r="AX1032" t="inlineStr">
        <is>
          <t>991004693779702656</t>
        </is>
      </c>
      <c r="AY1032" t="inlineStr">
        <is>
          <t>2256108950002656</t>
        </is>
      </c>
      <c r="AZ1032" t="inlineStr">
        <is>
          <t>BOOK</t>
        </is>
      </c>
      <c r="BB1032" t="inlineStr">
        <is>
          <t>9780398038939</t>
        </is>
      </c>
      <c r="BC1032" t="inlineStr">
        <is>
          <t>32285000072453</t>
        </is>
      </c>
      <c r="BD1032" t="inlineStr">
        <is>
          <t>893688032</t>
        </is>
      </c>
    </row>
    <row r="1033">
      <c r="A1033" t="inlineStr">
        <is>
          <t>No</t>
        </is>
      </c>
      <c r="B1033" t="inlineStr">
        <is>
          <t>RC531 .P192 1989</t>
        </is>
      </c>
      <c r="C1033" t="inlineStr">
        <is>
          <t>0                      RC 0531000P  192         1989</t>
        </is>
      </c>
      <c r="D1033" t="inlineStr">
        <is>
          <t>Panic disorder : theory, research, and therapy / edited by Roger Baker.</t>
        </is>
      </c>
      <c r="F1033" t="inlineStr">
        <is>
          <t>No</t>
        </is>
      </c>
      <c r="G1033" t="inlineStr">
        <is>
          <t>1</t>
        </is>
      </c>
      <c r="H1033" t="inlineStr">
        <is>
          <t>No</t>
        </is>
      </c>
      <c r="I1033" t="inlineStr">
        <is>
          <t>No</t>
        </is>
      </c>
      <c r="J1033" t="inlineStr">
        <is>
          <t>0</t>
        </is>
      </c>
      <c r="L1033" t="inlineStr">
        <is>
          <t>Chichester ; New York : Wiley, c1989.</t>
        </is>
      </c>
      <c r="M1033" t="inlineStr">
        <is>
          <t>1989</t>
        </is>
      </c>
      <c r="O1033" t="inlineStr">
        <is>
          <t>eng</t>
        </is>
      </c>
      <c r="P1033" t="inlineStr">
        <is>
          <t>enk</t>
        </is>
      </c>
      <c r="Q1033" t="inlineStr">
        <is>
          <t>The Wiley series in clinical psychology</t>
        </is>
      </c>
      <c r="R1033" t="inlineStr">
        <is>
          <t xml:space="preserve">RC </t>
        </is>
      </c>
      <c r="S1033" t="n">
        <v>33</v>
      </c>
      <c r="T1033" t="n">
        <v>33</v>
      </c>
      <c r="U1033" t="inlineStr">
        <is>
          <t>2001-09-12</t>
        </is>
      </c>
      <c r="V1033" t="inlineStr">
        <is>
          <t>2001-09-12</t>
        </is>
      </c>
      <c r="W1033" t="inlineStr">
        <is>
          <t>1992-06-03</t>
        </is>
      </c>
      <c r="X1033" t="inlineStr">
        <is>
          <t>1992-06-03</t>
        </is>
      </c>
      <c r="Y1033" t="n">
        <v>367</v>
      </c>
      <c r="Z1033" t="n">
        <v>240</v>
      </c>
      <c r="AA1033" t="n">
        <v>248</v>
      </c>
      <c r="AB1033" t="n">
        <v>1</v>
      </c>
      <c r="AC1033" t="n">
        <v>1</v>
      </c>
      <c r="AD1033" t="n">
        <v>10</v>
      </c>
      <c r="AE1033" t="n">
        <v>10</v>
      </c>
      <c r="AF1033" t="n">
        <v>2</v>
      </c>
      <c r="AG1033" t="n">
        <v>2</v>
      </c>
      <c r="AH1033" t="n">
        <v>3</v>
      </c>
      <c r="AI1033" t="n">
        <v>3</v>
      </c>
      <c r="AJ1033" t="n">
        <v>8</v>
      </c>
      <c r="AK1033" t="n">
        <v>8</v>
      </c>
      <c r="AL1033" t="n">
        <v>0</v>
      </c>
      <c r="AM1033" t="n">
        <v>0</v>
      </c>
      <c r="AN1033" t="n">
        <v>0</v>
      </c>
      <c r="AO1033" t="n">
        <v>0</v>
      </c>
      <c r="AP1033" t="inlineStr">
        <is>
          <t>No</t>
        </is>
      </c>
      <c r="AQ1033" t="inlineStr">
        <is>
          <t>Yes</t>
        </is>
      </c>
      <c r="AR1033">
        <f>HYPERLINK("http://catalog.hathitrust.org/Record/001828240","HathiTrust Record")</f>
        <v/>
      </c>
      <c r="AS1033">
        <f>HYPERLINK("https://creighton-primo.hosted.exlibrisgroup.com/primo-explore/search?tab=default_tab&amp;search_scope=EVERYTHING&amp;vid=01CRU&amp;lang=en_US&amp;offset=0&amp;query=any,contains,991001721819702656","Catalog Record")</f>
        <v/>
      </c>
      <c r="AT1033">
        <f>HYPERLINK("http://www.worldcat.org/oclc/21765395","WorldCat Record")</f>
        <v/>
      </c>
      <c r="AU1033" t="inlineStr">
        <is>
          <t>836709356:eng</t>
        </is>
      </c>
      <c r="AV1033" t="inlineStr">
        <is>
          <t>21765395</t>
        </is>
      </c>
      <c r="AW1033" t="inlineStr">
        <is>
          <t>991001721819702656</t>
        </is>
      </c>
      <c r="AX1033" t="inlineStr">
        <is>
          <t>991001721819702656</t>
        </is>
      </c>
      <c r="AY1033" t="inlineStr">
        <is>
          <t>2263685710002656</t>
        </is>
      </c>
      <c r="AZ1033" t="inlineStr">
        <is>
          <t>BOOK</t>
        </is>
      </c>
      <c r="BB1033" t="inlineStr">
        <is>
          <t>9780471923190</t>
        </is>
      </c>
      <c r="BC1033" t="inlineStr">
        <is>
          <t>32285001126712</t>
        </is>
      </c>
      <c r="BD1033" t="inlineStr">
        <is>
          <t>893903544</t>
        </is>
      </c>
    </row>
    <row r="1034">
      <c r="A1034" t="inlineStr">
        <is>
          <t>No</t>
        </is>
      </c>
      <c r="B1034" t="inlineStr">
        <is>
          <t>RC531 .W64 2005</t>
        </is>
      </c>
      <c r="C1034" t="inlineStr">
        <is>
          <t>0                      RC 0531000W  64          2005</t>
        </is>
      </c>
      <c r="D1034" t="inlineStr">
        <is>
          <t>Understanding and treating anxiety disorders : an integrative approach to healing the wounded self / Barry E. Wolfe.</t>
        </is>
      </c>
      <c r="F1034" t="inlineStr">
        <is>
          <t>No</t>
        </is>
      </c>
      <c r="G1034" t="inlineStr">
        <is>
          <t>1</t>
        </is>
      </c>
      <c r="H1034" t="inlineStr">
        <is>
          <t>No</t>
        </is>
      </c>
      <c r="I1034" t="inlineStr">
        <is>
          <t>No</t>
        </is>
      </c>
      <c r="J1034" t="inlineStr">
        <is>
          <t>0</t>
        </is>
      </c>
      <c r="K1034" t="inlineStr">
        <is>
          <t>Wolfe, Barry.</t>
        </is>
      </c>
      <c r="L1034" t="inlineStr">
        <is>
          <t>Washington, DC : American Psychological Association, c2005.</t>
        </is>
      </c>
      <c r="M1034" t="inlineStr">
        <is>
          <t>2005</t>
        </is>
      </c>
      <c r="N1034" t="inlineStr">
        <is>
          <t>1st ed.</t>
        </is>
      </c>
      <c r="O1034" t="inlineStr">
        <is>
          <t>eng</t>
        </is>
      </c>
      <c r="P1034" t="inlineStr">
        <is>
          <t>dcu</t>
        </is>
      </c>
      <c r="R1034" t="inlineStr">
        <is>
          <t xml:space="preserve">RC </t>
        </is>
      </c>
      <c r="S1034" t="n">
        <v>8</v>
      </c>
      <c r="T1034" t="n">
        <v>8</v>
      </c>
      <c r="U1034" t="inlineStr">
        <is>
          <t>2009-11-18</t>
        </is>
      </c>
      <c r="V1034" t="inlineStr">
        <is>
          <t>2009-11-18</t>
        </is>
      </c>
      <c r="W1034" t="inlineStr">
        <is>
          <t>2006-03-06</t>
        </is>
      </c>
      <c r="X1034" t="inlineStr">
        <is>
          <t>2006-03-06</t>
        </is>
      </c>
      <c r="Y1034" t="n">
        <v>318</v>
      </c>
      <c r="Z1034" t="n">
        <v>251</v>
      </c>
      <c r="AA1034" t="n">
        <v>333</v>
      </c>
      <c r="AB1034" t="n">
        <v>2</v>
      </c>
      <c r="AC1034" t="n">
        <v>3</v>
      </c>
      <c r="AD1034" t="n">
        <v>6</v>
      </c>
      <c r="AE1034" t="n">
        <v>14</v>
      </c>
      <c r="AF1034" t="n">
        <v>2</v>
      </c>
      <c r="AG1034" t="n">
        <v>5</v>
      </c>
      <c r="AH1034" t="n">
        <v>0</v>
      </c>
      <c r="AI1034" t="n">
        <v>0</v>
      </c>
      <c r="AJ1034" t="n">
        <v>3</v>
      </c>
      <c r="AK1034" t="n">
        <v>8</v>
      </c>
      <c r="AL1034" t="n">
        <v>1</v>
      </c>
      <c r="AM1034" t="n">
        <v>2</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HYPERLINK("https://creighton-primo.hosted.exlibrisgroup.com/primo-explore/search?tab=default_tab&amp;search_scope=EVERYTHING&amp;vid=01CRU&amp;lang=en_US&amp;offset=0&amp;query=any,contains,991004759449702656","Catalog Record")</f>
        <v/>
      </c>
      <c r="AT1034">
        <f>HYPERLINK("http://www.worldcat.org/oclc/56834445","WorldCat Record")</f>
        <v/>
      </c>
      <c r="AU1034" t="inlineStr">
        <is>
          <t>198105145:eng</t>
        </is>
      </c>
      <c r="AV1034" t="inlineStr">
        <is>
          <t>56834445</t>
        </is>
      </c>
      <c r="AW1034" t="inlineStr">
        <is>
          <t>991004759449702656</t>
        </is>
      </c>
      <c r="AX1034" t="inlineStr">
        <is>
          <t>991004759449702656</t>
        </is>
      </c>
      <c r="AY1034" t="inlineStr">
        <is>
          <t>2269531160002656</t>
        </is>
      </c>
      <c r="AZ1034" t="inlineStr">
        <is>
          <t>BOOK</t>
        </is>
      </c>
      <c r="BB1034" t="inlineStr">
        <is>
          <t>9781591471967</t>
        </is>
      </c>
      <c r="BC1034" t="inlineStr">
        <is>
          <t>32285005167969</t>
        </is>
      </c>
      <c r="BD1034" t="inlineStr">
        <is>
          <t>893594065</t>
        </is>
      </c>
    </row>
    <row r="1035">
      <c r="A1035" t="inlineStr">
        <is>
          <t>No</t>
        </is>
      </c>
      <c r="B1035" t="inlineStr">
        <is>
          <t>RC532 .D39 1991</t>
        </is>
      </c>
      <c r="C1035" t="inlineStr">
        <is>
          <t>0                      RC 0532000D  39          1991</t>
        </is>
      </c>
      <c r="D1035" t="inlineStr">
        <is>
          <t>Freud, Dora, and Vienna 1900 / Hannah S. Decker.</t>
        </is>
      </c>
      <c r="F1035" t="inlineStr">
        <is>
          <t>No</t>
        </is>
      </c>
      <c r="G1035" t="inlineStr">
        <is>
          <t>1</t>
        </is>
      </c>
      <c r="H1035" t="inlineStr">
        <is>
          <t>No</t>
        </is>
      </c>
      <c r="I1035" t="inlineStr">
        <is>
          <t>No</t>
        </is>
      </c>
      <c r="J1035" t="inlineStr">
        <is>
          <t>0</t>
        </is>
      </c>
      <c r="K1035" t="inlineStr">
        <is>
          <t>Decker, Hannah S.</t>
        </is>
      </c>
      <c r="L1035" t="inlineStr">
        <is>
          <t>New York : Free Press ; Toronto : Collier Macmillan Canada ; New York : Maxwell Macmillan International, c1991.</t>
        </is>
      </c>
      <c r="M1035" t="inlineStr">
        <is>
          <t>1991</t>
        </is>
      </c>
      <c r="O1035" t="inlineStr">
        <is>
          <t>eng</t>
        </is>
      </c>
      <c r="P1035" t="inlineStr">
        <is>
          <t>nyu</t>
        </is>
      </c>
      <c r="R1035" t="inlineStr">
        <is>
          <t xml:space="preserve">RC </t>
        </is>
      </c>
      <c r="S1035" t="n">
        <v>3</v>
      </c>
      <c r="T1035" t="n">
        <v>3</v>
      </c>
      <c r="U1035" t="inlineStr">
        <is>
          <t>1996-04-25</t>
        </is>
      </c>
      <c r="V1035" t="inlineStr">
        <is>
          <t>1996-04-25</t>
        </is>
      </c>
      <c r="W1035" t="inlineStr">
        <is>
          <t>1992-02-13</t>
        </is>
      </c>
      <c r="X1035" t="inlineStr">
        <is>
          <t>1992-02-13</t>
        </is>
      </c>
      <c r="Y1035" t="n">
        <v>509</v>
      </c>
      <c r="Z1035" t="n">
        <v>431</v>
      </c>
      <c r="AA1035" t="n">
        <v>460</v>
      </c>
      <c r="AB1035" t="n">
        <v>3</v>
      </c>
      <c r="AC1035" t="n">
        <v>4</v>
      </c>
      <c r="AD1035" t="n">
        <v>18</v>
      </c>
      <c r="AE1035" t="n">
        <v>20</v>
      </c>
      <c r="AF1035" t="n">
        <v>7</v>
      </c>
      <c r="AG1035" t="n">
        <v>7</v>
      </c>
      <c r="AH1035" t="n">
        <v>3</v>
      </c>
      <c r="AI1035" t="n">
        <v>3</v>
      </c>
      <c r="AJ1035" t="n">
        <v>10</v>
      </c>
      <c r="AK1035" t="n">
        <v>11</v>
      </c>
      <c r="AL1035" t="n">
        <v>2</v>
      </c>
      <c r="AM1035" t="n">
        <v>3</v>
      </c>
      <c r="AN1035" t="n">
        <v>0</v>
      </c>
      <c r="AO1035" t="n">
        <v>0</v>
      </c>
      <c r="AP1035" t="inlineStr">
        <is>
          <t>No</t>
        </is>
      </c>
      <c r="AQ1035" t="inlineStr">
        <is>
          <t>Yes</t>
        </is>
      </c>
      <c r="AR1035">
        <f>HYPERLINK("http://catalog.hathitrust.org/Record/002238486","HathiTrust Record")</f>
        <v/>
      </c>
      <c r="AS1035">
        <f>HYPERLINK("https://creighton-primo.hosted.exlibrisgroup.com/primo-explore/search?tab=default_tab&amp;search_scope=EVERYTHING&amp;vid=01CRU&amp;lang=en_US&amp;offset=0&amp;query=any,contains,991001735179702656","Catalog Record")</f>
        <v/>
      </c>
      <c r="AT1035">
        <f>HYPERLINK("http://www.worldcat.org/oclc/21970602","WorldCat Record")</f>
        <v/>
      </c>
      <c r="AU1035" t="inlineStr">
        <is>
          <t>14966197:eng</t>
        </is>
      </c>
      <c r="AV1035" t="inlineStr">
        <is>
          <t>21970602</t>
        </is>
      </c>
      <c r="AW1035" t="inlineStr">
        <is>
          <t>991001735179702656</t>
        </is>
      </c>
      <c r="AX1035" t="inlineStr">
        <is>
          <t>991001735179702656</t>
        </is>
      </c>
      <c r="AY1035" t="inlineStr">
        <is>
          <t>2265290360002656</t>
        </is>
      </c>
      <c r="AZ1035" t="inlineStr">
        <is>
          <t>BOOK</t>
        </is>
      </c>
      <c r="BB1035" t="inlineStr">
        <is>
          <t>9780029078303</t>
        </is>
      </c>
      <c r="BC1035" t="inlineStr">
        <is>
          <t>32285000869932</t>
        </is>
      </c>
      <c r="BD1035" t="inlineStr">
        <is>
          <t>893334529</t>
        </is>
      </c>
    </row>
    <row r="1036">
      <c r="A1036" t="inlineStr">
        <is>
          <t>No</t>
        </is>
      </c>
      <c r="B1036" t="inlineStr">
        <is>
          <t>RC533 .B24 1991</t>
        </is>
      </c>
      <c r="C1036" t="inlineStr">
        <is>
          <t>0                      RC 0533000B  24          1991</t>
        </is>
      </c>
      <c r="D1036" t="inlineStr">
        <is>
          <t>Getting control : overcoming your obsessions and compulsions / Lee Baer ; with a foreword by Judith L. Rapoport.</t>
        </is>
      </c>
      <c r="F1036" t="inlineStr">
        <is>
          <t>No</t>
        </is>
      </c>
      <c r="G1036" t="inlineStr">
        <is>
          <t>1</t>
        </is>
      </c>
      <c r="H1036" t="inlineStr">
        <is>
          <t>No</t>
        </is>
      </c>
      <c r="I1036" t="inlineStr">
        <is>
          <t>No</t>
        </is>
      </c>
      <c r="J1036" t="inlineStr">
        <is>
          <t>0</t>
        </is>
      </c>
      <c r="K1036" t="inlineStr">
        <is>
          <t>Baer, Lee.</t>
        </is>
      </c>
      <c r="L1036" t="inlineStr">
        <is>
          <t>Boston : Little, Brown, c1991.</t>
        </is>
      </c>
      <c r="M1036" t="inlineStr">
        <is>
          <t>1991</t>
        </is>
      </c>
      <c r="N1036" t="inlineStr">
        <is>
          <t>1st ed.</t>
        </is>
      </c>
      <c r="O1036" t="inlineStr">
        <is>
          <t>eng</t>
        </is>
      </c>
      <c r="P1036" t="inlineStr">
        <is>
          <t>mau</t>
        </is>
      </c>
      <c r="R1036" t="inlineStr">
        <is>
          <t xml:space="preserve">RC </t>
        </is>
      </c>
      <c r="S1036" t="n">
        <v>53</v>
      </c>
      <c r="T1036" t="n">
        <v>53</v>
      </c>
      <c r="U1036" t="inlineStr">
        <is>
          <t>2006-03-21</t>
        </is>
      </c>
      <c r="V1036" t="inlineStr">
        <is>
          <t>2006-03-21</t>
        </is>
      </c>
      <c r="W1036" t="inlineStr">
        <is>
          <t>1992-07-28</t>
        </is>
      </c>
      <c r="X1036" t="inlineStr">
        <is>
          <t>1992-07-28</t>
        </is>
      </c>
      <c r="Y1036" t="n">
        <v>238</v>
      </c>
      <c r="Z1036" t="n">
        <v>221</v>
      </c>
      <c r="AA1036" t="n">
        <v>565</v>
      </c>
      <c r="AB1036" t="n">
        <v>4</v>
      </c>
      <c r="AC1036" t="n">
        <v>6</v>
      </c>
      <c r="AD1036" t="n">
        <v>5</v>
      </c>
      <c r="AE1036" t="n">
        <v>8</v>
      </c>
      <c r="AF1036" t="n">
        <v>1</v>
      </c>
      <c r="AG1036" t="n">
        <v>3</v>
      </c>
      <c r="AH1036" t="n">
        <v>1</v>
      </c>
      <c r="AI1036" t="n">
        <v>2</v>
      </c>
      <c r="AJ1036" t="n">
        <v>2</v>
      </c>
      <c r="AK1036" t="n">
        <v>4</v>
      </c>
      <c r="AL1036" t="n">
        <v>1</v>
      </c>
      <c r="AM1036" t="n">
        <v>1</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HYPERLINK("https://creighton-primo.hosted.exlibrisgroup.com/primo-explore/search?tab=default_tab&amp;search_scope=EVERYTHING&amp;vid=01CRU&amp;lang=en_US&amp;offset=0&amp;query=any,contains,991001818169702656","Catalog Record")</f>
        <v/>
      </c>
      <c r="AT1036">
        <f>HYPERLINK("http://www.worldcat.org/oclc/22860599","WorldCat Record")</f>
        <v/>
      </c>
      <c r="AU1036" t="inlineStr">
        <is>
          <t>918885170:eng</t>
        </is>
      </c>
      <c r="AV1036" t="inlineStr">
        <is>
          <t>22860599</t>
        </is>
      </c>
      <c r="AW1036" t="inlineStr">
        <is>
          <t>991001818169702656</t>
        </is>
      </c>
      <c r="AX1036" t="inlineStr">
        <is>
          <t>991001818169702656</t>
        </is>
      </c>
      <c r="AY1036" t="inlineStr">
        <is>
          <t>2267353130002656</t>
        </is>
      </c>
      <c r="AZ1036" t="inlineStr">
        <is>
          <t>BOOK</t>
        </is>
      </c>
      <c r="BB1036" t="inlineStr">
        <is>
          <t>9780316075169</t>
        </is>
      </c>
      <c r="BC1036" t="inlineStr">
        <is>
          <t>32285001195113</t>
        </is>
      </c>
      <c r="BD1036" t="inlineStr">
        <is>
          <t>893621649</t>
        </is>
      </c>
    </row>
    <row r="1037">
      <c r="A1037" t="inlineStr">
        <is>
          <t>No</t>
        </is>
      </c>
      <c r="B1037" t="inlineStr">
        <is>
          <t>RC533 .H37 1990</t>
        </is>
      </c>
      <c r="C1037" t="inlineStr">
        <is>
          <t>0                      RC 0533000H  37          1990</t>
        </is>
      </c>
      <c r="D1037" t="inlineStr">
        <is>
          <t>Healing life's hidden addictions : overcoming the closet compulsions that waste your time and control your life / Archibald D. Hart.</t>
        </is>
      </c>
      <c r="F1037" t="inlineStr">
        <is>
          <t>No</t>
        </is>
      </c>
      <c r="G1037" t="inlineStr">
        <is>
          <t>1</t>
        </is>
      </c>
      <c r="H1037" t="inlineStr">
        <is>
          <t>No</t>
        </is>
      </c>
      <c r="I1037" t="inlineStr">
        <is>
          <t>No</t>
        </is>
      </c>
      <c r="J1037" t="inlineStr">
        <is>
          <t>0</t>
        </is>
      </c>
      <c r="K1037" t="inlineStr">
        <is>
          <t>Hart, Archibald D.</t>
        </is>
      </c>
      <c r="L1037" t="inlineStr">
        <is>
          <t>Ann Arbor, Mich. : Vine Books/Servant Publications, c1990.</t>
        </is>
      </c>
      <c r="M1037" t="inlineStr">
        <is>
          <t>1990</t>
        </is>
      </c>
      <c r="O1037" t="inlineStr">
        <is>
          <t>eng</t>
        </is>
      </c>
      <c r="P1037" t="inlineStr">
        <is>
          <t>miu</t>
        </is>
      </c>
      <c r="R1037" t="inlineStr">
        <is>
          <t xml:space="preserve">RC </t>
        </is>
      </c>
      <c r="S1037" t="n">
        <v>44</v>
      </c>
      <c r="T1037" t="n">
        <v>44</v>
      </c>
      <c r="U1037" t="inlineStr">
        <is>
          <t>2004-04-06</t>
        </is>
      </c>
      <c r="V1037" t="inlineStr">
        <is>
          <t>2004-04-06</t>
        </is>
      </c>
      <c r="W1037" t="inlineStr">
        <is>
          <t>1991-03-14</t>
        </is>
      </c>
      <c r="X1037" t="inlineStr">
        <is>
          <t>1991-03-14</t>
        </is>
      </c>
      <c r="Y1037" t="n">
        <v>175</v>
      </c>
      <c r="Z1037" t="n">
        <v>161</v>
      </c>
      <c r="AA1037" t="n">
        <v>161</v>
      </c>
      <c r="AB1037" t="n">
        <v>3</v>
      </c>
      <c r="AC1037" t="n">
        <v>3</v>
      </c>
      <c r="AD1037" t="n">
        <v>0</v>
      </c>
      <c r="AE1037" t="n">
        <v>0</v>
      </c>
      <c r="AF1037" t="n">
        <v>0</v>
      </c>
      <c r="AG1037" t="n">
        <v>0</v>
      </c>
      <c r="AH1037" t="n">
        <v>0</v>
      </c>
      <c r="AI1037" t="n">
        <v>0</v>
      </c>
      <c r="AJ1037" t="n">
        <v>0</v>
      </c>
      <c r="AK1037" t="n">
        <v>0</v>
      </c>
      <c r="AL1037" t="n">
        <v>0</v>
      </c>
      <c r="AM1037" t="n">
        <v>0</v>
      </c>
      <c r="AN1037" t="n">
        <v>0</v>
      </c>
      <c r="AO1037" t="n">
        <v>0</v>
      </c>
      <c r="AP1037" t="inlineStr">
        <is>
          <t>No</t>
        </is>
      </c>
      <c r="AQ1037" t="inlineStr">
        <is>
          <t>No</t>
        </is>
      </c>
      <c r="AS1037">
        <f>HYPERLINK("https://creighton-primo.hosted.exlibrisgroup.com/primo-explore/search?tab=default_tab&amp;search_scope=EVERYTHING&amp;vid=01CRU&amp;lang=en_US&amp;offset=0&amp;query=any,contains,991001720049702656","Catalog Record")</f>
        <v/>
      </c>
      <c r="AT1037">
        <f>HYPERLINK("http://www.worldcat.org/oclc/21762266","WorldCat Record")</f>
        <v/>
      </c>
      <c r="AU1037" t="inlineStr">
        <is>
          <t>1810015228:eng</t>
        </is>
      </c>
      <c r="AV1037" t="inlineStr">
        <is>
          <t>21762266</t>
        </is>
      </c>
      <c r="AW1037" t="inlineStr">
        <is>
          <t>991001720049702656</t>
        </is>
      </c>
      <c r="AX1037" t="inlineStr">
        <is>
          <t>991001720049702656</t>
        </is>
      </c>
      <c r="AY1037" t="inlineStr">
        <is>
          <t>2256865120002656</t>
        </is>
      </c>
      <c r="AZ1037" t="inlineStr">
        <is>
          <t>BOOK</t>
        </is>
      </c>
      <c r="BB1037" t="inlineStr">
        <is>
          <t>9780892836680</t>
        </is>
      </c>
      <c r="BC1037" t="inlineStr">
        <is>
          <t>32285000511658</t>
        </is>
      </c>
      <c r="BD1037" t="inlineStr">
        <is>
          <t>893866419</t>
        </is>
      </c>
    </row>
    <row r="1038">
      <c r="A1038" t="inlineStr">
        <is>
          <t>No</t>
        </is>
      </c>
      <c r="B1038" t="inlineStr">
        <is>
          <t>RC533 .K43 1996</t>
        </is>
      </c>
      <c r="C1038" t="inlineStr">
        <is>
          <t>0                      RC 0533000K  43          1996</t>
        </is>
      </c>
      <c r="D1038" t="inlineStr">
        <is>
          <t>Within the wall of denial : conquering addictive behaviors / Robert J. Kearney.</t>
        </is>
      </c>
      <c r="F1038" t="inlineStr">
        <is>
          <t>No</t>
        </is>
      </c>
      <c r="G1038" t="inlineStr">
        <is>
          <t>1</t>
        </is>
      </c>
      <c r="H1038" t="inlineStr">
        <is>
          <t>No</t>
        </is>
      </c>
      <c r="I1038" t="inlineStr">
        <is>
          <t>No</t>
        </is>
      </c>
      <c r="J1038" t="inlineStr">
        <is>
          <t>0</t>
        </is>
      </c>
      <c r="K1038" t="inlineStr">
        <is>
          <t>Kearney, Robert J.</t>
        </is>
      </c>
      <c r="L1038" t="inlineStr">
        <is>
          <t>New York : W. W. Norton &amp; Co., c1996.</t>
        </is>
      </c>
      <c r="M1038" t="inlineStr">
        <is>
          <t>1996</t>
        </is>
      </c>
      <c r="O1038" t="inlineStr">
        <is>
          <t>eng</t>
        </is>
      </c>
      <c r="P1038" t="inlineStr">
        <is>
          <t>nyu</t>
        </is>
      </c>
      <c r="R1038" t="inlineStr">
        <is>
          <t xml:space="preserve">RC </t>
        </is>
      </c>
      <c r="S1038" t="n">
        <v>13</v>
      </c>
      <c r="T1038" t="n">
        <v>13</v>
      </c>
      <c r="U1038" t="inlineStr">
        <is>
          <t>2009-04-14</t>
        </is>
      </c>
      <c r="V1038" t="inlineStr">
        <is>
          <t>2009-04-14</t>
        </is>
      </c>
      <c r="W1038" t="inlineStr">
        <is>
          <t>1996-11-23</t>
        </is>
      </c>
      <c r="X1038" t="inlineStr">
        <is>
          <t>1996-11-23</t>
        </is>
      </c>
      <c r="Y1038" t="n">
        <v>189</v>
      </c>
      <c r="Z1038" t="n">
        <v>153</v>
      </c>
      <c r="AA1038" t="n">
        <v>154</v>
      </c>
      <c r="AB1038" t="n">
        <v>1</v>
      </c>
      <c r="AC1038" t="n">
        <v>1</v>
      </c>
      <c r="AD1038" t="n">
        <v>6</v>
      </c>
      <c r="AE1038" t="n">
        <v>6</v>
      </c>
      <c r="AF1038" t="n">
        <v>4</v>
      </c>
      <c r="AG1038" t="n">
        <v>4</v>
      </c>
      <c r="AH1038" t="n">
        <v>1</v>
      </c>
      <c r="AI1038" t="n">
        <v>1</v>
      </c>
      <c r="AJ1038" t="n">
        <v>4</v>
      </c>
      <c r="AK1038" t="n">
        <v>4</v>
      </c>
      <c r="AL1038" t="n">
        <v>0</v>
      </c>
      <c r="AM1038" t="n">
        <v>0</v>
      </c>
      <c r="AN1038" t="n">
        <v>0</v>
      </c>
      <c r="AO1038" t="n">
        <v>0</v>
      </c>
      <c r="AP1038" t="inlineStr">
        <is>
          <t>No</t>
        </is>
      </c>
      <c r="AQ1038" t="inlineStr">
        <is>
          <t>No</t>
        </is>
      </c>
      <c r="AS1038">
        <f>HYPERLINK("https://creighton-primo.hosted.exlibrisgroup.com/primo-explore/search?tab=default_tab&amp;search_scope=EVERYTHING&amp;vid=01CRU&amp;lang=en_US&amp;offset=0&amp;query=any,contains,991002530259702656","Catalog Record")</f>
        <v/>
      </c>
      <c r="AT1038">
        <f>HYPERLINK("http://www.worldcat.org/oclc/32892312","WorldCat Record")</f>
        <v/>
      </c>
      <c r="AU1038" t="inlineStr">
        <is>
          <t>836970211:eng</t>
        </is>
      </c>
      <c r="AV1038" t="inlineStr">
        <is>
          <t>32892312</t>
        </is>
      </c>
      <c r="AW1038" t="inlineStr">
        <is>
          <t>991002530259702656</t>
        </is>
      </c>
      <c r="AX1038" t="inlineStr">
        <is>
          <t>991002530259702656</t>
        </is>
      </c>
      <c r="AY1038" t="inlineStr">
        <is>
          <t>2255228810002656</t>
        </is>
      </c>
      <c r="AZ1038" t="inlineStr">
        <is>
          <t>BOOK</t>
        </is>
      </c>
      <c r="BB1038" t="inlineStr">
        <is>
          <t>9780393702101</t>
        </is>
      </c>
      <c r="BC1038" t="inlineStr">
        <is>
          <t>32285002395787</t>
        </is>
      </c>
      <c r="BD1038" t="inlineStr">
        <is>
          <t>893440248</t>
        </is>
      </c>
    </row>
    <row r="1039">
      <c r="A1039" t="inlineStr">
        <is>
          <t>No</t>
        </is>
      </c>
      <c r="B1039" t="inlineStr">
        <is>
          <t>RC533 .K58 2002</t>
        </is>
      </c>
      <c r="C1039" t="inlineStr">
        <is>
          <t>0                      RC 0533000K  58          2002</t>
        </is>
      </c>
      <c r="D1039" t="inlineStr">
        <is>
          <t>Recovering from sexual abuse, addictions, and compulsive behaviors : "numb" survivors / Sandra Knauer.</t>
        </is>
      </c>
      <c r="F1039" t="inlineStr">
        <is>
          <t>No</t>
        </is>
      </c>
      <c r="G1039" t="inlineStr">
        <is>
          <t>1</t>
        </is>
      </c>
      <c r="H1039" t="inlineStr">
        <is>
          <t>No</t>
        </is>
      </c>
      <c r="I1039" t="inlineStr">
        <is>
          <t>No</t>
        </is>
      </c>
      <c r="J1039" t="inlineStr">
        <is>
          <t>0</t>
        </is>
      </c>
      <c r="K1039" t="inlineStr">
        <is>
          <t>Knauer, Sandy.</t>
        </is>
      </c>
      <c r="L1039" t="inlineStr">
        <is>
          <t>New York : Haworth Social Work Practice Press, 2002.</t>
        </is>
      </c>
      <c r="M1039" t="inlineStr">
        <is>
          <t>2002</t>
        </is>
      </c>
      <c r="O1039" t="inlineStr">
        <is>
          <t>eng</t>
        </is>
      </c>
      <c r="P1039" t="inlineStr">
        <is>
          <t>nyu</t>
        </is>
      </c>
      <c r="R1039" t="inlineStr">
        <is>
          <t xml:space="preserve">RC </t>
        </is>
      </c>
      <c r="S1039" t="n">
        <v>2</v>
      </c>
      <c r="T1039" t="n">
        <v>2</v>
      </c>
      <c r="U1039" t="inlineStr">
        <is>
          <t>2003-10-06</t>
        </is>
      </c>
      <c r="V1039" t="inlineStr">
        <is>
          <t>2003-10-06</t>
        </is>
      </c>
      <c r="W1039" t="inlineStr">
        <is>
          <t>2003-03-11</t>
        </is>
      </c>
      <c r="X1039" t="inlineStr">
        <is>
          <t>2003-03-11</t>
        </is>
      </c>
      <c r="Y1039" t="n">
        <v>533</v>
      </c>
      <c r="Z1039" t="n">
        <v>467</v>
      </c>
      <c r="AA1039" t="n">
        <v>477</v>
      </c>
      <c r="AB1039" t="n">
        <v>5</v>
      </c>
      <c r="AC1039" t="n">
        <v>5</v>
      </c>
      <c r="AD1039" t="n">
        <v>22</v>
      </c>
      <c r="AE1039" t="n">
        <v>22</v>
      </c>
      <c r="AF1039" t="n">
        <v>9</v>
      </c>
      <c r="AG1039" t="n">
        <v>9</v>
      </c>
      <c r="AH1039" t="n">
        <v>5</v>
      </c>
      <c r="AI1039" t="n">
        <v>5</v>
      </c>
      <c r="AJ1039" t="n">
        <v>10</v>
      </c>
      <c r="AK1039" t="n">
        <v>10</v>
      </c>
      <c r="AL1039" t="n">
        <v>3</v>
      </c>
      <c r="AM1039" t="n">
        <v>3</v>
      </c>
      <c r="AN1039" t="n">
        <v>0</v>
      </c>
      <c r="AO1039" t="n">
        <v>0</v>
      </c>
      <c r="AP1039" t="inlineStr">
        <is>
          <t>No</t>
        </is>
      </c>
      <c r="AQ1039" t="inlineStr">
        <is>
          <t>Yes</t>
        </is>
      </c>
      <c r="AR1039">
        <f>HYPERLINK("http://catalog.hathitrust.org/Record/004237547","HathiTrust Record")</f>
        <v/>
      </c>
      <c r="AS1039">
        <f>HYPERLINK("https://creighton-primo.hosted.exlibrisgroup.com/primo-explore/search?tab=default_tab&amp;search_scope=EVERYTHING&amp;vid=01CRU&amp;lang=en_US&amp;offset=0&amp;query=any,contains,991004000669702656","Catalog Record")</f>
        <v/>
      </c>
      <c r="AT1039">
        <f>HYPERLINK("http://www.worldcat.org/oclc/45715884","WorldCat Record")</f>
        <v/>
      </c>
      <c r="AU1039" t="inlineStr">
        <is>
          <t>371924278:eng</t>
        </is>
      </c>
      <c r="AV1039" t="inlineStr">
        <is>
          <t>45715884</t>
        </is>
      </c>
      <c r="AW1039" t="inlineStr">
        <is>
          <t>991004000669702656</t>
        </is>
      </c>
      <c r="AX1039" t="inlineStr">
        <is>
          <t>991004000669702656</t>
        </is>
      </c>
      <c r="AY1039" t="inlineStr">
        <is>
          <t>2263219050002656</t>
        </is>
      </c>
      <c r="AZ1039" t="inlineStr">
        <is>
          <t>BOOK</t>
        </is>
      </c>
      <c r="BB1039" t="inlineStr">
        <is>
          <t>9780789014573</t>
        </is>
      </c>
      <c r="BC1039" t="inlineStr">
        <is>
          <t>32285004683636</t>
        </is>
      </c>
      <c r="BD1039" t="inlineStr">
        <is>
          <t>893900665</t>
        </is>
      </c>
    </row>
    <row r="1040">
      <c r="A1040" t="inlineStr">
        <is>
          <t>No</t>
        </is>
      </c>
      <c r="B1040" t="inlineStr">
        <is>
          <t>RC533 .M55 1987</t>
        </is>
      </c>
      <c r="C1040" t="inlineStr">
        <is>
          <t>0                      RC 0533000M  55          1987</t>
        </is>
      </c>
      <c r="D1040" t="inlineStr">
        <is>
          <t>Craving for ecstasy : the consciousness and chemistry of escape / by Harvey B. Milkman, Stanley G. Sunderwirth.</t>
        </is>
      </c>
      <c r="F1040" t="inlineStr">
        <is>
          <t>No</t>
        </is>
      </c>
      <c r="G1040" t="inlineStr">
        <is>
          <t>1</t>
        </is>
      </c>
      <c r="H1040" t="inlineStr">
        <is>
          <t>No</t>
        </is>
      </c>
      <c r="I1040" t="inlineStr">
        <is>
          <t>No</t>
        </is>
      </c>
      <c r="J1040" t="inlineStr">
        <is>
          <t>0</t>
        </is>
      </c>
      <c r="K1040" t="inlineStr">
        <is>
          <t>Milkman, Harvey B.</t>
        </is>
      </c>
      <c r="L1040" t="inlineStr">
        <is>
          <t>Lexington, Mass. : Lexington Books, 1987.</t>
        </is>
      </c>
      <c r="M1040" t="inlineStr">
        <is>
          <t>1987</t>
        </is>
      </c>
      <c r="O1040" t="inlineStr">
        <is>
          <t>eng</t>
        </is>
      </c>
      <c r="P1040" t="inlineStr">
        <is>
          <t>mau</t>
        </is>
      </c>
      <c r="R1040" t="inlineStr">
        <is>
          <t xml:space="preserve">RC </t>
        </is>
      </c>
      <c r="S1040" t="n">
        <v>2</v>
      </c>
      <c r="T1040" t="n">
        <v>2</v>
      </c>
      <c r="U1040" t="inlineStr">
        <is>
          <t>2007-02-28</t>
        </is>
      </c>
      <c r="V1040" t="inlineStr">
        <is>
          <t>2007-02-28</t>
        </is>
      </c>
      <c r="W1040" t="inlineStr">
        <is>
          <t>2002-12-10</t>
        </is>
      </c>
      <c r="X1040" t="inlineStr">
        <is>
          <t>2002-12-10</t>
        </is>
      </c>
      <c r="Y1040" t="n">
        <v>508</v>
      </c>
      <c r="Z1040" t="n">
        <v>462</v>
      </c>
      <c r="AA1040" t="n">
        <v>469</v>
      </c>
      <c r="AB1040" t="n">
        <v>3</v>
      </c>
      <c r="AC1040" t="n">
        <v>3</v>
      </c>
      <c r="AD1040" t="n">
        <v>13</v>
      </c>
      <c r="AE1040" t="n">
        <v>13</v>
      </c>
      <c r="AF1040" t="n">
        <v>4</v>
      </c>
      <c r="AG1040" t="n">
        <v>4</v>
      </c>
      <c r="AH1040" t="n">
        <v>2</v>
      </c>
      <c r="AI1040" t="n">
        <v>2</v>
      </c>
      <c r="AJ1040" t="n">
        <v>9</v>
      </c>
      <c r="AK1040" t="n">
        <v>9</v>
      </c>
      <c r="AL1040" t="n">
        <v>1</v>
      </c>
      <c r="AM1040" t="n">
        <v>1</v>
      </c>
      <c r="AN1040" t="n">
        <v>0</v>
      </c>
      <c r="AO1040" t="n">
        <v>0</v>
      </c>
      <c r="AP1040" t="inlineStr">
        <is>
          <t>No</t>
        </is>
      </c>
      <c r="AQ1040" t="inlineStr">
        <is>
          <t>Yes</t>
        </is>
      </c>
      <c r="AR1040">
        <f>HYPERLINK("http://catalog.hathitrust.org/Record/000810024","HathiTrust Record")</f>
        <v/>
      </c>
      <c r="AS1040">
        <f>HYPERLINK("https://creighton-primo.hosted.exlibrisgroup.com/primo-explore/search?tab=default_tab&amp;search_scope=EVERYTHING&amp;vid=01CRU&amp;lang=en_US&amp;offset=0&amp;query=any,contains,991003933139702656","Catalog Record")</f>
        <v/>
      </c>
      <c r="AT1040">
        <f>HYPERLINK("http://www.worldcat.org/oclc/14411661","WorldCat Record")</f>
        <v/>
      </c>
      <c r="AU1040" t="inlineStr">
        <is>
          <t>232023898:eng</t>
        </is>
      </c>
      <c r="AV1040" t="inlineStr">
        <is>
          <t>14411661</t>
        </is>
      </c>
      <c r="AW1040" t="inlineStr">
        <is>
          <t>991003933139702656</t>
        </is>
      </c>
      <c r="AX1040" t="inlineStr">
        <is>
          <t>991003933139702656</t>
        </is>
      </c>
      <c r="AY1040" t="inlineStr">
        <is>
          <t>2261932470002656</t>
        </is>
      </c>
      <c r="AZ1040" t="inlineStr">
        <is>
          <t>BOOK</t>
        </is>
      </c>
      <c r="BB1040" t="inlineStr">
        <is>
          <t>9780669123371</t>
        </is>
      </c>
      <c r="BC1040" t="inlineStr">
        <is>
          <t>32285004669940</t>
        </is>
      </c>
      <c r="BD1040" t="inlineStr">
        <is>
          <t>893794275</t>
        </is>
      </c>
    </row>
    <row r="1041">
      <c r="A1041" t="inlineStr">
        <is>
          <t>No</t>
        </is>
      </c>
      <c r="B1041" t="inlineStr">
        <is>
          <t>RC533 .O27 1985</t>
        </is>
      </c>
      <c r="C1041" t="inlineStr">
        <is>
          <t>0                      RC 0533000O  27          1985</t>
        </is>
      </c>
      <c r="D1041" t="inlineStr">
        <is>
          <t>Obsessive-compulsive disorder : psychological and pharmacological treatment / edited by Matig Mavissakalian, Samuel M. Turner, and Larry Michelson.</t>
        </is>
      </c>
      <c r="F1041" t="inlineStr">
        <is>
          <t>No</t>
        </is>
      </c>
      <c r="G1041" t="inlineStr">
        <is>
          <t>1</t>
        </is>
      </c>
      <c r="H1041" t="inlineStr">
        <is>
          <t>Yes</t>
        </is>
      </c>
      <c r="I1041" t="inlineStr">
        <is>
          <t>No</t>
        </is>
      </c>
      <c r="J1041" t="inlineStr">
        <is>
          <t>0</t>
        </is>
      </c>
      <c r="L1041" t="inlineStr">
        <is>
          <t>New York : Plenum Press, c1985.</t>
        </is>
      </c>
      <c r="M1041" t="inlineStr">
        <is>
          <t>1985</t>
        </is>
      </c>
      <c r="O1041" t="inlineStr">
        <is>
          <t>eng</t>
        </is>
      </c>
      <c r="P1041" t="inlineStr">
        <is>
          <t>nyu</t>
        </is>
      </c>
      <c r="R1041" t="inlineStr">
        <is>
          <t xml:space="preserve">RC </t>
        </is>
      </c>
      <c r="S1041" t="n">
        <v>67</v>
      </c>
      <c r="T1041" t="n">
        <v>67</v>
      </c>
      <c r="U1041" t="inlineStr">
        <is>
          <t>2009-04-07</t>
        </is>
      </c>
      <c r="V1041" t="inlineStr">
        <is>
          <t>2009-04-07</t>
        </is>
      </c>
      <c r="W1041" t="inlineStr">
        <is>
          <t>1990-06-13</t>
        </is>
      </c>
      <c r="X1041" t="inlineStr">
        <is>
          <t>1990-06-13</t>
        </is>
      </c>
      <c r="Y1041" t="n">
        <v>268</v>
      </c>
      <c r="Z1041" t="n">
        <v>208</v>
      </c>
      <c r="AA1041" t="n">
        <v>222</v>
      </c>
      <c r="AB1041" t="n">
        <v>4</v>
      </c>
      <c r="AC1041" t="n">
        <v>4</v>
      </c>
      <c r="AD1041" t="n">
        <v>8</v>
      </c>
      <c r="AE1041" t="n">
        <v>8</v>
      </c>
      <c r="AF1041" t="n">
        <v>2</v>
      </c>
      <c r="AG1041" t="n">
        <v>2</v>
      </c>
      <c r="AH1041" t="n">
        <v>1</v>
      </c>
      <c r="AI1041" t="n">
        <v>1</v>
      </c>
      <c r="AJ1041" t="n">
        <v>6</v>
      </c>
      <c r="AK1041" t="n">
        <v>6</v>
      </c>
      <c r="AL1041" t="n">
        <v>2</v>
      </c>
      <c r="AM1041" t="n">
        <v>2</v>
      </c>
      <c r="AN1041" t="n">
        <v>0</v>
      </c>
      <c r="AO1041" t="n">
        <v>0</v>
      </c>
      <c r="AP1041" t="inlineStr">
        <is>
          <t>No</t>
        </is>
      </c>
      <c r="AQ1041" t="inlineStr">
        <is>
          <t>No</t>
        </is>
      </c>
      <c r="AS1041">
        <f>HYPERLINK("https://creighton-primo.hosted.exlibrisgroup.com/primo-explore/search?tab=default_tab&amp;search_scope=EVERYTHING&amp;vid=01CRU&amp;lang=en_US&amp;offset=0&amp;query=any,contains,991000549349702656","Catalog Record")</f>
        <v/>
      </c>
      <c r="AT1041">
        <f>HYPERLINK("http://www.worldcat.org/oclc/11532086","WorldCat Record")</f>
        <v/>
      </c>
      <c r="AU1041" t="inlineStr">
        <is>
          <t>836694335:eng</t>
        </is>
      </c>
      <c r="AV1041" t="inlineStr">
        <is>
          <t>11532086</t>
        </is>
      </c>
      <c r="AW1041" t="inlineStr">
        <is>
          <t>991000549349702656</t>
        </is>
      </c>
      <c r="AX1041" t="inlineStr">
        <is>
          <t>991000549349702656</t>
        </is>
      </c>
      <c r="AY1041" t="inlineStr">
        <is>
          <t>2261320090002656</t>
        </is>
      </c>
      <c r="AZ1041" t="inlineStr">
        <is>
          <t>BOOK</t>
        </is>
      </c>
      <c r="BB1041" t="inlineStr">
        <is>
          <t>9780306418501</t>
        </is>
      </c>
      <c r="BC1041" t="inlineStr">
        <is>
          <t>32285000191568</t>
        </is>
      </c>
      <c r="BD1041" t="inlineStr">
        <is>
          <t>893589555</t>
        </is>
      </c>
    </row>
    <row r="1042">
      <c r="A1042" t="inlineStr">
        <is>
          <t>No</t>
        </is>
      </c>
      <c r="B1042" t="inlineStr">
        <is>
          <t>RC533 .P33 1992</t>
        </is>
      </c>
      <c r="C1042" t="inlineStr">
        <is>
          <t>0                      RC 0533000P  33          1992</t>
        </is>
      </c>
      <c r="D1042" t="inlineStr">
        <is>
          <t>The truth about addiction and recovery : the life process program for outgrowing destructive habits / Stanton Peele and Archie Brodsky, with Mary Arnold.</t>
        </is>
      </c>
      <c r="F1042" t="inlineStr">
        <is>
          <t>No</t>
        </is>
      </c>
      <c r="G1042" t="inlineStr">
        <is>
          <t>1</t>
        </is>
      </c>
      <c r="H1042" t="inlineStr">
        <is>
          <t>No</t>
        </is>
      </c>
      <c r="I1042" t="inlineStr">
        <is>
          <t>No</t>
        </is>
      </c>
      <c r="J1042" t="inlineStr">
        <is>
          <t>0</t>
        </is>
      </c>
      <c r="K1042" t="inlineStr">
        <is>
          <t>Peele, Stanton.</t>
        </is>
      </c>
      <c r="L1042" t="inlineStr">
        <is>
          <t>New York : Simon &amp; Schuster, 1992.</t>
        </is>
      </c>
      <c r="M1042" t="inlineStr">
        <is>
          <t>1992</t>
        </is>
      </c>
      <c r="N1042" t="inlineStr">
        <is>
          <t>1st Fireside ed.</t>
        </is>
      </c>
      <c r="O1042" t="inlineStr">
        <is>
          <t>eng</t>
        </is>
      </c>
      <c r="P1042" t="inlineStr">
        <is>
          <t>nyu</t>
        </is>
      </c>
      <c r="R1042" t="inlineStr">
        <is>
          <t xml:space="preserve">RC </t>
        </is>
      </c>
      <c r="S1042" t="n">
        <v>2</v>
      </c>
      <c r="T1042" t="n">
        <v>2</v>
      </c>
      <c r="U1042" t="inlineStr">
        <is>
          <t>2009-04-14</t>
        </is>
      </c>
      <c r="V1042" t="inlineStr">
        <is>
          <t>2009-04-14</t>
        </is>
      </c>
      <c r="W1042" t="inlineStr">
        <is>
          <t>2002-11-14</t>
        </is>
      </c>
      <c r="X1042" t="inlineStr">
        <is>
          <t>2002-11-14</t>
        </is>
      </c>
      <c r="Y1042" t="n">
        <v>156</v>
      </c>
      <c r="Z1042" t="n">
        <v>132</v>
      </c>
      <c r="AA1042" t="n">
        <v>631</v>
      </c>
      <c r="AB1042" t="n">
        <v>2</v>
      </c>
      <c r="AC1042" t="n">
        <v>3</v>
      </c>
      <c r="AD1042" t="n">
        <v>2</v>
      </c>
      <c r="AE1042" t="n">
        <v>8</v>
      </c>
      <c r="AF1042" t="n">
        <v>1</v>
      </c>
      <c r="AG1042" t="n">
        <v>3</v>
      </c>
      <c r="AH1042" t="n">
        <v>1</v>
      </c>
      <c r="AI1042" t="n">
        <v>2</v>
      </c>
      <c r="AJ1042" t="n">
        <v>0</v>
      </c>
      <c r="AK1042" t="n">
        <v>3</v>
      </c>
      <c r="AL1042" t="n">
        <v>1</v>
      </c>
      <c r="AM1042" t="n">
        <v>2</v>
      </c>
      <c r="AN1042" t="n">
        <v>0</v>
      </c>
      <c r="AO1042" t="n">
        <v>0</v>
      </c>
      <c r="AP1042" t="inlineStr">
        <is>
          <t>No</t>
        </is>
      </c>
      <c r="AQ1042" t="inlineStr">
        <is>
          <t>Yes</t>
        </is>
      </c>
      <c r="AR1042">
        <f>HYPERLINK("http://catalog.hathitrust.org/Record/002880085","HathiTrust Record")</f>
        <v/>
      </c>
      <c r="AS1042">
        <f>HYPERLINK("https://creighton-primo.hosted.exlibrisgroup.com/primo-explore/search?tab=default_tab&amp;search_scope=EVERYTHING&amp;vid=01CRU&amp;lang=en_US&amp;offset=0&amp;query=any,contains,991003933859702656","Catalog Record")</f>
        <v/>
      </c>
      <c r="AT1042">
        <f>HYPERLINK("http://www.worldcat.org/oclc/26500641","WorldCat Record")</f>
        <v/>
      </c>
      <c r="AU1042" t="inlineStr">
        <is>
          <t>24263604:eng</t>
        </is>
      </c>
      <c r="AV1042" t="inlineStr">
        <is>
          <t>26500641</t>
        </is>
      </c>
      <c r="AW1042" t="inlineStr">
        <is>
          <t>991003933859702656</t>
        </is>
      </c>
      <c r="AX1042" t="inlineStr">
        <is>
          <t>991003933859702656</t>
        </is>
      </c>
      <c r="AY1042" t="inlineStr">
        <is>
          <t>2260913740002656</t>
        </is>
      </c>
      <c r="AZ1042" t="inlineStr">
        <is>
          <t>BOOK</t>
        </is>
      </c>
      <c r="BB1042" t="inlineStr">
        <is>
          <t>9780671669010</t>
        </is>
      </c>
      <c r="BC1042" t="inlineStr">
        <is>
          <t>32285004663687</t>
        </is>
      </c>
      <c r="BD1042" t="inlineStr">
        <is>
          <t>893337145</t>
        </is>
      </c>
    </row>
    <row r="1043">
      <c r="A1043" t="inlineStr">
        <is>
          <t>No</t>
        </is>
      </c>
      <c r="B1043" t="inlineStr">
        <is>
          <t>RC533 .P78 2007</t>
        </is>
      </c>
      <c r="C1043" t="inlineStr">
        <is>
          <t>0                      RC 0533000P  78          2007</t>
        </is>
      </c>
      <c r="D1043" t="inlineStr">
        <is>
          <t>Psychological treatment of obsessive-compulsive disorder : fundamentals and beyond / edited by Martin M. Antony, Christine Purdon, Laura J. Summerfeldt.</t>
        </is>
      </c>
      <c r="F1043" t="inlineStr">
        <is>
          <t>No</t>
        </is>
      </c>
      <c r="G1043" t="inlineStr">
        <is>
          <t>1</t>
        </is>
      </c>
      <c r="H1043" t="inlineStr">
        <is>
          <t>No</t>
        </is>
      </c>
      <c r="I1043" t="inlineStr">
        <is>
          <t>No</t>
        </is>
      </c>
      <c r="J1043" t="inlineStr">
        <is>
          <t>0</t>
        </is>
      </c>
      <c r="L1043" t="inlineStr">
        <is>
          <t>Washington, DC : American Psychological Association, c2007.</t>
        </is>
      </c>
      <c r="M1043" t="inlineStr">
        <is>
          <t>2007</t>
        </is>
      </c>
      <c r="N1043" t="inlineStr">
        <is>
          <t>1st ed.</t>
        </is>
      </c>
      <c r="O1043" t="inlineStr">
        <is>
          <t>eng</t>
        </is>
      </c>
      <c r="P1043" t="inlineStr">
        <is>
          <t>dcu</t>
        </is>
      </c>
      <c r="R1043" t="inlineStr">
        <is>
          <t xml:space="preserve">RC </t>
        </is>
      </c>
      <c r="S1043" t="n">
        <v>7</v>
      </c>
      <c r="T1043" t="n">
        <v>7</v>
      </c>
      <c r="U1043" t="inlineStr">
        <is>
          <t>2009-11-01</t>
        </is>
      </c>
      <c r="V1043" t="inlineStr">
        <is>
          <t>2009-11-01</t>
        </is>
      </c>
      <c r="W1043" t="inlineStr">
        <is>
          <t>2008-04-02</t>
        </is>
      </c>
      <c r="X1043" t="inlineStr">
        <is>
          <t>2008-04-02</t>
        </is>
      </c>
      <c r="Y1043" t="n">
        <v>402</v>
      </c>
      <c r="Z1043" t="n">
        <v>315</v>
      </c>
      <c r="AA1043" t="n">
        <v>392</v>
      </c>
      <c r="AB1043" t="n">
        <v>2</v>
      </c>
      <c r="AC1043" t="n">
        <v>3</v>
      </c>
      <c r="AD1043" t="n">
        <v>14</v>
      </c>
      <c r="AE1043" t="n">
        <v>19</v>
      </c>
      <c r="AF1043" t="n">
        <v>7</v>
      </c>
      <c r="AG1043" t="n">
        <v>9</v>
      </c>
      <c r="AH1043" t="n">
        <v>1</v>
      </c>
      <c r="AI1043" t="n">
        <v>1</v>
      </c>
      <c r="AJ1043" t="n">
        <v>10</v>
      </c>
      <c r="AK1043" t="n">
        <v>12</v>
      </c>
      <c r="AL1043" t="n">
        <v>1</v>
      </c>
      <c r="AM1043" t="n">
        <v>2</v>
      </c>
      <c r="AN1043" t="n">
        <v>0</v>
      </c>
      <c r="AO1043" t="n">
        <v>0</v>
      </c>
      <c r="AP1043" t="inlineStr">
        <is>
          <t>No</t>
        </is>
      </c>
      <c r="AQ1043" t="inlineStr">
        <is>
          <t>Yes</t>
        </is>
      </c>
      <c r="AR1043">
        <f>HYPERLINK("http://catalog.hathitrust.org/Record/005680495","HathiTrust Record")</f>
        <v/>
      </c>
      <c r="AS1043">
        <f>HYPERLINK("https://creighton-primo.hosted.exlibrisgroup.com/primo-explore/search?tab=default_tab&amp;search_scope=EVERYTHING&amp;vid=01CRU&amp;lang=en_US&amp;offset=0&amp;query=any,contains,991005199939702656","Catalog Record")</f>
        <v/>
      </c>
      <c r="AT1043">
        <f>HYPERLINK("http://www.worldcat.org/oclc/70829708","WorldCat Record")</f>
        <v/>
      </c>
      <c r="AU1043" t="inlineStr">
        <is>
          <t>796532587:eng</t>
        </is>
      </c>
      <c r="AV1043" t="inlineStr">
        <is>
          <t>70829708</t>
        </is>
      </c>
      <c r="AW1043" t="inlineStr">
        <is>
          <t>991005199939702656</t>
        </is>
      </c>
      <c r="AX1043" t="inlineStr">
        <is>
          <t>991005199939702656</t>
        </is>
      </c>
      <c r="AY1043" t="inlineStr">
        <is>
          <t>2261968420002656</t>
        </is>
      </c>
      <c r="AZ1043" t="inlineStr">
        <is>
          <t>BOOK</t>
        </is>
      </c>
      <c r="BB1043" t="inlineStr">
        <is>
          <t>9781591474845</t>
        </is>
      </c>
      <c r="BC1043" t="inlineStr">
        <is>
          <t>32285005400535</t>
        </is>
      </c>
      <c r="BD1043" t="inlineStr">
        <is>
          <t>893789604</t>
        </is>
      </c>
    </row>
    <row r="1044">
      <c r="A1044" t="inlineStr">
        <is>
          <t>No</t>
        </is>
      </c>
      <c r="B1044" t="inlineStr">
        <is>
          <t>RC533 .R36 1989</t>
        </is>
      </c>
      <c r="C1044" t="inlineStr">
        <is>
          <t>0                      RC 0533000R  36          1989</t>
        </is>
      </c>
      <c r="D1044" t="inlineStr">
        <is>
          <t>The boy who couldn't stop washing : the experience &amp; treatment of obsessive-compulsive disorder / Judith L. Rapoport.</t>
        </is>
      </c>
      <c r="F1044" t="inlineStr">
        <is>
          <t>No</t>
        </is>
      </c>
      <c r="G1044" t="inlineStr">
        <is>
          <t>1</t>
        </is>
      </c>
      <c r="H1044" t="inlineStr">
        <is>
          <t>No</t>
        </is>
      </c>
      <c r="I1044" t="inlineStr">
        <is>
          <t>No</t>
        </is>
      </c>
      <c r="J1044" t="inlineStr">
        <is>
          <t>0</t>
        </is>
      </c>
      <c r="K1044" t="inlineStr">
        <is>
          <t>Rapoport, Judith L., 1933-</t>
        </is>
      </c>
      <c r="L1044" t="inlineStr">
        <is>
          <t>New York : Dutton, c1989.</t>
        </is>
      </c>
      <c r="M1044" t="inlineStr">
        <is>
          <t>1989</t>
        </is>
      </c>
      <c r="N1044" t="inlineStr">
        <is>
          <t>1st ed.</t>
        </is>
      </c>
      <c r="O1044" t="inlineStr">
        <is>
          <t>eng</t>
        </is>
      </c>
      <c r="P1044" t="inlineStr">
        <is>
          <t>nyu</t>
        </is>
      </c>
      <c r="R1044" t="inlineStr">
        <is>
          <t xml:space="preserve">RC </t>
        </is>
      </c>
      <c r="S1044" t="n">
        <v>58</v>
      </c>
      <c r="T1044" t="n">
        <v>58</v>
      </c>
      <c r="U1044" t="inlineStr">
        <is>
          <t>2006-03-21</t>
        </is>
      </c>
      <c r="V1044" t="inlineStr">
        <is>
          <t>2006-03-21</t>
        </is>
      </c>
      <c r="W1044" t="inlineStr">
        <is>
          <t>1990-03-20</t>
        </is>
      </c>
      <c r="X1044" t="inlineStr">
        <is>
          <t>1990-03-20</t>
        </is>
      </c>
      <c r="Y1044" t="n">
        <v>1271</v>
      </c>
      <c r="Z1044" t="n">
        <v>1182</v>
      </c>
      <c r="AA1044" t="n">
        <v>1682</v>
      </c>
      <c r="AB1044" t="n">
        <v>10</v>
      </c>
      <c r="AC1044" t="n">
        <v>13</v>
      </c>
      <c r="AD1044" t="n">
        <v>24</v>
      </c>
      <c r="AE1044" t="n">
        <v>29</v>
      </c>
      <c r="AF1044" t="n">
        <v>10</v>
      </c>
      <c r="AG1044" t="n">
        <v>14</v>
      </c>
      <c r="AH1044" t="n">
        <v>5</v>
      </c>
      <c r="AI1044" t="n">
        <v>5</v>
      </c>
      <c r="AJ1044" t="n">
        <v>12</v>
      </c>
      <c r="AK1044" t="n">
        <v>15</v>
      </c>
      <c r="AL1044" t="n">
        <v>3</v>
      </c>
      <c r="AM1044" t="n">
        <v>3</v>
      </c>
      <c r="AN1044" t="n">
        <v>0</v>
      </c>
      <c r="AO1044" t="n">
        <v>0</v>
      </c>
      <c r="AP1044" t="inlineStr">
        <is>
          <t>No</t>
        </is>
      </c>
      <c r="AQ1044" t="inlineStr">
        <is>
          <t>No</t>
        </is>
      </c>
      <c r="AS1044">
        <f>HYPERLINK("https://creighton-primo.hosted.exlibrisgroup.com/primo-explore/search?tab=default_tab&amp;search_scope=EVERYTHING&amp;vid=01CRU&amp;lang=en_US&amp;offset=0&amp;query=any,contains,991001279999702656","Catalog Record")</f>
        <v/>
      </c>
      <c r="AT1044">
        <f>HYPERLINK("http://www.worldcat.org/oclc/17916586","WorldCat Record")</f>
        <v/>
      </c>
      <c r="AU1044" t="inlineStr">
        <is>
          <t>546956:eng</t>
        </is>
      </c>
      <c r="AV1044" t="inlineStr">
        <is>
          <t>17916586</t>
        </is>
      </c>
      <c r="AW1044" t="inlineStr">
        <is>
          <t>991001279999702656</t>
        </is>
      </c>
      <c r="AX1044" t="inlineStr">
        <is>
          <t>991001279999702656</t>
        </is>
      </c>
      <c r="AY1044" t="inlineStr">
        <is>
          <t>2270407960002656</t>
        </is>
      </c>
      <c r="AZ1044" t="inlineStr">
        <is>
          <t>BOOK</t>
        </is>
      </c>
      <c r="BB1044" t="inlineStr">
        <is>
          <t>9780525247081</t>
        </is>
      </c>
      <c r="BC1044" t="inlineStr">
        <is>
          <t>32285000088723</t>
        </is>
      </c>
      <c r="BD1044" t="inlineStr">
        <is>
          <t>893684216</t>
        </is>
      </c>
    </row>
    <row r="1045">
      <c r="A1045" t="inlineStr">
        <is>
          <t>No</t>
        </is>
      </c>
      <c r="B1045" t="inlineStr">
        <is>
          <t>RC533 .T47 2001</t>
        </is>
      </c>
      <c r="C1045" t="inlineStr">
        <is>
          <t>0                      RC 0533000T  47          2001</t>
        </is>
      </c>
      <c r="D1045" t="inlineStr">
        <is>
          <t>The real 13th step : discovering confidence, self-reliance, and independence beyond the twelve-step programs / by Tina B. Tessina.</t>
        </is>
      </c>
      <c r="F1045" t="inlineStr">
        <is>
          <t>No</t>
        </is>
      </c>
      <c r="G1045" t="inlineStr">
        <is>
          <t>1</t>
        </is>
      </c>
      <c r="H1045" t="inlineStr">
        <is>
          <t>No</t>
        </is>
      </c>
      <c r="I1045" t="inlineStr">
        <is>
          <t>No</t>
        </is>
      </c>
      <c r="J1045" t="inlineStr">
        <is>
          <t>0</t>
        </is>
      </c>
      <c r="K1045" t="inlineStr">
        <is>
          <t>Tessina, Tina B.</t>
        </is>
      </c>
      <c r="L1045" t="inlineStr">
        <is>
          <t>Franklin Lakes, NJ : New Page Books, 2001.</t>
        </is>
      </c>
      <c r="M1045" t="inlineStr">
        <is>
          <t>2001</t>
        </is>
      </c>
      <c r="N1045" t="inlineStr">
        <is>
          <t>Rev. ed.</t>
        </is>
      </c>
      <c r="O1045" t="inlineStr">
        <is>
          <t>eng</t>
        </is>
      </c>
      <c r="P1045" t="inlineStr">
        <is>
          <t>nju</t>
        </is>
      </c>
      <c r="R1045" t="inlineStr">
        <is>
          <t xml:space="preserve">RC </t>
        </is>
      </c>
      <c r="S1045" t="n">
        <v>1</v>
      </c>
      <c r="T1045" t="n">
        <v>1</v>
      </c>
      <c r="U1045" t="inlineStr">
        <is>
          <t>2002-11-19</t>
        </is>
      </c>
      <c r="V1045" t="inlineStr">
        <is>
          <t>2002-11-19</t>
        </is>
      </c>
      <c r="W1045" t="inlineStr">
        <is>
          <t>2002-11-19</t>
        </is>
      </c>
      <c r="X1045" t="inlineStr">
        <is>
          <t>2002-11-19</t>
        </is>
      </c>
      <c r="Y1045" t="n">
        <v>105</v>
      </c>
      <c r="Z1045" t="n">
        <v>97</v>
      </c>
      <c r="AA1045" t="n">
        <v>107</v>
      </c>
      <c r="AB1045" t="n">
        <v>4</v>
      </c>
      <c r="AC1045" t="n">
        <v>4</v>
      </c>
      <c r="AD1045" t="n">
        <v>0</v>
      </c>
      <c r="AE1045" t="n">
        <v>0</v>
      </c>
      <c r="AF1045" t="n">
        <v>0</v>
      </c>
      <c r="AG1045" t="n">
        <v>0</v>
      </c>
      <c r="AH1045" t="n">
        <v>0</v>
      </c>
      <c r="AI1045" t="n">
        <v>0</v>
      </c>
      <c r="AJ1045" t="n">
        <v>0</v>
      </c>
      <c r="AK1045" t="n">
        <v>0</v>
      </c>
      <c r="AL1045" t="n">
        <v>0</v>
      </c>
      <c r="AM1045" t="n">
        <v>0</v>
      </c>
      <c r="AN1045" t="n">
        <v>0</v>
      </c>
      <c r="AO1045" t="n">
        <v>0</v>
      </c>
      <c r="AP1045" t="inlineStr">
        <is>
          <t>No</t>
        </is>
      </c>
      <c r="AQ1045" t="inlineStr">
        <is>
          <t>No</t>
        </is>
      </c>
      <c r="AS1045">
        <f>HYPERLINK("https://creighton-primo.hosted.exlibrisgroup.com/primo-explore/search?tab=default_tab&amp;search_scope=EVERYTHING&amp;vid=01CRU&amp;lang=en_US&amp;offset=0&amp;query=any,contains,991003930759702656","Catalog Record")</f>
        <v/>
      </c>
      <c r="AT1045">
        <f>HYPERLINK("http://www.worldcat.org/oclc/45500023","WorldCat Record")</f>
        <v/>
      </c>
      <c r="AU1045" t="inlineStr">
        <is>
          <t>4079220801:eng</t>
        </is>
      </c>
      <c r="AV1045" t="inlineStr">
        <is>
          <t>45500023</t>
        </is>
      </c>
      <c r="AW1045" t="inlineStr">
        <is>
          <t>991003930759702656</t>
        </is>
      </c>
      <c r="AX1045" t="inlineStr">
        <is>
          <t>991003930759702656</t>
        </is>
      </c>
      <c r="AY1045" t="inlineStr">
        <is>
          <t>2272668060002656</t>
        </is>
      </c>
      <c r="AZ1045" t="inlineStr">
        <is>
          <t>BOOK</t>
        </is>
      </c>
      <c r="BB1045" t="inlineStr">
        <is>
          <t>9781564145482</t>
        </is>
      </c>
      <c r="BC1045" t="inlineStr">
        <is>
          <t>32285004664594</t>
        </is>
      </c>
      <c r="BD1045" t="inlineStr">
        <is>
          <t>893253030</t>
        </is>
      </c>
    </row>
    <row r="1046">
      <c r="A1046" t="inlineStr">
        <is>
          <t>No</t>
        </is>
      </c>
      <c r="B1046" t="inlineStr">
        <is>
          <t>RC533 .W37 1989</t>
        </is>
      </c>
      <c r="C1046" t="inlineStr">
        <is>
          <t>0                      RC 0533000W  37          1989</t>
        </is>
      </c>
      <c r="D1046" t="inlineStr">
        <is>
          <t>Willpower's not enough : understanding and recovering from addictions of every kind / Arnold M. Washton, Donna Boundy.</t>
        </is>
      </c>
      <c r="F1046" t="inlineStr">
        <is>
          <t>No</t>
        </is>
      </c>
      <c r="G1046" t="inlineStr">
        <is>
          <t>1</t>
        </is>
      </c>
      <c r="H1046" t="inlineStr">
        <is>
          <t>No</t>
        </is>
      </c>
      <c r="I1046" t="inlineStr">
        <is>
          <t>No</t>
        </is>
      </c>
      <c r="J1046" t="inlineStr">
        <is>
          <t>0</t>
        </is>
      </c>
      <c r="K1046" t="inlineStr">
        <is>
          <t>Washton, Arnold M.</t>
        </is>
      </c>
      <c r="L1046" t="inlineStr">
        <is>
          <t>New York : Harper &amp; Row, c1989.</t>
        </is>
      </c>
      <c r="M1046" t="inlineStr">
        <is>
          <t>1989</t>
        </is>
      </c>
      <c r="N1046" t="inlineStr">
        <is>
          <t>1st ed.</t>
        </is>
      </c>
      <c r="O1046" t="inlineStr">
        <is>
          <t>eng</t>
        </is>
      </c>
      <c r="P1046" t="inlineStr">
        <is>
          <t>nyu</t>
        </is>
      </c>
      <c r="R1046" t="inlineStr">
        <is>
          <t xml:space="preserve">RC </t>
        </is>
      </c>
      <c r="S1046" t="n">
        <v>7</v>
      </c>
      <c r="T1046" t="n">
        <v>7</v>
      </c>
      <c r="U1046" t="inlineStr">
        <is>
          <t>2009-04-14</t>
        </is>
      </c>
      <c r="V1046" t="inlineStr">
        <is>
          <t>2009-04-14</t>
        </is>
      </c>
      <c r="W1046" t="inlineStr">
        <is>
          <t>2002-11-11</t>
        </is>
      </c>
      <c r="X1046" t="inlineStr">
        <is>
          <t>2002-11-11</t>
        </is>
      </c>
      <c r="Y1046" t="n">
        <v>344</v>
      </c>
      <c r="Z1046" t="n">
        <v>328</v>
      </c>
      <c r="AA1046" t="n">
        <v>433</v>
      </c>
      <c r="AB1046" t="n">
        <v>1</v>
      </c>
      <c r="AC1046" t="n">
        <v>2</v>
      </c>
      <c r="AD1046" t="n">
        <v>8</v>
      </c>
      <c r="AE1046" t="n">
        <v>10</v>
      </c>
      <c r="AF1046" t="n">
        <v>3</v>
      </c>
      <c r="AG1046" t="n">
        <v>3</v>
      </c>
      <c r="AH1046" t="n">
        <v>1</v>
      </c>
      <c r="AI1046" t="n">
        <v>1</v>
      </c>
      <c r="AJ1046" t="n">
        <v>6</v>
      </c>
      <c r="AK1046" t="n">
        <v>7</v>
      </c>
      <c r="AL1046" t="n">
        <v>0</v>
      </c>
      <c r="AM1046" t="n">
        <v>1</v>
      </c>
      <c r="AN1046" t="n">
        <v>0</v>
      </c>
      <c r="AO1046" t="n">
        <v>0</v>
      </c>
      <c r="AP1046" t="inlineStr">
        <is>
          <t>No</t>
        </is>
      </c>
      <c r="AQ1046" t="inlineStr">
        <is>
          <t>Yes</t>
        </is>
      </c>
      <c r="AR1046">
        <f>HYPERLINK("http://catalog.hathitrust.org/Record/001298918","HathiTrust Record")</f>
        <v/>
      </c>
      <c r="AS1046">
        <f>HYPERLINK("https://creighton-primo.hosted.exlibrisgroup.com/primo-explore/search?tab=default_tab&amp;search_scope=EVERYTHING&amp;vid=01CRU&amp;lang=en_US&amp;offset=0&amp;query=any,contains,991003932939702656","Catalog Record")</f>
        <v/>
      </c>
      <c r="AT1046">
        <f>HYPERLINK("http://www.worldcat.org/oclc/19814969","WorldCat Record")</f>
        <v/>
      </c>
      <c r="AU1046" t="inlineStr">
        <is>
          <t>21365792:eng</t>
        </is>
      </c>
      <c r="AV1046" t="inlineStr">
        <is>
          <t>19814969</t>
        </is>
      </c>
      <c r="AW1046" t="inlineStr">
        <is>
          <t>991003932939702656</t>
        </is>
      </c>
      <c r="AX1046" t="inlineStr">
        <is>
          <t>991003932939702656</t>
        </is>
      </c>
      <c r="AY1046" t="inlineStr">
        <is>
          <t>2267951740002656</t>
        </is>
      </c>
      <c r="AZ1046" t="inlineStr">
        <is>
          <t>BOOK</t>
        </is>
      </c>
      <c r="BB1046" t="inlineStr">
        <is>
          <t>9780060159962</t>
        </is>
      </c>
      <c r="BC1046" t="inlineStr">
        <is>
          <t>32285004662333</t>
        </is>
      </c>
      <c r="BD1046" t="inlineStr">
        <is>
          <t>893711959</t>
        </is>
      </c>
    </row>
    <row r="1047">
      <c r="A1047" t="inlineStr">
        <is>
          <t>No</t>
        </is>
      </c>
      <c r="B1047" t="inlineStr">
        <is>
          <t>RC534 .H34</t>
        </is>
      </c>
      <c r="C1047" t="inlineStr">
        <is>
          <t>0                      RC 0534000H  34</t>
        </is>
      </c>
      <c r="D1047" t="inlineStr">
        <is>
          <t>Hallucinations : behavior, experience, and theory / edited by R. K. Siegel and L. J. West.</t>
        </is>
      </c>
      <c r="F1047" t="inlineStr">
        <is>
          <t>No</t>
        </is>
      </c>
      <c r="G1047" t="inlineStr">
        <is>
          <t>1</t>
        </is>
      </c>
      <c r="H1047" t="inlineStr">
        <is>
          <t>No</t>
        </is>
      </c>
      <c r="I1047" t="inlineStr">
        <is>
          <t>No</t>
        </is>
      </c>
      <c r="J1047" t="inlineStr">
        <is>
          <t>0</t>
        </is>
      </c>
      <c r="L1047" t="inlineStr">
        <is>
          <t>New York : Wiley, [1975]</t>
        </is>
      </c>
      <c r="M1047" t="inlineStr">
        <is>
          <t>1975</t>
        </is>
      </c>
      <c r="O1047" t="inlineStr">
        <is>
          <t>eng</t>
        </is>
      </c>
      <c r="P1047" t="inlineStr">
        <is>
          <t>nyu</t>
        </is>
      </c>
      <c r="Q1047" t="inlineStr">
        <is>
          <t>A Wiley biomedical publication</t>
        </is>
      </c>
      <c r="R1047" t="inlineStr">
        <is>
          <t xml:space="preserve">RC </t>
        </is>
      </c>
      <c r="S1047" t="n">
        <v>6</v>
      </c>
      <c r="T1047" t="n">
        <v>6</v>
      </c>
      <c r="U1047" t="inlineStr">
        <is>
          <t>2006-10-11</t>
        </is>
      </c>
      <c r="V1047" t="inlineStr">
        <is>
          <t>2006-10-11</t>
        </is>
      </c>
      <c r="W1047" t="inlineStr">
        <is>
          <t>1991-09-27</t>
        </is>
      </c>
      <c r="X1047" t="inlineStr">
        <is>
          <t>1991-09-27</t>
        </is>
      </c>
      <c r="Y1047" t="n">
        <v>461</v>
      </c>
      <c r="Z1047" t="n">
        <v>360</v>
      </c>
      <c r="AA1047" t="n">
        <v>362</v>
      </c>
      <c r="AB1047" t="n">
        <v>3</v>
      </c>
      <c r="AC1047" t="n">
        <v>3</v>
      </c>
      <c r="AD1047" t="n">
        <v>14</v>
      </c>
      <c r="AE1047" t="n">
        <v>14</v>
      </c>
      <c r="AF1047" t="n">
        <v>4</v>
      </c>
      <c r="AG1047" t="n">
        <v>4</v>
      </c>
      <c r="AH1047" t="n">
        <v>1</v>
      </c>
      <c r="AI1047" t="n">
        <v>1</v>
      </c>
      <c r="AJ1047" t="n">
        <v>8</v>
      </c>
      <c r="AK1047" t="n">
        <v>8</v>
      </c>
      <c r="AL1047" t="n">
        <v>2</v>
      </c>
      <c r="AM1047" t="n">
        <v>2</v>
      </c>
      <c r="AN1047" t="n">
        <v>0</v>
      </c>
      <c r="AO1047" t="n">
        <v>0</v>
      </c>
      <c r="AP1047" t="inlineStr">
        <is>
          <t>No</t>
        </is>
      </c>
      <c r="AQ1047" t="inlineStr">
        <is>
          <t>Yes</t>
        </is>
      </c>
      <c r="AR1047">
        <f>HYPERLINK("http://catalog.hathitrust.org/Record/000028646","HathiTrust Record")</f>
        <v/>
      </c>
      <c r="AS1047">
        <f>HYPERLINK("https://creighton-primo.hosted.exlibrisgroup.com/primo-explore/search?tab=default_tab&amp;search_scope=EVERYTHING&amp;vid=01CRU&amp;lang=en_US&amp;offset=0&amp;query=any,contains,991003874049702656","Catalog Record")</f>
        <v/>
      </c>
      <c r="AT1047">
        <f>HYPERLINK("http://www.worldcat.org/oclc/1701552","WorldCat Record")</f>
        <v/>
      </c>
      <c r="AU1047" t="inlineStr">
        <is>
          <t>903478352:eng</t>
        </is>
      </c>
      <c r="AV1047" t="inlineStr">
        <is>
          <t>1701552</t>
        </is>
      </c>
      <c r="AW1047" t="inlineStr">
        <is>
          <t>991003874049702656</t>
        </is>
      </c>
      <c r="AX1047" t="inlineStr">
        <is>
          <t>991003874049702656</t>
        </is>
      </c>
      <c r="AY1047" t="inlineStr">
        <is>
          <t>2269929370002656</t>
        </is>
      </c>
      <c r="AZ1047" t="inlineStr">
        <is>
          <t>BOOK</t>
        </is>
      </c>
      <c r="BB1047" t="inlineStr">
        <is>
          <t>9780471790969</t>
        </is>
      </c>
      <c r="BC1047" t="inlineStr">
        <is>
          <t>32285000760248</t>
        </is>
      </c>
      <c r="BD1047" t="inlineStr">
        <is>
          <t>893353086</t>
        </is>
      </c>
    </row>
    <row r="1048">
      <c r="A1048" t="inlineStr">
        <is>
          <t>No</t>
        </is>
      </c>
      <c r="B1048" t="inlineStr">
        <is>
          <t>RC535 .A36 1982</t>
        </is>
      </c>
      <c r="C1048" t="inlineStr">
        <is>
          <t>0                      RC 0535000A  36          1982</t>
        </is>
      </c>
      <c r="D1048" t="inlineStr">
        <is>
          <t>Agoraphobia : multiple perspectives on theory and treatment / edited by Dianne L. Chambless, Alan J. Goldstein.</t>
        </is>
      </c>
      <c r="F1048" t="inlineStr">
        <is>
          <t>No</t>
        </is>
      </c>
      <c r="G1048" t="inlineStr">
        <is>
          <t>1</t>
        </is>
      </c>
      <c r="H1048" t="inlineStr">
        <is>
          <t>No</t>
        </is>
      </c>
      <c r="I1048" t="inlineStr">
        <is>
          <t>No</t>
        </is>
      </c>
      <c r="J1048" t="inlineStr">
        <is>
          <t>0</t>
        </is>
      </c>
      <c r="L1048" t="inlineStr">
        <is>
          <t>New York : Wiley, c1982.</t>
        </is>
      </c>
      <c r="M1048" t="inlineStr">
        <is>
          <t>1982</t>
        </is>
      </c>
      <c r="O1048" t="inlineStr">
        <is>
          <t>eng</t>
        </is>
      </c>
      <c r="P1048" t="inlineStr">
        <is>
          <t>nyu</t>
        </is>
      </c>
      <c r="Q1048" t="inlineStr">
        <is>
          <t>Wiley series on personality processes, 0195-4008</t>
        </is>
      </c>
      <c r="R1048" t="inlineStr">
        <is>
          <t xml:space="preserve">RC </t>
        </is>
      </c>
      <c r="S1048" t="n">
        <v>23</v>
      </c>
      <c r="T1048" t="n">
        <v>23</v>
      </c>
      <c r="U1048" t="inlineStr">
        <is>
          <t>2007-02-28</t>
        </is>
      </c>
      <c r="V1048" t="inlineStr">
        <is>
          <t>2007-02-28</t>
        </is>
      </c>
      <c r="W1048" t="inlineStr">
        <is>
          <t>1990-04-10</t>
        </is>
      </c>
      <c r="X1048" t="inlineStr">
        <is>
          <t>1990-04-10</t>
        </is>
      </c>
      <c r="Y1048" t="n">
        <v>454</v>
      </c>
      <c r="Z1048" t="n">
        <v>382</v>
      </c>
      <c r="AA1048" t="n">
        <v>385</v>
      </c>
      <c r="AB1048" t="n">
        <v>3</v>
      </c>
      <c r="AC1048" t="n">
        <v>3</v>
      </c>
      <c r="AD1048" t="n">
        <v>22</v>
      </c>
      <c r="AE1048" t="n">
        <v>22</v>
      </c>
      <c r="AF1048" t="n">
        <v>7</v>
      </c>
      <c r="AG1048" t="n">
        <v>7</v>
      </c>
      <c r="AH1048" t="n">
        <v>4</v>
      </c>
      <c r="AI1048" t="n">
        <v>4</v>
      </c>
      <c r="AJ1048" t="n">
        <v>12</v>
      </c>
      <c r="AK1048" t="n">
        <v>12</v>
      </c>
      <c r="AL1048" t="n">
        <v>2</v>
      </c>
      <c r="AM1048" t="n">
        <v>2</v>
      </c>
      <c r="AN1048" t="n">
        <v>0</v>
      </c>
      <c r="AO1048" t="n">
        <v>0</v>
      </c>
      <c r="AP1048" t="inlineStr">
        <is>
          <t>No</t>
        </is>
      </c>
      <c r="AQ1048" t="inlineStr">
        <is>
          <t>Yes</t>
        </is>
      </c>
      <c r="AR1048">
        <f>HYPERLINK("http://catalog.hathitrust.org/Record/008580166","HathiTrust Record")</f>
        <v/>
      </c>
      <c r="AS1048">
        <f>HYPERLINK("https://creighton-primo.hosted.exlibrisgroup.com/primo-explore/search?tab=default_tab&amp;search_scope=EVERYTHING&amp;vid=01CRU&amp;lang=en_US&amp;offset=0&amp;query=any,contains,991005240249702656","Catalog Record")</f>
        <v/>
      </c>
      <c r="AT1048">
        <f>HYPERLINK("http://www.worldcat.org/oclc/8410421","WorldCat Record")</f>
        <v/>
      </c>
      <c r="AU1048" t="inlineStr">
        <is>
          <t>908582352:eng</t>
        </is>
      </c>
      <c r="AV1048" t="inlineStr">
        <is>
          <t>8410421</t>
        </is>
      </c>
      <c r="AW1048" t="inlineStr">
        <is>
          <t>991005240249702656</t>
        </is>
      </c>
      <c r="AX1048" t="inlineStr">
        <is>
          <t>991005240249702656</t>
        </is>
      </c>
      <c r="AY1048" t="inlineStr">
        <is>
          <t>2259188780002656</t>
        </is>
      </c>
      <c r="AZ1048" t="inlineStr">
        <is>
          <t>BOOK</t>
        </is>
      </c>
      <c r="BB1048" t="inlineStr">
        <is>
          <t>9780471079477</t>
        </is>
      </c>
      <c r="BC1048" t="inlineStr">
        <is>
          <t>32285000113547</t>
        </is>
      </c>
      <c r="BD1048" t="inlineStr">
        <is>
          <t>893789667</t>
        </is>
      </c>
    </row>
    <row r="1049">
      <c r="A1049" t="inlineStr">
        <is>
          <t>No</t>
        </is>
      </c>
      <c r="B1049" t="inlineStr">
        <is>
          <t>RC535 .F75 1985</t>
        </is>
      </c>
      <c r="C1049" t="inlineStr">
        <is>
          <t>0                      RC 0535000F  75          1985</t>
        </is>
      </c>
      <c r="D1049" t="inlineStr">
        <is>
          <t>Who's afraid? : the phobic's handbook / by Barbara Fried ; illustrated by Robert Seaver.</t>
        </is>
      </c>
      <c r="F1049" t="inlineStr">
        <is>
          <t>No</t>
        </is>
      </c>
      <c r="G1049" t="inlineStr">
        <is>
          <t>1</t>
        </is>
      </c>
      <c r="H1049" t="inlineStr">
        <is>
          <t>No</t>
        </is>
      </c>
      <c r="I1049" t="inlineStr">
        <is>
          <t>No</t>
        </is>
      </c>
      <c r="J1049" t="inlineStr">
        <is>
          <t>0</t>
        </is>
      </c>
      <c r="K1049" t="inlineStr">
        <is>
          <t>Fried, Barbara, 1924-</t>
        </is>
      </c>
      <c r="L1049" t="inlineStr">
        <is>
          <t>New York : Gardner Press, c1985.</t>
        </is>
      </c>
      <c r="M1049" t="inlineStr">
        <is>
          <t>1985</t>
        </is>
      </c>
      <c r="O1049" t="inlineStr">
        <is>
          <t>eng</t>
        </is>
      </c>
      <c r="P1049" t="inlineStr">
        <is>
          <t>nyu</t>
        </is>
      </c>
      <c r="R1049" t="inlineStr">
        <is>
          <t xml:space="preserve">RC </t>
        </is>
      </c>
      <c r="S1049" t="n">
        <v>24</v>
      </c>
      <c r="T1049" t="n">
        <v>24</v>
      </c>
      <c r="U1049" t="inlineStr">
        <is>
          <t>2004-12-04</t>
        </is>
      </c>
      <c r="V1049" t="inlineStr">
        <is>
          <t>2004-12-04</t>
        </is>
      </c>
      <c r="W1049" t="inlineStr">
        <is>
          <t>1991-11-06</t>
        </is>
      </c>
      <c r="X1049" t="inlineStr">
        <is>
          <t>1991-11-06</t>
        </is>
      </c>
      <c r="Y1049" t="n">
        <v>64</v>
      </c>
      <c r="Z1049" t="n">
        <v>59</v>
      </c>
      <c r="AA1049" t="n">
        <v>139</v>
      </c>
      <c r="AB1049" t="n">
        <v>1</v>
      </c>
      <c r="AC1049" t="n">
        <v>2</v>
      </c>
      <c r="AD1049" t="n">
        <v>3</v>
      </c>
      <c r="AE1049" t="n">
        <v>3</v>
      </c>
      <c r="AF1049" t="n">
        <v>1</v>
      </c>
      <c r="AG1049" t="n">
        <v>1</v>
      </c>
      <c r="AH1049" t="n">
        <v>0</v>
      </c>
      <c r="AI1049" t="n">
        <v>0</v>
      </c>
      <c r="AJ1049" t="n">
        <v>2</v>
      </c>
      <c r="AK1049" t="n">
        <v>2</v>
      </c>
      <c r="AL1049" t="n">
        <v>0</v>
      </c>
      <c r="AM1049" t="n">
        <v>0</v>
      </c>
      <c r="AN1049" t="n">
        <v>0</v>
      </c>
      <c r="AO1049" t="n">
        <v>0</v>
      </c>
      <c r="AP1049" t="inlineStr">
        <is>
          <t>No</t>
        </is>
      </c>
      <c r="AQ1049" t="inlineStr">
        <is>
          <t>No</t>
        </is>
      </c>
      <c r="AS1049">
        <f>HYPERLINK("https://creighton-primo.hosted.exlibrisgroup.com/primo-explore/search?tab=default_tab&amp;search_scope=EVERYTHING&amp;vid=01CRU&amp;lang=en_US&amp;offset=0&amp;query=any,contains,991000559159702656","Catalog Record")</f>
        <v/>
      </c>
      <c r="AT1049">
        <f>HYPERLINK("http://www.worldcat.org/oclc/11574335","WorldCat Record")</f>
        <v/>
      </c>
      <c r="AU1049" t="inlineStr">
        <is>
          <t>1257301:eng</t>
        </is>
      </c>
      <c r="AV1049" t="inlineStr">
        <is>
          <t>11574335</t>
        </is>
      </c>
      <c r="AW1049" t="inlineStr">
        <is>
          <t>991000559159702656</t>
        </is>
      </c>
      <c r="AX1049" t="inlineStr">
        <is>
          <t>991000559159702656</t>
        </is>
      </c>
      <c r="AY1049" t="inlineStr">
        <is>
          <t>2264939490002656</t>
        </is>
      </c>
      <c r="AZ1049" t="inlineStr">
        <is>
          <t>BOOK</t>
        </is>
      </c>
      <c r="BB1049" t="inlineStr">
        <is>
          <t>9780898761047</t>
        </is>
      </c>
      <c r="BC1049" t="inlineStr">
        <is>
          <t>32285000798370</t>
        </is>
      </c>
      <c r="BD1049" t="inlineStr">
        <is>
          <t>893339660</t>
        </is>
      </c>
    </row>
    <row r="1050">
      <c r="A1050" t="inlineStr">
        <is>
          <t>No</t>
        </is>
      </c>
      <c r="B1050" t="inlineStr">
        <is>
          <t>RC535 .M373 1987</t>
        </is>
      </c>
      <c r="C1050" t="inlineStr">
        <is>
          <t>0                      RC 0535000M  373         1987</t>
        </is>
      </c>
      <c r="D1050" t="inlineStr">
        <is>
          <t>Fears, phobias, and rituals : panic, anxiety, and their disorders / Isaac M. Marks.</t>
        </is>
      </c>
      <c r="F1050" t="inlineStr">
        <is>
          <t>No</t>
        </is>
      </c>
      <c r="G1050" t="inlineStr">
        <is>
          <t>1</t>
        </is>
      </c>
      <c r="H1050" t="inlineStr">
        <is>
          <t>No</t>
        </is>
      </c>
      <c r="I1050" t="inlineStr">
        <is>
          <t>No</t>
        </is>
      </c>
      <c r="J1050" t="inlineStr">
        <is>
          <t>0</t>
        </is>
      </c>
      <c r="K1050" t="inlineStr">
        <is>
          <t>Marks, Isaac Meyer.</t>
        </is>
      </c>
      <c r="L1050" t="inlineStr">
        <is>
          <t>New York : Oxford University Press, 1987.</t>
        </is>
      </c>
      <c r="M1050" t="inlineStr">
        <is>
          <t>1987</t>
        </is>
      </c>
      <c r="O1050" t="inlineStr">
        <is>
          <t>eng</t>
        </is>
      </c>
      <c r="P1050" t="inlineStr">
        <is>
          <t>nyu</t>
        </is>
      </c>
      <c r="R1050" t="inlineStr">
        <is>
          <t xml:space="preserve">RC </t>
        </is>
      </c>
      <c r="S1050" t="n">
        <v>52</v>
      </c>
      <c r="T1050" t="n">
        <v>52</v>
      </c>
      <c r="U1050" t="inlineStr">
        <is>
          <t>2005-09-22</t>
        </is>
      </c>
      <c r="V1050" t="inlineStr">
        <is>
          <t>2005-09-22</t>
        </is>
      </c>
      <c r="W1050" t="inlineStr">
        <is>
          <t>1990-02-21</t>
        </is>
      </c>
      <c r="X1050" t="inlineStr">
        <is>
          <t>1990-02-21</t>
        </is>
      </c>
      <c r="Y1050" t="n">
        <v>483</v>
      </c>
      <c r="Z1050" t="n">
        <v>338</v>
      </c>
      <c r="AA1050" t="n">
        <v>678</v>
      </c>
      <c r="AB1050" t="n">
        <v>2</v>
      </c>
      <c r="AC1050" t="n">
        <v>6</v>
      </c>
      <c r="AD1050" t="n">
        <v>11</v>
      </c>
      <c r="AE1050" t="n">
        <v>30</v>
      </c>
      <c r="AF1050" t="n">
        <v>4</v>
      </c>
      <c r="AG1050" t="n">
        <v>10</v>
      </c>
      <c r="AH1050" t="n">
        <v>2</v>
      </c>
      <c r="AI1050" t="n">
        <v>7</v>
      </c>
      <c r="AJ1050" t="n">
        <v>8</v>
      </c>
      <c r="AK1050" t="n">
        <v>13</v>
      </c>
      <c r="AL1050" t="n">
        <v>1</v>
      </c>
      <c r="AM1050" t="n">
        <v>5</v>
      </c>
      <c r="AN1050" t="n">
        <v>0</v>
      </c>
      <c r="AO1050" t="n">
        <v>1</v>
      </c>
      <c r="AP1050" t="inlineStr">
        <is>
          <t>No</t>
        </is>
      </c>
      <c r="AQ1050" t="inlineStr">
        <is>
          <t>No</t>
        </is>
      </c>
      <c r="AS1050">
        <f>HYPERLINK("https://creighton-primo.hosted.exlibrisgroup.com/primo-explore/search?tab=default_tab&amp;search_scope=EVERYTHING&amp;vid=01CRU&amp;lang=en_US&amp;offset=0&amp;query=any,contains,991000937729702656","Catalog Record")</f>
        <v/>
      </c>
      <c r="AT1050">
        <f>HYPERLINK("http://www.worldcat.org/oclc/14376862","WorldCat Record")</f>
        <v/>
      </c>
      <c r="AU1050" t="inlineStr">
        <is>
          <t>793989586:eng</t>
        </is>
      </c>
      <c r="AV1050" t="inlineStr">
        <is>
          <t>14376862</t>
        </is>
      </c>
      <c r="AW1050" t="inlineStr">
        <is>
          <t>991000937729702656</t>
        </is>
      </c>
      <c r="AX1050" t="inlineStr">
        <is>
          <t>991000937729702656</t>
        </is>
      </c>
      <c r="AY1050" t="inlineStr">
        <is>
          <t>2264166150002656</t>
        </is>
      </c>
      <c r="AZ1050" t="inlineStr">
        <is>
          <t>BOOK</t>
        </is>
      </c>
      <c r="BB1050" t="inlineStr">
        <is>
          <t>9780195039276</t>
        </is>
      </c>
      <c r="BC1050" t="inlineStr">
        <is>
          <t>32285000058635</t>
        </is>
      </c>
      <c r="BD1050" t="inlineStr">
        <is>
          <t>893903213</t>
        </is>
      </c>
    </row>
    <row r="1051">
      <c r="A1051" t="inlineStr">
        <is>
          <t>No</t>
        </is>
      </c>
      <c r="B1051" t="inlineStr">
        <is>
          <t>RC535 .M396 1994</t>
        </is>
      </c>
      <c r="C1051" t="inlineStr">
        <is>
          <t>0                      RC 0535000M  396         1994</t>
        </is>
      </c>
      <c r="D1051" t="inlineStr">
        <is>
          <t>Panic disorder : a critical analysis / Richard J. McNally.</t>
        </is>
      </c>
      <c r="F1051" t="inlineStr">
        <is>
          <t>No</t>
        </is>
      </c>
      <c r="G1051" t="inlineStr">
        <is>
          <t>1</t>
        </is>
      </c>
      <c r="H1051" t="inlineStr">
        <is>
          <t>No</t>
        </is>
      </c>
      <c r="I1051" t="inlineStr">
        <is>
          <t>No</t>
        </is>
      </c>
      <c r="J1051" t="inlineStr">
        <is>
          <t>0</t>
        </is>
      </c>
      <c r="K1051" t="inlineStr">
        <is>
          <t>McNally, Richard J.</t>
        </is>
      </c>
      <c r="L1051" t="inlineStr">
        <is>
          <t>New York : Guilford Press, c1994</t>
        </is>
      </c>
      <c r="M1051" t="inlineStr">
        <is>
          <t>1994</t>
        </is>
      </c>
      <c r="O1051" t="inlineStr">
        <is>
          <t>eng</t>
        </is>
      </c>
      <c r="P1051" t="inlineStr">
        <is>
          <t>nyu</t>
        </is>
      </c>
      <c r="R1051" t="inlineStr">
        <is>
          <t xml:space="preserve">RC </t>
        </is>
      </c>
      <c r="S1051" t="n">
        <v>26</v>
      </c>
      <c r="T1051" t="n">
        <v>26</v>
      </c>
      <c r="U1051" t="inlineStr">
        <is>
          <t>2005-02-16</t>
        </is>
      </c>
      <c r="V1051" t="inlineStr">
        <is>
          <t>2005-02-16</t>
        </is>
      </c>
      <c r="W1051" t="inlineStr">
        <is>
          <t>1996-09-11</t>
        </is>
      </c>
      <c r="X1051" t="inlineStr">
        <is>
          <t>1996-09-11</t>
        </is>
      </c>
      <c r="Y1051" t="n">
        <v>570</v>
      </c>
      <c r="Z1051" t="n">
        <v>476</v>
      </c>
      <c r="AA1051" t="n">
        <v>477</v>
      </c>
      <c r="AB1051" t="n">
        <v>7</v>
      </c>
      <c r="AC1051" t="n">
        <v>7</v>
      </c>
      <c r="AD1051" t="n">
        <v>28</v>
      </c>
      <c r="AE1051" t="n">
        <v>28</v>
      </c>
      <c r="AF1051" t="n">
        <v>10</v>
      </c>
      <c r="AG1051" t="n">
        <v>10</v>
      </c>
      <c r="AH1051" t="n">
        <v>5</v>
      </c>
      <c r="AI1051" t="n">
        <v>5</v>
      </c>
      <c r="AJ1051" t="n">
        <v>13</v>
      </c>
      <c r="AK1051" t="n">
        <v>13</v>
      </c>
      <c r="AL1051" t="n">
        <v>6</v>
      </c>
      <c r="AM1051" t="n">
        <v>6</v>
      </c>
      <c r="AN1051" t="n">
        <v>0</v>
      </c>
      <c r="AO1051" t="n">
        <v>0</v>
      </c>
      <c r="AP1051" t="inlineStr">
        <is>
          <t>No</t>
        </is>
      </c>
      <c r="AQ1051" t="inlineStr">
        <is>
          <t>No</t>
        </is>
      </c>
      <c r="AS1051">
        <f>HYPERLINK("https://creighton-primo.hosted.exlibrisgroup.com/primo-explore/search?tab=default_tab&amp;search_scope=EVERYTHING&amp;vid=01CRU&amp;lang=en_US&amp;offset=0&amp;query=any,contains,991002360999702656","Catalog Record")</f>
        <v/>
      </c>
      <c r="AT1051">
        <f>HYPERLINK("http://www.worldcat.org/oclc/30701895","WorldCat Record")</f>
        <v/>
      </c>
      <c r="AU1051" t="inlineStr">
        <is>
          <t>891277783:eng</t>
        </is>
      </c>
      <c r="AV1051" t="inlineStr">
        <is>
          <t>30701895</t>
        </is>
      </c>
      <c r="AW1051" t="inlineStr">
        <is>
          <t>991002360999702656</t>
        </is>
      </c>
      <c r="AX1051" t="inlineStr">
        <is>
          <t>991002360999702656</t>
        </is>
      </c>
      <c r="AY1051" t="inlineStr">
        <is>
          <t>2263919930002656</t>
        </is>
      </c>
      <c r="AZ1051" t="inlineStr">
        <is>
          <t>BOOK</t>
        </is>
      </c>
      <c r="BB1051" t="inlineStr">
        <is>
          <t>9780898622638</t>
        </is>
      </c>
      <c r="BC1051" t="inlineStr">
        <is>
          <t>32285002317005</t>
        </is>
      </c>
      <c r="BD1051" t="inlineStr">
        <is>
          <t>893534975</t>
        </is>
      </c>
    </row>
    <row r="1052">
      <c r="A1052" t="inlineStr">
        <is>
          <t>No</t>
        </is>
      </c>
      <c r="B1052" t="inlineStr">
        <is>
          <t>RC535 .P353 1988</t>
        </is>
      </c>
      <c r="C1052" t="inlineStr">
        <is>
          <t>0                      RC 0535000P  353         1988</t>
        </is>
      </c>
      <c r="D1052" t="inlineStr">
        <is>
          <t>Panic and phobias 2 : treatments and variables affecting course and outcome / edited by Iver Hand and Hans-Ulrich Wittchen ; foreword by G.L. Klerman ; epilogue by I.M. Marks.</t>
        </is>
      </c>
      <c r="F1052" t="inlineStr">
        <is>
          <t>No</t>
        </is>
      </c>
      <c r="G1052" t="inlineStr">
        <is>
          <t>1</t>
        </is>
      </c>
      <c r="H1052" t="inlineStr">
        <is>
          <t>No</t>
        </is>
      </c>
      <c r="I1052" t="inlineStr">
        <is>
          <t>No</t>
        </is>
      </c>
      <c r="J1052" t="inlineStr">
        <is>
          <t>0</t>
        </is>
      </c>
      <c r="L1052" t="inlineStr">
        <is>
          <t>Berlin ; New York : Springer-Verlag, c1988.</t>
        </is>
      </c>
      <c r="M1052" t="inlineStr">
        <is>
          <t>1988</t>
        </is>
      </c>
      <c r="O1052" t="inlineStr">
        <is>
          <t>eng</t>
        </is>
      </c>
      <c r="P1052" t="inlineStr">
        <is>
          <t xml:space="preserve">gw </t>
        </is>
      </c>
      <c r="R1052" t="inlineStr">
        <is>
          <t xml:space="preserve">RC </t>
        </is>
      </c>
      <c r="S1052" t="n">
        <v>27</v>
      </c>
      <c r="T1052" t="n">
        <v>27</v>
      </c>
      <c r="U1052" t="inlineStr">
        <is>
          <t>2005-02-16</t>
        </is>
      </c>
      <c r="V1052" t="inlineStr">
        <is>
          <t>2005-02-16</t>
        </is>
      </c>
      <c r="W1052" t="inlineStr">
        <is>
          <t>1991-02-01</t>
        </is>
      </c>
      <c r="X1052" t="inlineStr">
        <is>
          <t>1991-02-01</t>
        </is>
      </c>
      <c r="Y1052" t="n">
        <v>115</v>
      </c>
      <c r="Z1052" t="n">
        <v>84</v>
      </c>
      <c r="AA1052" t="n">
        <v>114</v>
      </c>
      <c r="AB1052" t="n">
        <v>2</v>
      </c>
      <c r="AC1052" t="n">
        <v>2</v>
      </c>
      <c r="AD1052" t="n">
        <v>2</v>
      </c>
      <c r="AE1052" t="n">
        <v>4</v>
      </c>
      <c r="AF1052" t="n">
        <v>0</v>
      </c>
      <c r="AG1052" t="n">
        <v>2</v>
      </c>
      <c r="AH1052" t="n">
        <v>1</v>
      </c>
      <c r="AI1052" t="n">
        <v>1</v>
      </c>
      <c r="AJ1052" t="n">
        <v>0</v>
      </c>
      <c r="AK1052" t="n">
        <v>1</v>
      </c>
      <c r="AL1052" t="n">
        <v>1</v>
      </c>
      <c r="AM1052" t="n">
        <v>1</v>
      </c>
      <c r="AN1052" t="n">
        <v>0</v>
      </c>
      <c r="AO1052" t="n">
        <v>0</v>
      </c>
      <c r="AP1052" t="inlineStr">
        <is>
          <t>No</t>
        </is>
      </c>
      <c r="AQ1052" t="inlineStr">
        <is>
          <t>Yes</t>
        </is>
      </c>
      <c r="AR1052">
        <f>HYPERLINK("http://catalog.hathitrust.org/Record/008580168","HathiTrust Record")</f>
        <v/>
      </c>
      <c r="AS1052">
        <f>HYPERLINK("https://creighton-primo.hosted.exlibrisgroup.com/primo-explore/search?tab=default_tab&amp;search_scope=EVERYTHING&amp;vid=01CRU&amp;lang=en_US&amp;offset=0&amp;query=any,contains,991001282169702656","Catalog Record")</f>
        <v/>
      </c>
      <c r="AT1052">
        <f>HYPERLINK("http://www.worldcat.org/oclc/17880394","WorldCat Record")</f>
        <v/>
      </c>
      <c r="AU1052" t="inlineStr">
        <is>
          <t>16830389:eng</t>
        </is>
      </c>
      <c r="AV1052" t="inlineStr">
        <is>
          <t>17880394</t>
        </is>
      </c>
      <c r="AW1052" t="inlineStr">
        <is>
          <t>991001282169702656</t>
        </is>
      </c>
      <c r="AX1052" t="inlineStr">
        <is>
          <t>991001282169702656</t>
        </is>
      </c>
      <c r="AY1052" t="inlineStr">
        <is>
          <t>2269301830002656</t>
        </is>
      </c>
      <c r="AZ1052" t="inlineStr">
        <is>
          <t>BOOK</t>
        </is>
      </c>
      <c r="BB1052" t="inlineStr">
        <is>
          <t>9780387190884</t>
        </is>
      </c>
      <c r="BC1052" t="inlineStr">
        <is>
          <t>32285000462977</t>
        </is>
      </c>
      <c r="BD1052" t="inlineStr">
        <is>
          <t>893785001</t>
        </is>
      </c>
    </row>
    <row r="1053">
      <c r="A1053" t="inlineStr">
        <is>
          <t>No</t>
        </is>
      </c>
      <c r="B1053" t="inlineStr">
        <is>
          <t>RC535 .R27</t>
        </is>
      </c>
      <c r="C1053" t="inlineStr">
        <is>
          <t>0                      RC 0535000R  27</t>
        </is>
      </c>
      <c r="D1053" t="inlineStr">
        <is>
          <t>Phobias : their nature and control / by S. Rachman.</t>
        </is>
      </c>
      <c r="F1053" t="inlineStr">
        <is>
          <t>No</t>
        </is>
      </c>
      <c r="G1053" t="inlineStr">
        <is>
          <t>1</t>
        </is>
      </c>
      <c r="H1053" t="inlineStr">
        <is>
          <t>No</t>
        </is>
      </c>
      <c r="I1053" t="inlineStr">
        <is>
          <t>No</t>
        </is>
      </c>
      <c r="J1053" t="inlineStr">
        <is>
          <t>0</t>
        </is>
      </c>
      <c r="K1053" t="inlineStr">
        <is>
          <t>Rachman, Stanley.</t>
        </is>
      </c>
      <c r="L1053" t="inlineStr">
        <is>
          <t>Springfield, Ill. : Thomas, [1968]</t>
        </is>
      </c>
      <c r="M1053" t="inlineStr">
        <is>
          <t>1968</t>
        </is>
      </c>
      <c r="O1053" t="inlineStr">
        <is>
          <t>eng</t>
        </is>
      </c>
      <c r="P1053" t="inlineStr">
        <is>
          <t>ilu</t>
        </is>
      </c>
      <c r="Q1053" t="inlineStr">
        <is>
          <t>American lectures series publication no. 721. A monograph in American lectures in living chemistry</t>
        </is>
      </c>
      <c r="R1053" t="inlineStr">
        <is>
          <t xml:space="preserve">RC </t>
        </is>
      </c>
      <c r="S1053" t="n">
        <v>41</v>
      </c>
      <c r="T1053" t="n">
        <v>41</v>
      </c>
      <c r="U1053" t="inlineStr">
        <is>
          <t>2007-02-11</t>
        </is>
      </c>
      <c r="V1053" t="inlineStr">
        <is>
          <t>2007-02-11</t>
        </is>
      </c>
      <c r="W1053" t="inlineStr">
        <is>
          <t>1990-03-08</t>
        </is>
      </c>
      <c r="X1053" t="inlineStr">
        <is>
          <t>1990-03-08</t>
        </is>
      </c>
      <c r="Y1053" t="n">
        <v>311</v>
      </c>
      <c r="Z1053" t="n">
        <v>252</v>
      </c>
      <c r="AA1053" t="n">
        <v>255</v>
      </c>
      <c r="AB1053" t="n">
        <v>4</v>
      </c>
      <c r="AC1053" t="n">
        <v>4</v>
      </c>
      <c r="AD1053" t="n">
        <v>11</v>
      </c>
      <c r="AE1053" t="n">
        <v>11</v>
      </c>
      <c r="AF1053" t="n">
        <v>2</v>
      </c>
      <c r="AG1053" t="n">
        <v>2</v>
      </c>
      <c r="AH1053" t="n">
        <v>1</v>
      </c>
      <c r="AI1053" t="n">
        <v>1</v>
      </c>
      <c r="AJ1053" t="n">
        <v>6</v>
      </c>
      <c r="AK1053" t="n">
        <v>6</v>
      </c>
      <c r="AL1053" t="n">
        <v>3</v>
      </c>
      <c r="AM1053" t="n">
        <v>3</v>
      </c>
      <c r="AN1053" t="n">
        <v>0</v>
      </c>
      <c r="AO1053" t="n">
        <v>0</v>
      </c>
      <c r="AP1053" t="inlineStr">
        <is>
          <t>No</t>
        </is>
      </c>
      <c r="AQ1053" t="inlineStr">
        <is>
          <t>Yes</t>
        </is>
      </c>
      <c r="AR1053">
        <f>HYPERLINK("http://catalog.hathitrust.org/Record/000871388","HathiTrust Record")</f>
        <v/>
      </c>
      <c r="AS1053">
        <f>HYPERLINK("https://creighton-primo.hosted.exlibrisgroup.com/primo-explore/search?tab=default_tab&amp;search_scope=EVERYTHING&amp;vid=01CRU&amp;lang=en_US&amp;offset=0&amp;query=any,contains,991001916659702656","Catalog Record")</f>
        <v/>
      </c>
      <c r="AT1053">
        <f>HYPERLINK("http://www.worldcat.org/oclc/243807","WorldCat Record")</f>
        <v/>
      </c>
      <c r="AU1053" t="inlineStr">
        <is>
          <t>8946943:eng</t>
        </is>
      </c>
      <c r="AV1053" t="inlineStr">
        <is>
          <t>243807</t>
        </is>
      </c>
      <c r="AW1053" t="inlineStr">
        <is>
          <t>991001916659702656</t>
        </is>
      </c>
      <c r="AX1053" t="inlineStr">
        <is>
          <t>991001916659702656</t>
        </is>
      </c>
      <c r="AY1053" t="inlineStr">
        <is>
          <t>2269056190002656</t>
        </is>
      </c>
      <c r="AZ1053" t="inlineStr">
        <is>
          <t>BOOK</t>
        </is>
      </c>
      <c r="BC1053" t="inlineStr">
        <is>
          <t>32285000081173</t>
        </is>
      </c>
      <c r="BD1053" t="inlineStr">
        <is>
          <t>893503809</t>
        </is>
      </c>
    </row>
    <row r="1054">
      <c r="A1054" t="inlineStr">
        <is>
          <t>No</t>
        </is>
      </c>
      <c r="B1054" t="inlineStr">
        <is>
          <t>RC535 .S97</t>
        </is>
      </c>
      <c r="C1054" t="inlineStr">
        <is>
          <t>0                      RC 0535000S  97</t>
        </is>
      </c>
      <c r="D1054" t="inlineStr">
        <is>
          <t>Phobia free : how to fight your fears / E. Ann Sutherland and Zalman Amit, with Andrew Weiner.</t>
        </is>
      </c>
      <c r="F1054" t="inlineStr">
        <is>
          <t>No</t>
        </is>
      </c>
      <c r="G1054" t="inlineStr">
        <is>
          <t>1</t>
        </is>
      </c>
      <c r="H1054" t="inlineStr">
        <is>
          <t>No</t>
        </is>
      </c>
      <c r="I1054" t="inlineStr">
        <is>
          <t>No</t>
        </is>
      </c>
      <c r="J1054" t="inlineStr">
        <is>
          <t>0</t>
        </is>
      </c>
      <c r="K1054" t="inlineStr">
        <is>
          <t>Sutherland, E. Ann.</t>
        </is>
      </c>
      <c r="L1054" t="inlineStr">
        <is>
          <t>New York : Stein and Day Publishers, 1977.</t>
        </is>
      </c>
      <c r="M1054" t="inlineStr">
        <is>
          <t>1977</t>
        </is>
      </c>
      <c r="O1054" t="inlineStr">
        <is>
          <t>eng</t>
        </is>
      </c>
      <c r="P1054" t="inlineStr">
        <is>
          <t>nyu</t>
        </is>
      </c>
      <c r="R1054" t="inlineStr">
        <is>
          <t xml:space="preserve">RC </t>
        </is>
      </c>
      <c r="S1054" t="n">
        <v>25</v>
      </c>
      <c r="T1054" t="n">
        <v>25</v>
      </c>
      <c r="U1054" t="inlineStr">
        <is>
          <t>2004-10-10</t>
        </is>
      </c>
      <c r="V1054" t="inlineStr">
        <is>
          <t>2004-10-10</t>
        </is>
      </c>
      <c r="W1054" t="inlineStr">
        <is>
          <t>1992-03-20</t>
        </is>
      </c>
      <c r="X1054" t="inlineStr">
        <is>
          <t>1992-03-20</t>
        </is>
      </c>
      <c r="Y1054" t="n">
        <v>131</v>
      </c>
      <c r="Z1054" t="n">
        <v>120</v>
      </c>
      <c r="AA1054" t="n">
        <v>124</v>
      </c>
      <c r="AB1054" t="n">
        <v>1</v>
      </c>
      <c r="AC1054" t="n">
        <v>1</v>
      </c>
      <c r="AD1054" t="n">
        <v>0</v>
      </c>
      <c r="AE1054" t="n">
        <v>1</v>
      </c>
      <c r="AF1054" t="n">
        <v>0</v>
      </c>
      <c r="AG1054" t="n">
        <v>0</v>
      </c>
      <c r="AH1054" t="n">
        <v>0</v>
      </c>
      <c r="AI1054" t="n">
        <v>0</v>
      </c>
      <c r="AJ1054" t="n">
        <v>0</v>
      </c>
      <c r="AK1054" t="n">
        <v>1</v>
      </c>
      <c r="AL1054" t="n">
        <v>0</v>
      </c>
      <c r="AM1054" t="n">
        <v>0</v>
      </c>
      <c r="AN1054" t="n">
        <v>0</v>
      </c>
      <c r="AO1054" t="n">
        <v>0</v>
      </c>
      <c r="AP1054" t="inlineStr">
        <is>
          <t>No</t>
        </is>
      </c>
      <c r="AQ1054" t="inlineStr">
        <is>
          <t>No</t>
        </is>
      </c>
      <c r="AS1054">
        <f>HYPERLINK("https://creighton-primo.hosted.exlibrisgroup.com/primo-explore/search?tab=default_tab&amp;search_scope=EVERYTHING&amp;vid=01CRU&amp;lang=en_US&amp;offset=0&amp;query=any,contains,991004364729702656","Catalog Record")</f>
        <v/>
      </c>
      <c r="AT1054">
        <f>HYPERLINK("http://www.worldcat.org/oclc/3168998","WorldCat Record")</f>
        <v/>
      </c>
      <c r="AU1054" t="inlineStr">
        <is>
          <t>472825:eng</t>
        </is>
      </c>
      <c r="AV1054" t="inlineStr">
        <is>
          <t>3168998</t>
        </is>
      </c>
      <c r="AW1054" t="inlineStr">
        <is>
          <t>991004364729702656</t>
        </is>
      </c>
      <c r="AX1054" t="inlineStr">
        <is>
          <t>991004364729702656</t>
        </is>
      </c>
      <c r="AY1054" t="inlineStr">
        <is>
          <t>2263106340002656</t>
        </is>
      </c>
      <c r="AZ1054" t="inlineStr">
        <is>
          <t>BOOK</t>
        </is>
      </c>
      <c r="BB1054" t="inlineStr">
        <is>
          <t>9780812821581</t>
        </is>
      </c>
      <c r="BC1054" t="inlineStr">
        <is>
          <t>32285001025310</t>
        </is>
      </c>
      <c r="BD1054" t="inlineStr">
        <is>
          <t>893331509</t>
        </is>
      </c>
    </row>
    <row r="1055">
      <c r="A1055" t="inlineStr">
        <is>
          <t>No</t>
        </is>
      </c>
      <c r="B1055" t="inlineStr">
        <is>
          <t>RC535 .T47 1983</t>
        </is>
      </c>
      <c r="C1055" t="inlineStr">
        <is>
          <t>0                      RC 0535000T  47          1983</t>
        </is>
      </c>
      <c r="D1055" t="inlineStr">
        <is>
          <t>The agoraphobic syndrome : behavioural approaches to evaluation and treatment / Geoffrey L. Thorpe and Laurence E. Burns.</t>
        </is>
      </c>
      <c r="F1055" t="inlineStr">
        <is>
          <t>No</t>
        </is>
      </c>
      <c r="G1055" t="inlineStr">
        <is>
          <t>1</t>
        </is>
      </c>
      <c r="H1055" t="inlineStr">
        <is>
          <t>Yes</t>
        </is>
      </c>
      <c r="I1055" t="inlineStr">
        <is>
          <t>No</t>
        </is>
      </c>
      <c r="J1055" t="inlineStr">
        <is>
          <t>0</t>
        </is>
      </c>
      <c r="K1055" t="inlineStr">
        <is>
          <t>Thorpe, Geoffrey L.</t>
        </is>
      </c>
      <c r="L1055" t="inlineStr">
        <is>
          <t>Chichester (Sussex] ; New York : Wiley, c1983, 1984 printing.</t>
        </is>
      </c>
      <c r="M1055" t="inlineStr">
        <is>
          <t>1983</t>
        </is>
      </c>
      <c r="O1055" t="inlineStr">
        <is>
          <t>eng</t>
        </is>
      </c>
      <c r="P1055" t="inlineStr">
        <is>
          <t>enk</t>
        </is>
      </c>
      <c r="R1055" t="inlineStr">
        <is>
          <t xml:space="preserve">RC </t>
        </is>
      </c>
      <c r="S1055" t="n">
        <v>25</v>
      </c>
      <c r="T1055" t="n">
        <v>25</v>
      </c>
      <c r="U1055" t="inlineStr">
        <is>
          <t>2007-02-15</t>
        </is>
      </c>
      <c r="V1055" t="inlineStr">
        <is>
          <t>2007-02-15</t>
        </is>
      </c>
      <c r="W1055" t="inlineStr">
        <is>
          <t>1991-11-06</t>
        </is>
      </c>
      <c r="X1055" t="inlineStr">
        <is>
          <t>1991-11-06</t>
        </is>
      </c>
      <c r="Y1055" t="n">
        <v>384</v>
      </c>
      <c r="Z1055" t="n">
        <v>318</v>
      </c>
      <c r="AA1055" t="n">
        <v>334</v>
      </c>
      <c r="AB1055" t="n">
        <v>3</v>
      </c>
      <c r="AC1055" t="n">
        <v>3</v>
      </c>
      <c r="AD1055" t="n">
        <v>13</v>
      </c>
      <c r="AE1055" t="n">
        <v>14</v>
      </c>
      <c r="AF1055" t="n">
        <v>2</v>
      </c>
      <c r="AG1055" t="n">
        <v>3</v>
      </c>
      <c r="AH1055" t="n">
        <v>3</v>
      </c>
      <c r="AI1055" t="n">
        <v>3</v>
      </c>
      <c r="AJ1055" t="n">
        <v>8</v>
      </c>
      <c r="AK1055" t="n">
        <v>9</v>
      </c>
      <c r="AL1055" t="n">
        <v>1</v>
      </c>
      <c r="AM1055" t="n">
        <v>1</v>
      </c>
      <c r="AN1055" t="n">
        <v>0</v>
      </c>
      <c r="AO1055" t="n">
        <v>0</v>
      </c>
      <c r="AP1055" t="inlineStr">
        <is>
          <t>No</t>
        </is>
      </c>
      <c r="AQ1055" t="inlineStr">
        <is>
          <t>Yes</t>
        </is>
      </c>
      <c r="AR1055">
        <f>HYPERLINK("http://catalog.hathitrust.org/Record/000276540","HathiTrust Record")</f>
        <v/>
      </c>
      <c r="AS1055">
        <f>HYPERLINK("https://creighton-primo.hosted.exlibrisgroup.com/primo-explore/search?tab=default_tab&amp;search_scope=EVERYTHING&amp;vid=01CRU&amp;lang=en_US&amp;offset=0&amp;query=any,contains,991005248679702656","Catalog Record")</f>
        <v/>
      </c>
      <c r="AT1055">
        <f>HYPERLINK("http://www.worldcat.org/oclc/8475719","WorldCat Record")</f>
        <v/>
      </c>
      <c r="AU1055" t="inlineStr">
        <is>
          <t>3813282:eng</t>
        </is>
      </c>
      <c r="AV1055" t="inlineStr">
        <is>
          <t>8475719</t>
        </is>
      </c>
      <c r="AW1055" t="inlineStr">
        <is>
          <t>991005248679702656</t>
        </is>
      </c>
      <c r="AX1055" t="inlineStr">
        <is>
          <t>991005248679702656</t>
        </is>
      </c>
      <c r="AY1055" t="inlineStr">
        <is>
          <t>2259615440002656</t>
        </is>
      </c>
      <c r="AZ1055" t="inlineStr">
        <is>
          <t>BOOK</t>
        </is>
      </c>
      <c r="BB1055" t="inlineStr">
        <is>
          <t>9780471104957</t>
        </is>
      </c>
      <c r="BC1055" t="inlineStr">
        <is>
          <t>32285000798362</t>
        </is>
      </c>
      <c r="BD1055" t="inlineStr">
        <is>
          <t>893332661</t>
        </is>
      </c>
    </row>
    <row r="1056">
      <c r="A1056" t="inlineStr">
        <is>
          <t>No</t>
        </is>
      </c>
      <c r="B1056" t="inlineStr">
        <is>
          <t>RC537 .A316 1988</t>
        </is>
      </c>
      <c r="C1056" t="inlineStr">
        <is>
          <t>0                      RC 0537000A  316         1988</t>
        </is>
      </c>
      <c r="D1056" t="inlineStr">
        <is>
          <t>Affective disorders and the family : assessment and treatment / edited by John F. Clarkin, Gretchen L. Haas, Ira D. Glick ; foreword by Gerald L. Klerman.</t>
        </is>
      </c>
      <c r="F1056" t="inlineStr">
        <is>
          <t>No</t>
        </is>
      </c>
      <c r="G1056" t="inlineStr">
        <is>
          <t>1</t>
        </is>
      </c>
      <c r="H1056" t="inlineStr">
        <is>
          <t>No</t>
        </is>
      </c>
      <c r="I1056" t="inlineStr">
        <is>
          <t>No</t>
        </is>
      </c>
      <c r="J1056" t="inlineStr">
        <is>
          <t>0</t>
        </is>
      </c>
      <c r="L1056" t="inlineStr">
        <is>
          <t>New York : Guilford Press, c1988.</t>
        </is>
      </c>
      <c r="M1056" t="inlineStr">
        <is>
          <t>1988</t>
        </is>
      </c>
      <c r="O1056" t="inlineStr">
        <is>
          <t>eng</t>
        </is>
      </c>
      <c r="P1056" t="inlineStr">
        <is>
          <t>nyu</t>
        </is>
      </c>
      <c r="Q1056" t="inlineStr">
        <is>
          <t>The Guilford family therapy series</t>
        </is>
      </c>
      <c r="R1056" t="inlineStr">
        <is>
          <t xml:space="preserve">RC </t>
        </is>
      </c>
      <c r="S1056" t="n">
        <v>13</v>
      </c>
      <c r="T1056" t="n">
        <v>13</v>
      </c>
      <c r="U1056" t="inlineStr">
        <is>
          <t>2004-02-21</t>
        </is>
      </c>
      <c r="V1056" t="inlineStr">
        <is>
          <t>2004-02-21</t>
        </is>
      </c>
      <c r="W1056" t="inlineStr">
        <is>
          <t>1991-07-03</t>
        </is>
      </c>
      <c r="X1056" t="inlineStr">
        <is>
          <t>1991-07-03</t>
        </is>
      </c>
      <c r="Y1056" t="n">
        <v>336</v>
      </c>
      <c r="Z1056" t="n">
        <v>274</v>
      </c>
      <c r="AA1056" t="n">
        <v>275</v>
      </c>
      <c r="AB1056" t="n">
        <v>2</v>
      </c>
      <c r="AC1056" t="n">
        <v>2</v>
      </c>
      <c r="AD1056" t="n">
        <v>12</v>
      </c>
      <c r="AE1056" t="n">
        <v>12</v>
      </c>
      <c r="AF1056" t="n">
        <v>1</v>
      </c>
      <c r="AG1056" t="n">
        <v>1</v>
      </c>
      <c r="AH1056" t="n">
        <v>5</v>
      </c>
      <c r="AI1056" t="n">
        <v>5</v>
      </c>
      <c r="AJ1056" t="n">
        <v>9</v>
      </c>
      <c r="AK1056" t="n">
        <v>9</v>
      </c>
      <c r="AL1056" t="n">
        <v>1</v>
      </c>
      <c r="AM1056" t="n">
        <v>1</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HYPERLINK("https://creighton-primo.hosted.exlibrisgroup.com/primo-explore/search?tab=default_tab&amp;search_scope=EVERYTHING&amp;vid=01CRU&amp;lang=en_US&amp;offset=0&amp;query=any,contains,991001152609702656","Catalog Record")</f>
        <v/>
      </c>
      <c r="AT1056">
        <f>HYPERLINK("http://www.worldcat.org/oclc/16830727","WorldCat Record")</f>
        <v/>
      </c>
      <c r="AU1056" t="inlineStr">
        <is>
          <t>906341503:eng</t>
        </is>
      </c>
      <c r="AV1056" t="inlineStr">
        <is>
          <t>16830727</t>
        </is>
      </c>
      <c r="AW1056" t="inlineStr">
        <is>
          <t>991001152609702656</t>
        </is>
      </c>
      <c r="AX1056" t="inlineStr">
        <is>
          <t>991001152609702656</t>
        </is>
      </c>
      <c r="AY1056" t="inlineStr">
        <is>
          <t>2254906040002656</t>
        </is>
      </c>
      <c r="AZ1056" t="inlineStr">
        <is>
          <t>BOOK</t>
        </is>
      </c>
      <c r="BB1056" t="inlineStr">
        <is>
          <t>9780898621013</t>
        </is>
      </c>
      <c r="BC1056" t="inlineStr">
        <is>
          <t>32285000659655</t>
        </is>
      </c>
      <c r="BD1056" t="inlineStr">
        <is>
          <t>893866002</t>
        </is>
      </c>
    </row>
    <row r="1057">
      <c r="A1057" t="inlineStr">
        <is>
          <t>No</t>
        </is>
      </c>
      <c r="B1057" t="inlineStr">
        <is>
          <t>RC537 .B3385 1998</t>
        </is>
      </c>
      <c r="C1057" t="inlineStr">
        <is>
          <t>0                      RC 0537000B  3385        1998</t>
        </is>
      </c>
      <c r="D1057" t="inlineStr">
        <is>
          <t>Mood genes : hunting for origins of mania and depression / Samuel H. Barondes.</t>
        </is>
      </c>
      <c r="F1057" t="inlineStr">
        <is>
          <t>No</t>
        </is>
      </c>
      <c r="G1057" t="inlineStr">
        <is>
          <t>1</t>
        </is>
      </c>
      <c r="H1057" t="inlineStr">
        <is>
          <t>No</t>
        </is>
      </c>
      <c r="I1057" t="inlineStr">
        <is>
          <t>No</t>
        </is>
      </c>
      <c r="J1057" t="inlineStr">
        <is>
          <t>0</t>
        </is>
      </c>
      <c r="K1057" t="inlineStr">
        <is>
          <t>Barondes, Samuel H., 1933-</t>
        </is>
      </c>
      <c r="L1057" t="inlineStr">
        <is>
          <t>New York : W.H. Freeman, c1998.</t>
        </is>
      </c>
      <c r="M1057" t="inlineStr">
        <is>
          <t>1998</t>
        </is>
      </c>
      <c r="O1057" t="inlineStr">
        <is>
          <t>eng</t>
        </is>
      </c>
      <c r="P1057" t="inlineStr">
        <is>
          <t>nyu</t>
        </is>
      </c>
      <c r="R1057" t="inlineStr">
        <is>
          <t xml:space="preserve">RC </t>
        </is>
      </c>
      <c r="S1057" t="n">
        <v>4</v>
      </c>
      <c r="T1057" t="n">
        <v>4</v>
      </c>
      <c r="U1057" t="inlineStr">
        <is>
          <t>2006-03-21</t>
        </is>
      </c>
      <c r="V1057" t="inlineStr">
        <is>
          <t>2006-03-21</t>
        </is>
      </c>
      <c r="W1057" t="inlineStr">
        <is>
          <t>1999-01-07</t>
        </is>
      </c>
      <c r="X1057" t="inlineStr">
        <is>
          <t>1999-01-07</t>
        </is>
      </c>
      <c r="Y1057" t="n">
        <v>945</v>
      </c>
      <c r="Z1057" t="n">
        <v>876</v>
      </c>
      <c r="AA1057" t="n">
        <v>1517</v>
      </c>
      <c r="AB1057" t="n">
        <v>9</v>
      </c>
      <c r="AC1057" t="n">
        <v>11</v>
      </c>
      <c r="AD1057" t="n">
        <v>35</v>
      </c>
      <c r="AE1057" t="n">
        <v>42</v>
      </c>
      <c r="AF1057" t="n">
        <v>13</v>
      </c>
      <c r="AG1057" t="n">
        <v>16</v>
      </c>
      <c r="AH1057" t="n">
        <v>7</v>
      </c>
      <c r="AI1057" t="n">
        <v>10</v>
      </c>
      <c r="AJ1057" t="n">
        <v>17</v>
      </c>
      <c r="AK1057" t="n">
        <v>20</v>
      </c>
      <c r="AL1057" t="n">
        <v>6</v>
      </c>
      <c r="AM1057" t="n">
        <v>7</v>
      </c>
      <c r="AN1057" t="n">
        <v>0</v>
      </c>
      <c r="AO1057" t="n">
        <v>0</v>
      </c>
      <c r="AP1057" t="inlineStr">
        <is>
          <t>No</t>
        </is>
      </c>
      <c r="AQ1057" t="inlineStr">
        <is>
          <t>No</t>
        </is>
      </c>
      <c r="AS1057">
        <f>HYPERLINK("https://creighton-primo.hosted.exlibrisgroup.com/primo-explore/search?tab=default_tab&amp;search_scope=EVERYTHING&amp;vid=01CRU&amp;lang=en_US&amp;offset=0&amp;query=any,contains,991002905119702656","Catalog Record")</f>
        <v/>
      </c>
      <c r="AT1057">
        <f>HYPERLINK("http://www.worldcat.org/oclc/38324268","WorldCat Record")</f>
        <v/>
      </c>
      <c r="AU1057" t="inlineStr">
        <is>
          <t>46665152:eng</t>
        </is>
      </c>
      <c r="AV1057" t="inlineStr">
        <is>
          <t>38324268</t>
        </is>
      </c>
      <c r="AW1057" t="inlineStr">
        <is>
          <t>991002905119702656</t>
        </is>
      </c>
      <c r="AX1057" t="inlineStr">
        <is>
          <t>991002905119702656</t>
        </is>
      </c>
      <c r="AY1057" t="inlineStr">
        <is>
          <t>2265587980002656</t>
        </is>
      </c>
      <c r="AZ1057" t="inlineStr">
        <is>
          <t>BOOK</t>
        </is>
      </c>
      <c r="BB1057" t="inlineStr">
        <is>
          <t>9780716729433</t>
        </is>
      </c>
      <c r="BC1057" t="inlineStr">
        <is>
          <t>32285003510210</t>
        </is>
      </c>
      <c r="BD1057" t="inlineStr">
        <is>
          <t>893511339</t>
        </is>
      </c>
    </row>
    <row r="1058">
      <c r="A1058" t="inlineStr">
        <is>
          <t>No</t>
        </is>
      </c>
      <c r="B1058" t="inlineStr">
        <is>
          <t>RC537 .B499 1986</t>
        </is>
      </c>
      <c r="C1058" t="inlineStr">
        <is>
          <t>0                      RC 0537000B  499         1986</t>
        </is>
      </c>
      <c r="D1058" t="inlineStr">
        <is>
          <t>The Biology of depression : proceedings of a meeting of the Biological Group of the Royal College of Psychiatrists, held at Manchester University, 1985 / edited by J.F.W. Deakin.</t>
        </is>
      </c>
      <c r="F1058" t="inlineStr">
        <is>
          <t>No</t>
        </is>
      </c>
      <c r="G1058" t="inlineStr">
        <is>
          <t>1</t>
        </is>
      </c>
      <c r="H1058" t="inlineStr">
        <is>
          <t>No</t>
        </is>
      </c>
      <c r="I1058" t="inlineStr">
        <is>
          <t>No</t>
        </is>
      </c>
      <c r="J1058" t="inlineStr">
        <is>
          <t>0</t>
        </is>
      </c>
      <c r="L1058" t="inlineStr">
        <is>
          <t>London : Gaskell ; [Washington, D.C.] : Distributed in North America by American Psychiatric Press, c1986.</t>
        </is>
      </c>
      <c r="M1058" t="inlineStr">
        <is>
          <t>1986</t>
        </is>
      </c>
      <c r="O1058" t="inlineStr">
        <is>
          <t>eng</t>
        </is>
      </c>
      <c r="P1058" t="inlineStr">
        <is>
          <t>enk</t>
        </is>
      </c>
      <c r="R1058" t="inlineStr">
        <is>
          <t xml:space="preserve">RC </t>
        </is>
      </c>
      <c r="S1058" t="n">
        <v>26</v>
      </c>
      <c r="T1058" t="n">
        <v>26</v>
      </c>
      <c r="U1058" t="inlineStr">
        <is>
          <t>2006-03-21</t>
        </is>
      </c>
      <c r="V1058" t="inlineStr">
        <is>
          <t>2006-03-21</t>
        </is>
      </c>
      <c r="W1058" t="inlineStr">
        <is>
          <t>1992-03-25</t>
        </is>
      </c>
      <c r="X1058" t="inlineStr">
        <is>
          <t>1992-03-25</t>
        </is>
      </c>
      <c r="Y1058" t="n">
        <v>192</v>
      </c>
      <c r="Z1058" t="n">
        <v>147</v>
      </c>
      <c r="AA1058" t="n">
        <v>147</v>
      </c>
      <c r="AB1058" t="n">
        <v>1</v>
      </c>
      <c r="AC1058" t="n">
        <v>1</v>
      </c>
      <c r="AD1058" t="n">
        <v>8</v>
      </c>
      <c r="AE1058" t="n">
        <v>8</v>
      </c>
      <c r="AF1058" t="n">
        <v>1</v>
      </c>
      <c r="AG1058" t="n">
        <v>1</v>
      </c>
      <c r="AH1058" t="n">
        <v>1</v>
      </c>
      <c r="AI1058" t="n">
        <v>1</v>
      </c>
      <c r="AJ1058" t="n">
        <v>6</v>
      </c>
      <c r="AK1058" t="n">
        <v>6</v>
      </c>
      <c r="AL1058" t="n">
        <v>0</v>
      </c>
      <c r="AM1058" t="n">
        <v>0</v>
      </c>
      <c r="AN1058" t="n">
        <v>1</v>
      </c>
      <c r="AO1058" t="n">
        <v>1</v>
      </c>
      <c r="AP1058" t="inlineStr">
        <is>
          <t>No</t>
        </is>
      </c>
      <c r="AQ1058" t="inlineStr">
        <is>
          <t>No</t>
        </is>
      </c>
      <c r="AS1058">
        <f>HYPERLINK("https://creighton-primo.hosted.exlibrisgroup.com/primo-explore/search?tab=default_tab&amp;search_scope=EVERYTHING&amp;vid=01CRU&amp;lang=en_US&amp;offset=0&amp;query=any,contains,991001823509702656","Catalog Record")</f>
        <v/>
      </c>
      <c r="AT1058">
        <f>HYPERLINK("http://www.worldcat.org/oclc/22907943","WorldCat Record")</f>
        <v/>
      </c>
      <c r="AU1058" t="inlineStr">
        <is>
          <t>24039387:eng</t>
        </is>
      </c>
      <c r="AV1058" t="inlineStr">
        <is>
          <t>22907943</t>
        </is>
      </c>
      <c r="AW1058" t="inlineStr">
        <is>
          <t>991001823509702656</t>
        </is>
      </c>
      <c r="AX1058" t="inlineStr">
        <is>
          <t>991001823509702656</t>
        </is>
      </c>
      <c r="AY1058" t="inlineStr">
        <is>
          <t>2264201710002656</t>
        </is>
      </c>
      <c r="AZ1058" t="inlineStr">
        <is>
          <t>BOOK</t>
        </is>
      </c>
      <c r="BB1058" t="inlineStr">
        <is>
          <t>9780902241169</t>
        </is>
      </c>
      <c r="BC1058" t="inlineStr">
        <is>
          <t>32285001005452</t>
        </is>
      </c>
      <c r="BD1058" t="inlineStr">
        <is>
          <t>893433166</t>
        </is>
      </c>
    </row>
    <row r="1059">
      <c r="A1059" t="inlineStr">
        <is>
          <t>No</t>
        </is>
      </c>
      <c r="B1059" t="inlineStr">
        <is>
          <t>RC537 .B525 2004</t>
        </is>
      </c>
      <c r="C1059" t="inlineStr">
        <is>
          <t>0                      RC 0537000B  525         2004</t>
        </is>
      </c>
      <c r="D1059" t="inlineStr">
        <is>
          <t>Experiences of depression : theoretical, clinical, and research perspectives / Sidney J. Blatt.</t>
        </is>
      </c>
      <c r="F1059" t="inlineStr">
        <is>
          <t>No</t>
        </is>
      </c>
      <c r="G1059" t="inlineStr">
        <is>
          <t>1</t>
        </is>
      </c>
      <c r="H1059" t="inlineStr">
        <is>
          <t>No</t>
        </is>
      </c>
      <c r="I1059" t="inlineStr">
        <is>
          <t>No</t>
        </is>
      </c>
      <c r="J1059" t="inlineStr">
        <is>
          <t>0</t>
        </is>
      </c>
      <c r="K1059" t="inlineStr">
        <is>
          <t>Blatt, Sidney J. (Sidney Jules), 1928-2014.</t>
        </is>
      </c>
      <c r="L1059" t="inlineStr">
        <is>
          <t>Washington, DC : American Psychological Association, c2004.</t>
        </is>
      </c>
      <c r="M1059" t="inlineStr">
        <is>
          <t>2004</t>
        </is>
      </c>
      <c r="N1059" t="inlineStr">
        <is>
          <t>1st ed.</t>
        </is>
      </c>
      <c r="O1059" t="inlineStr">
        <is>
          <t>eng</t>
        </is>
      </c>
      <c r="P1059" t="inlineStr">
        <is>
          <t>dcu</t>
        </is>
      </c>
      <c r="R1059" t="inlineStr">
        <is>
          <t xml:space="preserve">RC </t>
        </is>
      </c>
      <c r="S1059" t="n">
        <v>4</v>
      </c>
      <c r="T1059" t="n">
        <v>4</v>
      </c>
      <c r="U1059" t="inlineStr">
        <is>
          <t>2009-11-24</t>
        </is>
      </c>
      <c r="V1059" t="inlineStr">
        <is>
          <t>2009-11-24</t>
        </is>
      </c>
      <c r="W1059" t="inlineStr">
        <is>
          <t>2004-08-26</t>
        </is>
      </c>
      <c r="X1059" t="inlineStr">
        <is>
          <t>2004-08-26</t>
        </is>
      </c>
      <c r="Y1059" t="n">
        <v>608</v>
      </c>
      <c r="Z1059" t="n">
        <v>514</v>
      </c>
      <c r="AA1059" t="n">
        <v>572</v>
      </c>
      <c r="AB1059" t="n">
        <v>4</v>
      </c>
      <c r="AC1059" t="n">
        <v>5</v>
      </c>
      <c r="AD1059" t="n">
        <v>24</v>
      </c>
      <c r="AE1059" t="n">
        <v>28</v>
      </c>
      <c r="AF1059" t="n">
        <v>8</v>
      </c>
      <c r="AG1059" t="n">
        <v>10</v>
      </c>
      <c r="AH1059" t="n">
        <v>5</v>
      </c>
      <c r="AI1059" t="n">
        <v>5</v>
      </c>
      <c r="AJ1059" t="n">
        <v>12</v>
      </c>
      <c r="AK1059" t="n">
        <v>13</v>
      </c>
      <c r="AL1059" t="n">
        <v>3</v>
      </c>
      <c r="AM1059" t="n">
        <v>4</v>
      </c>
      <c r="AN1059" t="n">
        <v>0</v>
      </c>
      <c r="AO1059" t="n">
        <v>0</v>
      </c>
      <c r="AP1059" t="inlineStr">
        <is>
          <t>No</t>
        </is>
      </c>
      <c r="AQ1059" t="inlineStr">
        <is>
          <t>No</t>
        </is>
      </c>
      <c r="AS1059">
        <f>HYPERLINK("https://creighton-primo.hosted.exlibrisgroup.com/primo-explore/search?tab=default_tab&amp;search_scope=EVERYTHING&amp;vid=01CRU&amp;lang=en_US&amp;offset=0&amp;query=any,contains,991004352789702656","Catalog Record")</f>
        <v/>
      </c>
      <c r="AT1059">
        <f>HYPERLINK("http://www.worldcat.org/oclc/52773725","WorldCat Record")</f>
        <v/>
      </c>
      <c r="AU1059" t="inlineStr">
        <is>
          <t>840428395:eng</t>
        </is>
      </c>
      <c r="AV1059" t="inlineStr">
        <is>
          <t>52773725</t>
        </is>
      </c>
      <c r="AW1059" t="inlineStr">
        <is>
          <t>991004352789702656</t>
        </is>
      </c>
      <c r="AX1059" t="inlineStr">
        <is>
          <t>991004352789702656</t>
        </is>
      </c>
      <c r="AY1059" t="inlineStr">
        <is>
          <t>2259251990002656</t>
        </is>
      </c>
      <c r="AZ1059" t="inlineStr">
        <is>
          <t>BOOK</t>
        </is>
      </c>
      <c r="BB1059" t="inlineStr">
        <is>
          <t>9781591470953</t>
        </is>
      </c>
      <c r="BC1059" t="inlineStr">
        <is>
          <t>32285005552350</t>
        </is>
      </c>
      <c r="BD1059" t="inlineStr">
        <is>
          <t>893325265</t>
        </is>
      </c>
    </row>
    <row r="1060">
      <c r="A1060" t="inlineStr">
        <is>
          <t>No</t>
        </is>
      </c>
      <c r="B1060" t="inlineStr">
        <is>
          <t>RC537 .C62 1988</t>
        </is>
      </c>
      <c r="C1060" t="inlineStr">
        <is>
          <t>0                      RC 0537000C  62          1988</t>
        </is>
      </c>
      <c r="D1060" t="inlineStr">
        <is>
          <t>Cognitive processes in depression / edited by Lauren B. Alloy.</t>
        </is>
      </c>
      <c r="F1060" t="inlineStr">
        <is>
          <t>No</t>
        </is>
      </c>
      <c r="G1060" t="inlineStr">
        <is>
          <t>1</t>
        </is>
      </c>
      <c r="H1060" t="inlineStr">
        <is>
          <t>No</t>
        </is>
      </c>
      <c r="I1060" t="inlineStr">
        <is>
          <t>No</t>
        </is>
      </c>
      <c r="J1060" t="inlineStr">
        <is>
          <t>0</t>
        </is>
      </c>
      <c r="L1060" t="inlineStr">
        <is>
          <t>New York : Guilford Press, c1988.</t>
        </is>
      </c>
      <c r="M1060" t="inlineStr">
        <is>
          <t>1988</t>
        </is>
      </c>
      <c r="O1060" t="inlineStr">
        <is>
          <t>eng</t>
        </is>
      </c>
      <c r="P1060" t="inlineStr">
        <is>
          <t>nyu</t>
        </is>
      </c>
      <c r="R1060" t="inlineStr">
        <is>
          <t xml:space="preserve">RC </t>
        </is>
      </c>
      <c r="S1060" t="n">
        <v>19</v>
      </c>
      <c r="T1060" t="n">
        <v>19</v>
      </c>
      <c r="U1060" t="inlineStr">
        <is>
          <t>1999-10-14</t>
        </is>
      </c>
      <c r="V1060" t="inlineStr">
        <is>
          <t>1999-10-14</t>
        </is>
      </c>
      <c r="W1060" t="inlineStr">
        <is>
          <t>1991-05-13</t>
        </is>
      </c>
      <c r="X1060" t="inlineStr">
        <is>
          <t>1991-05-13</t>
        </is>
      </c>
      <c r="Y1060" t="n">
        <v>413</v>
      </c>
      <c r="Z1060" t="n">
        <v>322</v>
      </c>
      <c r="AA1060" t="n">
        <v>323</v>
      </c>
      <c r="AB1060" t="n">
        <v>2</v>
      </c>
      <c r="AC1060" t="n">
        <v>2</v>
      </c>
      <c r="AD1060" t="n">
        <v>18</v>
      </c>
      <c r="AE1060" t="n">
        <v>18</v>
      </c>
      <c r="AF1060" t="n">
        <v>8</v>
      </c>
      <c r="AG1060" t="n">
        <v>8</v>
      </c>
      <c r="AH1060" t="n">
        <v>4</v>
      </c>
      <c r="AI1060" t="n">
        <v>4</v>
      </c>
      <c r="AJ1060" t="n">
        <v>11</v>
      </c>
      <c r="AK1060" t="n">
        <v>11</v>
      </c>
      <c r="AL1060" t="n">
        <v>1</v>
      </c>
      <c r="AM1060" t="n">
        <v>1</v>
      </c>
      <c r="AN1060" t="n">
        <v>0</v>
      </c>
      <c r="AO1060" t="n">
        <v>0</v>
      </c>
      <c r="AP1060" t="inlineStr">
        <is>
          <t>No</t>
        </is>
      </c>
      <c r="AQ1060" t="inlineStr">
        <is>
          <t>No</t>
        </is>
      </c>
      <c r="AS1060">
        <f>HYPERLINK("https://creighton-primo.hosted.exlibrisgroup.com/primo-explore/search?tab=default_tab&amp;search_scope=EVERYTHING&amp;vid=01CRU&amp;lang=en_US&amp;offset=0&amp;query=any,contains,991001032779702656","Catalog Record")</f>
        <v/>
      </c>
      <c r="AT1060">
        <f>HYPERLINK("http://www.worldcat.org/oclc/15520342","WorldCat Record")</f>
        <v/>
      </c>
      <c r="AU1060" t="inlineStr">
        <is>
          <t>54938788:eng</t>
        </is>
      </c>
      <c r="AV1060" t="inlineStr">
        <is>
          <t>15520342</t>
        </is>
      </c>
      <c r="AW1060" t="inlineStr">
        <is>
          <t>991001032779702656</t>
        </is>
      </c>
      <c r="AX1060" t="inlineStr">
        <is>
          <t>991001032779702656</t>
        </is>
      </c>
      <c r="AY1060" t="inlineStr">
        <is>
          <t>2270919610002656</t>
        </is>
      </c>
      <c r="AZ1060" t="inlineStr">
        <is>
          <t>BOOK</t>
        </is>
      </c>
      <c r="BB1060" t="inlineStr">
        <is>
          <t>9780898627060</t>
        </is>
      </c>
      <c r="BC1060" t="inlineStr">
        <is>
          <t>32285000572338</t>
        </is>
      </c>
      <c r="BD1060" t="inlineStr">
        <is>
          <t>893596129</t>
        </is>
      </c>
    </row>
    <row r="1061">
      <c r="A1061" t="inlineStr">
        <is>
          <t>No</t>
        </is>
      </c>
      <c r="B1061" t="inlineStr">
        <is>
          <t>RC537 .D3 1982</t>
        </is>
      </c>
      <c r="C1061" t="inlineStr">
        <is>
          <t>0                      RC 0537000D  3           1982</t>
        </is>
      </c>
      <c r="D1061" t="inlineStr">
        <is>
          <t>The origins of depression, current concepts and approaches : report of the Dahlem Workshop on the Origins of Depression: Current Concepts and Approaches : Berlin 1982, Oct. 31-Nov. 5 / J. Angst, editor.</t>
        </is>
      </c>
      <c r="F1061" t="inlineStr">
        <is>
          <t>No</t>
        </is>
      </c>
      <c r="G1061" t="inlineStr">
        <is>
          <t>1</t>
        </is>
      </c>
      <c r="H1061" t="inlineStr">
        <is>
          <t>No</t>
        </is>
      </c>
      <c r="I1061" t="inlineStr">
        <is>
          <t>No</t>
        </is>
      </c>
      <c r="J1061" t="inlineStr">
        <is>
          <t>0</t>
        </is>
      </c>
      <c r="K1061" t="inlineStr">
        <is>
          <t>Dahlem Workshop on the Origins of Depression: Current Concepts and Approaches (1982 : Berlin, Germany)</t>
        </is>
      </c>
      <c r="L1061" t="inlineStr">
        <is>
          <t>Berlin ; New York : Springer-Verlag, 1983.</t>
        </is>
      </c>
      <c r="M1061" t="inlineStr">
        <is>
          <t>1983</t>
        </is>
      </c>
      <c r="O1061" t="inlineStr">
        <is>
          <t>eng</t>
        </is>
      </c>
      <c r="P1061" t="inlineStr">
        <is>
          <t xml:space="preserve">gw </t>
        </is>
      </c>
      <c r="Q1061" t="inlineStr">
        <is>
          <t>Life sciences research report ; 26</t>
        </is>
      </c>
      <c r="R1061" t="inlineStr">
        <is>
          <t xml:space="preserve">RC </t>
        </is>
      </c>
      <c r="S1061" t="n">
        <v>41</v>
      </c>
      <c r="T1061" t="n">
        <v>41</v>
      </c>
      <c r="U1061" t="inlineStr">
        <is>
          <t>2006-03-21</t>
        </is>
      </c>
      <c r="V1061" t="inlineStr">
        <is>
          <t>2006-03-21</t>
        </is>
      </c>
      <c r="W1061" t="inlineStr">
        <is>
          <t>1990-03-20</t>
        </is>
      </c>
      <c r="X1061" t="inlineStr">
        <is>
          <t>1990-03-20</t>
        </is>
      </c>
      <c r="Y1061" t="n">
        <v>213</v>
      </c>
      <c r="Z1061" t="n">
        <v>145</v>
      </c>
      <c r="AA1061" t="n">
        <v>154</v>
      </c>
      <c r="AB1061" t="n">
        <v>2</v>
      </c>
      <c r="AC1061" t="n">
        <v>2</v>
      </c>
      <c r="AD1061" t="n">
        <v>8</v>
      </c>
      <c r="AE1061" t="n">
        <v>8</v>
      </c>
      <c r="AF1061" t="n">
        <v>1</v>
      </c>
      <c r="AG1061" t="n">
        <v>1</v>
      </c>
      <c r="AH1061" t="n">
        <v>1</v>
      </c>
      <c r="AI1061" t="n">
        <v>1</v>
      </c>
      <c r="AJ1061" t="n">
        <v>6</v>
      </c>
      <c r="AK1061" t="n">
        <v>6</v>
      </c>
      <c r="AL1061" t="n">
        <v>1</v>
      </c>
      <c r="AM1061" t="n">
        <v>1</v>
      </c>
      <c r="AN1061" t="n">
        <v>0</v>
      </c>
      <c r="AO1061" t="n">
        <v>0</v>
      </c>
      <c r="AP1061" t="inlineStr">
        <is>
          <t>No</t>
        </is>
      </c>
      <c r="AQ1061" t="inlineStr">
        <is>
          <t>No</t>
        </is>
      </c>
      <c r="AS1061">
        <f>HYPERLINK("https://creighton-primo.hosted.exlibrisgroup.com/primo-explore/search?tab=default_tab&amp;search_scope=EVERYTHING&amp;vid=01CRU&amp;lang=en_US&amp;offset=0&amp;query=any,contains,991000325499702656","Catalog Record")</f>
        <v/>
      </c>
      <c r="AT1061">
        <f>HYPERLINK("http://www.worldcat.org/oclc/11496312","WorldCat Record")</f>
        <v/>
      </c>
      <c r="AU1061" t="inlineStr">
        <is>
          <t>437213979:eng</t>
        </is>
      </c>
      <c r="AV1061" t="inlineStr">
        <is>
          <t>11496312</t>
        </is>
      </c>
      <c r="AW1061" t="inlineStr">
        <is>
          <t>991000325499702656</t>
        </is>
      </c>
      <c r="AX1061" t="inlineStr">
        <is>
          <t>991000325499702656</t>
        </is>
      </c>
      <c r="AY1061" t="inlineStr">
        <is>
          <t>2263781650002656</t>
        </is>
      </c>
      <c r="AZ1061" t="inlineStr">
        <is>
          <t>BOOK</t>
        </is>
      </c>
      <c r="BB1061" t="inlineStr">
        <is>
          <t>9780387124513</t>
        </is>
      </c>
      <c r="BC1061" t="inlineStr">
        <is>
          <t>32285000084045</t>
        </is>
      </c>
      <c r="BD1061" t="inlineStr">
        <is>
          <t>893683320</t>
        </is>
      </c>
    </row>
    <row r="1062">
      <c r="A1062" t="inlineStr">
        <is>
          <t>No</t>
        </is>
      </c>
      <c r="B1062" t="inlineStr">
        <is>
          <t>RC537 .D4276</t>
        </is>
      </c>
      <c r="C1062" t="inlineStr">
        <is>
          <t>0                      RC 0537000D  4276</t>
        </is>
      </c>
      <c r="D1062" t="inlineStr">
        <is>
          <t>Depression--behavioral, biochemical, diagnostic, and treatment concepts / edited by Donald M. Gallant and George M. Simpson.</t>
        </is>
      </c>
      <c r="F1062" t="inlineStr">
        <is>
          <t>No</t>
        </is>
      </c>
      <c r="G1062" t="inlineStr">
        <is>
          <t>1</t>
        </is>
      </c>
      <c r="H1062" t="inlineStr">
        <is>
          <t>No</t>
        </is>
      </c>
      <c r="I1062" t="inlineStr">
        <is>
          <t>No</t>
        </is>
      </c>
      <c r="J1062" t="inlineStr">
        <is>
          <t>0</t>
        </is>
      </c>
      <c r="L1062" t="inlineStr">
        <is>
          <t>New York : SP books division of Spectrum Publications : distributed by Halsted Press, c1976.</t>
        </is>
      </c>
      <c r="M1062" t="inlineStr">
        <is>
          <t>1976</t>
        </is>
      </c>
      <c r="O1062" t="inlineStr">
        <is>
          <t>eng</t>
        </is>
      </c>
      <c r="P1062" t="inlineStr">
        <is>
          <t>nyu</t>
        </is>
      </c>
      <c r="R1062" t="inlineStr">
        <is>
          <t xml:space="preserve">RC </t>
        </is>
      </c>
      <c r="S1062" t="n">
        <v>28</v>
      </c>
      <c r="T1062" t="n">
        <v>28</v>
      </c>
      <c r="U1062" t="inlineStr">
        <is>
          <t>2000-10-17</t>
        </is>
      </c>
      <c r="V1062" t="inlineStr">
        <is>
          <t>2000-10-17</t>
        </is>
      </c>
      <c r="W1062" t="inlineStr">
        <is>
          <t>1992-02-21</t>
        </is>
      </c>
      <c r="X1062" t="inlineStr">
        <is>
          <t>1992-02-21</t>
        </is>
      </c>
      <c r="Y1062" t="n">
        <v>303</v>
      </c>
      <c r="Z1062" t="n">
        <v>239</v>
      </c>
      <c r="AA1062" t="n">
        <v>253</v>
      </c>
      <c r="AB1062" t="n">
        <v>1</v>
      </c>
      <c r="AC1062" t="n">
        <v>1</v>
      </c>
      <c r="AD1062" t="n">
        <v>10</v>
      </c>
      <c r="AE1062" t="n">
        <v>10</v>
      </c>
      <c r="AF1062" t="n">
        <v>6</v>
      </c>
      <c r="AG1062" t="n">
        <v>6</v>
      </c>
      <c r="AH1062" t="n">
        <v>1</v>
      </c>
      <c r="AI1062" t="n">
        <v>1</v>
      </c>
      <c r="AJ1062" t="n">
        <v>6</v>
      </c>
      <c r="AK1062" t="n">
        <v>6</v>
      </c>
      <c r="AL1062" t="n">
        <v>0</v>
      </c>
      <c r="AM1062" t="n">
        <v>0</v>
      </c>
      <c r="AN1062" t="n">
        <v>0</v>
      </c>
      <c r="AO1062" t="n">
        <v>0</v>
      </c>
      <c r="AP1062" t="inlineStr">
        <is>
          <t>No</t>
        </is>
      </c>
      <c r="AQ1062" t="inlineStr">
        <is>
          <t>No</t>
        </is>
      </c>
      <c r="AS1062">
        <f>HYPERLINK("https://creighton-primo.hosted.exlibrisgroup.com/primo-explore/search?tab=default_tab&amp;search_scope=EVERYTHING&amp;vid=01CRU&amp;lang=en_US&amp;offset=0&amp;query=any,contains,991003917839702656","Catalog Record")</f>
        <v/>
      </c>
      <c r="AT1062">
        <f>HYPERLINK("http://www.worldcat.org/oclc/1863505","WorldCat Record")</f>
        <v/>
      </c>
      <c r="AU1062" t="inlineStr">
        <is>
          <t>375550495:eng</t>
        </is>
      </c>
      <c r="AV1062" t="inlineStr">
        <is>
          <t>1863505</t>
        </is>
      </c>
      <c r="AW1062" t="inlineStr">
        <is>
          <t>991003917839702656</t>
        </is>
      </c>
      <c r="AX1062" t="inlineStr">
        <is>
          <t>991003917839702656</t>
        </is>
      </c>
      <c r="AY1062" t="inlineStr">
        <is>
          <t>2263245570002656</t>
        </is>
      </c>
      <c r="AZ1062" t="inlineStr">
        <is>
          <t>BOOK</t>
        </is>
      </c>
      <c r="BB1062" t="inlineStr">
        <is>
          <t>9780470013755</t>
        </is>
      </c>
      <c r="BC1062" t="inlineStr">
        <is>
          <t>32285000972793</t>
        </is>
      </c>
      <c r="BD1062" t="inlineStr">
        <is>
          <t>893900566</t>
        </is>
      </c>
    </row>
    <row r="1063">
      <c r="A1063" t="inlineStr">
        <is>
          <t>No</t>
        </is>
      </c>
      <c r="B1063" t="inlineStr">
        <is>
          <t>RC537 .D438 1985</t>
        </is>
      </c>
      <c r="C1063" t="inlineStr">
        <is>
          <t>0                      RC 0537000D  438         1985</t>
        </is>
      </c>
      <c r="D1063" t="inlineStr">
        <is>
          <t>Depression in multidisciplinary perspective / edited by Alfred Dean.</t>
        </is>
      </c>
      <c r="F1063" t="inlineStr">
        <is>
          <t>No</t>
        </is>
      </c>
      <c r="G1063" t="inlineStr">
        <is>
          <t>1</t>
        </is>
      </c>
      <c r="H1063" t="inlineStr">
        <is>
          <t>No</t>
        </is>
      </c>
      <c r="I1063" t="inlineStr">
        <is>
          <t>No</t>
        </is>
      </c>
      <c r="J1063" t="inlineStr">
        <is>
          <t>0</t>
        </is>
      </c>
      <c r="L1063" t="inlineStr">
        <is>
          <t>New York : Brunner/Mazel, c1985.</t>
        </is>
      </c>
      <c r="M1063" t="inlineStr">
        <is>
          <t>1985</t>
        </is>
      </c>
      <c r="O1063" t="inlineStr">
        <is>
          <t>eng</t>
        </is>
      </c>
      <c r="P1063" t="inlineStr">
        <is>
          <t>nyu</t>
        </is>
      </c>
      <c r="R1063" t="inlineStr">
        <is>
          <t xml:space="preserve">RC </t>
        </is>
      </c>
      <c r="S1063" t="n">
        <v>19</v>
      </c>
      <c r="T1063" t="n">
        <v>19</v>
      </c>
      <c r="U1063" t="inlineStr">
        <is>
          <t>2000-02-22</t>
        </is>
      </c>
      <c r="V1063" t="inlineStr">
        <is>
          <t>2000-02-22</t>
        </is>
      </c>
      <c r="W1063" t="inlineStr">
        <is>
          <t>1992-05-05</t>
        </is>
      </c>
      <c r="X1063" t="inlineStr">
        <is>
          <t>1992-05-05</t>
        </is>
      </c>
      <c r="Y1063" t="n">
        <v>257</v>
      </c>
      <c r="Z1063" t="n">
        <v>208</v>
      </c>
      <c r="AA1063" t="n">
        <v>210</v>
      </c>
      <c r="AB1063" t="n">
        <v>1</v>
      </c>
      <c r="AC1063" t="n">
        <v>1</v>
      </c>
      <c r="AD1063" t="n">
        <v>4</v>
      </c>
      <c r="AE1063" t="n">
        <v>4</v>
      </c>
      <c r="AF1063" t="n">
        <v>0</v>
      </c>
      <c r="AG1063" t="n">
        <v>0</v>
      </c>
      <c r="AH1063" t="n">
        <v>1</v>
      </c>
      <c r="AI1063" t="n">
        <v>1</v>
      </c>
      <c r="AJ1063" t="n">
        <v>4</v>
      </c>
      <c r="AK1063" t="n">
        <v>4</v>
      </c>
      <c r="AL1063" t="n">
        <v>0</v>
      </c>
      <c r="AM1063" t="n">
        <v>0</v>
      </c>
      <c r="AN1063" t="n">
        <v>0</v>
      </c>
      <c r="AO1063" t="n">
        <v>0</v>
      </c>
      <c r="AP1063" t="inlineStr">
        <is>
          <t>No</t>
        </is>
      </c>
      <c r="AQ1063" t="inlineStr">
        <is>
          <t>Yes</t>
        </is>
      </c>
      <c r="AR1063">
        <f>HYPERLINK("http://catalog.hathitrust.org/Record/000350620","HathiTrust Record")</f>
        <v/>
      </c>
      <c r="AS1063">
        <f>HYPERLINK("https://creighton-primo.hosted.exlibrisgroup.com/primo-explore/search?tab=default_tab&amp;search_scope=EVERYTHING&amp;vid=01CRU&amp;lang=en_US&amp;offset=0&amp;query=any,contains,991000607439702656","Catalog Record")</f>
        <v/>
      </c>
      <c r="AT1063">
        <f>HYPERLINK("http://www.worldcat.org/oclc/11867604","WorldCat Record")</f>
        <v/>
      </c>
      <c r="AU1063" t="inlineStr">
        <is>
          <t>4442586:eng</t>
        </is>
      </c>
      <c r="AV1063" t="inlineStr">
        <is>
          <t>11867604</t>
        </is>
      </c>
      <c r="AW1063" t="inlineStr">
        <is>
          <t>991000607439702656</t>
        </is>
      </c>
      <c r="AX1063" t="inlineStr">
        <is>
          <t>991000607439702656</t>
        </is>
      </c>
      <c r="AY1063" t="inlineStr">
        <is>
          <t>2262607910002656</t>
        </is>
      </c>
      <c r="AZ1063" t="inlineStr">
        <is>
          <t>BOOK</t>
        </is>
      </c>
      <c r="BC1063" t="inlineStr">
        <is>
          <t>32285001094084</t>
        </is>
      </c>
      <c r="BD1063" t="inlineStr">
        <is>
          <t>893608096</t>
        </is>
      </c>
    </row>
    <row r="1064">
      <c r="A1064" t="inlineStr">
        <is>
          <t>No</t>
        </is>
      </c>
      <c r="B1064" t="inlineStr">
        <is>
          <t>RC537 .D445 1987</t>
        </is>
      </c>
      <c r="C1064" t="inlineStr">
        <is>
          <t>0                      RC 0537000D  445         1987</t>
        </is>
      </c>
      <c r="D1064" t="inlineStr">
        <is>
          <t>Depression prevention : research directions / edited by Ricardo F. Muñoz.</t>
        </is>
      </c>
      <c r="F1064" t="inlineStr">
        <is>
          <t>No</t>
        </is>
      </c>
      <c r="G1064" t="inlineStr">
        <is>
          <t>1</t>
        </is>
      </c>
      <c r="H1064" t="inlineStr">
        <is>
          <t>No</t>
        </is>
      </c>
      <c r="I1064" t="inlineStr">
        <is>
          <t>No</t>
        </is>
      </c>
      <c r="J1064" t="inlineStr">
        <is>
          <t>0</t>
        </is>
      </c>
      <c r="L1064" t="inlineStr">
        <is>
          <t>Washington : Hemisphere Pub. Corporation, c1987.</t>
        </is>
      </c>
      <c r="M1064" t="inlineStr">
        <is>
          <t>1987</t>
        </is>
      </c>
      <c r="O1064" t="inlineStr">
        <is>
          <t>eng</t>
        </is>
      </c>
      <c r="P1064" t="inlineStr">
        <is>
          <t>dcu</t>
        </is>
      </c>
      <c r="Q1064" t="inlineStr">
        <is>
          <t>The series in Clinical and Community psychology</t>
        </is>
      </c>
      <c r="R1064" t="inlineStr">
        <is>
          <t xml:space="preserve">RC </t>
        </is>
      </c>
      <c r="S1064" t="n">
        <v>32</v>
      </c>
      <c r="T1064" t="n">
        <v>32</v>
      </c>
      <c r="U1064" t="inlineStr">
        <is>
          <t>2010-10-26</t>
        </is>
      </c>
      <c r="V1064" t="inlineStr">
        <is>
          <t>2010-10-26</t>
        </is>
      </c>
      <c r="W1064" t="inlineStr">
        <is>
          <t>1992-05-05</t>
        </is>
      </c>
      <c r="X1064" t="inlineStr">
        <is>
          <t>1992-05-05</t>
        </is>
      </c>
      <c r="Y1064" t="n">
        <v>264</v>
      </c>
      <c r="Z1064" t="n">
        <v>220</v>
      </c>
      <c r="AA1064" t="n">
        <v>220</v>
      </c>
      <c r="AB1064" t="n">
        <v>3</v>
      </c>
      <c r="AC1064" t="n">
        <v>3</v>
      </c>
      <c r="AD1064" t="n">
        <v>9</v>
      </c>
      <c r="AE1064" t="n">
        <v>9</v>
      </c>
      <c r="AF1064" t="n">
        <v>4</v>
      </c>
      <c r="AG1064" t="n">
        <v>4</v>
      </c>
      <c r="AH1064" t="n">
        <v>0</v>
      </c>
      <c r="AI1064" t="n">
        <v>0</v>
      </c>
      <c r="AJ1064" t="n">
        <v>6</v>
      </c>
      <c r="AK1064" t="n">
        <v>6</v>
      </c>
      <c r="AL1064" t="n">
        <v>2</v>
      </c>
      <c r="AM1064" t="n">
        <v>2</v>
      </c>
      <c r="AN1064" t="n">
        <v>0</v>
      </c>
      <c r="AO1064" t="n">
        <v>0</v>
      </c>
      <c r="AP1064" t="inlineStr">
        <is>
          <t>No</t>
        </is>
      </c>
      <c r="AQ1064" t="inlineStr">
        <is>
          <t>No</t>
        </is>
      </c>
      <c r="AS1064">
        <f>HYPERLINK("https://creighton-primo.hosted.exlibrisgroup.com/primo-explore/search?tab=default_tab&amp;search_scope=EVERYTHING&amp;vid=01CRU&amp;lang=en_US&amp;offset=0&amp;query=any,contains,991000875499702656","Catalog Record")</f>
        <v/>
      </c>
      <c r="AT1064">
        <f>HYPERLINK("http://www.worldcat.org/oclc/13796409","WorldCat Record")</f>
        <v/>
      </c>
      <c r="AU1064" t="inlineStr">
        <is>
          <t>836657058:eng</t>
        </is>
      </c>
      <c r="AV1064" t="inlineStr">
        <is>
          <t>13796409</t>
        </is>
      </c>
      <c r="AW1064" t="inlineStr">
        <is>
          <t>991000875499702656</t>
        </is>
      </c>
      <c r="AX1064" t="inlineStr">
        <is>
          <t>991000875499702656</t>
        </is>
      </c>
      <c r="AY1064" t="inlineStr">
        <is>
          <t>2270578400002656</t>
        </is>
      </c>
      <c r="AZ1064" t="inlineStr">
        <is>
          <t>BOOK</t>
        </is>
      </c>
      <c r="BB1064" t="inlineStr">
        <is>
          <t>9780891164524</t>
        </is>
      </c>
      <c r="BC1064" t="inlineStr">
        <is>
          <t>32285001094076</t>
        </is>
      </c>
      <c r="BD1064" t="inlineStr">
        <is>
          <t>893897299</t>
        </is>
      </c>
    </row>
    <row r="1065">
      <c r="A1065" t="inlineStr">
        <is>
          <t>No</t>
        </is>
      </c>
      <c r="B1065" t="inlineStr">
        <is>
          <t>RC537 .D97 1990</t>
        </is>
      </c>
      <c r="C1065" t="inlineStr">
        <is>
          <t>0                      RC 0537000D  97          1990</t>
        </is>
      </c>
      <c r="D1065" t="inlineStr">
        <is>
          <t>Dysthymic disorder / edited by S.W. Burton, H.S. Akiskal.</t>
        </is>
      </c>
      <c r="F1065" t="inlineStr">
        <is>
          <t>No</t>
        </is>
      </c>
      <c r="G1065" t="inlineStr">
        <is>
          <t>1</t>
        </is>
      </c>
      <c r="H1065" t="inlineStr">
        <is>
          <t>No</t>
        </is>
      </c>
      <c r="I1065" t="inlineStr">
        <is>
          <t>No</t>
        </is>
      </c>
      <c r="J1065" t="inlineStr">
        <is>
          <t>0</t>
        </is>
      </c>
      <c r="L1065" t="inlineStr">
        <is>
          <t>London : Gaskell, c1990.</t>
        </is>
      </c>
      <c r="M1065" t="inlineStr">
        <is>
          <t>1990</t>
        </is>
      </c>
      <c r="O1065" t="inlineStr">
        <is>
          <t>eng</t>
        </is>
      </c>
      <c r="P1065" t="inlineStr">
        <is>
          <t>enk</t>
        </is>
      </c>
      <c r="R1065" t="inlineStr">
        <is>
          <t xml:space="preserve">RC </t>
        </is>
      </c>
      <c r="S1065" t="n">
        <v>18</v>
      </c>
      <c r="T1065" t="n">
        <v>18</v>
      </c>
      <c r="U1065" t="inlineStr">
        <is>
          <t>1998-10-14</t>
        </is>
      </c>
      <c r="V1065" t="inlineStr">
        <is>
          <t>1998-10-14</t>
        </is>
      </c>
      <c r="W1065" t="inlineStr">
        <is>
          <t>1992-08-25</t>
        </is>
      </c>
      <c r="X1065" t="inlineStr">
        <is>
          <t>1992-08-25</t>
        </is>
      </c>
      <c r="Y1065" t="n">
        <v>108</v>
      </c>
      <c r="Z1065" t="n">
        <v>51</v>
      </c>
      <c r="AA1065" t="n">
        <v>54</v>
      </c>
      <c r="AB1065" t="n">
        <v>2</v>
      </c>
      <c r="AC1065" t="n">
        <v>2</v>
      </c>
      <c r="AD1065" t="n">
        <v>1</v>
      </c>
      <c r="AE1065" t="n">
        <v>1</v>
      </c>
      <c r="AF1065" t="n">
        <v>0</v>
      </c>
      <c r="AG1065" t="n">
        <v>0</v>
      </c>
      <c r="AH1065" t="n">
        <v>0</v>
      </c>
      <c r="AI1065" t="n">
        <v>0</v>
      </c>
      <c r="AJ1065" t="n">
        <v>0</v>
      </c>
      <c r="AK1065" t="n">
        <v>0</v>
      </c>
      <c r="AL1065" t="n">
        <v>1</v>
      </c>
      <c r="AM1065" t="n">
        <v>1</v>
      </c>
      <c r="AN1065" t="n">
        <v>0</v>
      </c>
      <c r="AO1065" t="n">
        <v>0</v>
      </c>
      <c r="AP1065" t="inlineStr">
        <is>
          <t>No</t>
        </is>
      </c>
      <c r="AQ1065" t="inlineStr">
        <is>
          <t>Yes</t>
        </is>
      </c>
      <c r="AR1065">
        <f>HYPERLINK("http://catalog.hathitrust.org/Record/002473490","HathiTrust Record")</f>
        <v/>
      </c>
      <c r="AS1065">
        <f>HYPERLINK("https://creighton-primo.hosted.exlibrisgroup.com/primo-explore/search?tab=default_tab&amp;search_scope=EVERYTHING&amp;vid=01CRU&amp;lang=en_US&amp;offset=0&amp;query=any,contains,991001844219702656","Catalog Record")</f>
        <v/>
      </c>
      <c r="AT1065">
        <f>HYPERLINK("http://www.worldcat.org/oclc/23147325","WorldCat Record")</f>
        <v/>
      </c>
      <c r="AU1065" t="inlineStr">
        <is>
          <t>353011313:eng</t>
        </is>
      </c>
      <c r="AV1065" t="inlineStr">
        <is>
          <t>23147325</t>
        </is>
      </c>
      <c r="AW1065" t="inlineStr">
        <is>
          <t>991001844219702656</t>
        </is>
      </c>
      <c r="AX1065" t="inlineStr">
        <is>
          <t>991001844219702656</t>
        </is>
      </c>
      <c r="AY1065" t="inlineStr">
        <is>
          <t>2260907030002656</t>
        </is>
      </c>
      <c r="AZ1065" t="inlineStr">
        <is>
          <t>BOOK</t>
        </is>
      </c>
      <c r="BB1065" t="inlineStr">
        <is>
          <t>9780902241336</t>
        </is>
      </c>
      <c r="BC1065" t="inlineStr">
        <is>
          <t>32285001198737</t>
        </is>
      </c>
      <c r="BD1065" t="inlineStr">
        <is>
          <t>893340737</t>
        </is>
      </c>
    </row>
    <row r="1066">
      <c r="A1066" t="inlineStr">
        <is>
          <t>No</t>
        </is>
      </c>
      <c r="B1066" t="inlineStr">
        <is>
          <t>RC537 .F34 2005</t>
        </is>
      </c>
      <c r="C1066" t="inlineStr">
        <is>
          <t>0                      RC 0537000F  34          2005</t>
        </is>
      </c>
      <c r="D1066" t="inlineStr">
        <is>
          <t>Hello to all that : a memoir of war, Zoloft, and peace / John Falk.</t>
        </is>
      </c>
      <c r="F1066" t="inlineStr">
        <is>
          <t>No</t>
        </is>
      </c>
      <c r="G1066" t="inlineStr">
        <is>
          <t>1</t>
        </is>
      </c>
      <c r="H1066" t="inlineStr">
        <is>
          <t>No</t>
        </is>
      </c>
      <c r="I1066" t="inlineStr">
        <is>
          <t>No</t>
        </is>
      </c>
      <c r="J1066" t="inlineStr">
        <is>
          <t>0</t>
        </is>
      </c>
      <c r="K1066" t="inlineStr">
        <is>
          <t>Falk, John.</t>
        </is>
      </c>
      <c r="L1066" t="inlineStr">
        <is>
          <t>New York : Henry Holt, 2005.</t>
        </is>
      </c>
      <c r="M1066" t="inlineStr">
        <is>
          <t>2005</t>
        </is>
      </c>
      <c r="N1066" t="inlineStr">
        <is>
          <t>1st ed.</t>
        </is>
      </c>
      <c r="O1066" t="inlineStr">
        <is>
          <t>eng</t>
        </is>
      </c>
      <c r="P1066" t="inlineStr">
        <is>
          <t>nyu</t>
        </is>
      </c>
      <c r="R1066" t="inlineStr">
        <is>
          <t xml:space="preserve">RC </t>
        </is>
      </c>
      <c r="S1066" t="n">
        <v>3</v>
      </c>
      <c r="T1066" t="n">
        <v>3</v>
      </c>
      <c r="U1066" t="inlineStr">
        <is>
          <t>2007-08-23</t>
        </is>
      </c>
      <c r="V1066" t="inlineStr">
        <is>
          <t>2007-08-23</t>
        </is>
      </c>
      <c r="W1066" t="inlineStr">
        <is>
          <t>2005-01-10</t>
        </is>
      </c>
      <c r="X1066" t="inlineStr">
        <is>
          <t>2005-01-10</t>
        </is>
      </c>
      <c r="Y1066" t="n">
        <v>342</v>
      </c>
      <c r="Z1066" t="n">
        <v>320</v>
      </c>
      <c r="AA1066" t="n">
        <v>338</v>
      </c>
      <c r="AB1066" t="n">
        <v>3</v>
      </c>
      <c r="AC1066" t="n">
        <v>3</v>
      </c>
      <c r="AD1066" t="n">
        <v>8</v>
      </c>
      <c r="AE1066" t="n">
        <v>8</v>
      </c>
      <c r="AF1066" t="n">
        <v>0</v>
      </c>
      <c r="AG1066" t="n">
        <v>0</v>
      </c>
      <c r="AH1066" t="n">
        <v>3</v>
      </c>
      <c r="AI1066" t="n">
        <v>3</v>
      </c>
      <c r="AJ1066" t="n">
        <v>5</v>
      </c>
      <c r="AK1066" t="n">
        <v>5</v>
      </c>
      <c r="AL1066" t="n">
        <v>1</v>
      </c>
      <c r="AM1066" t="n">
        <v>1</v>
      </c>
      <c r="AN1066" t="n">
        <v>0</v>
      </c>
      <c r="AO1066" t="n">
        <v>0</v>
      </c>
      <c r="AP1066" t="inlineStr">
        <is>
          <t>No</t>
        </is>
      </c>
      <c r="AQ1066" t="inlineStr">
        <is>
          <t>No</t>
        </is>
      </c>
      <c r="AS1066">
        <f>HYPERLINK("https://creighton-primo.hosted.exlibrisgroup.com/primo-explore/search?tab=default_tab&amp;search_scope=EVERYTHING&amp;vid=01CRU&amp;lang=en_US&amp;offset=0&amp;query=any,contains,991004427059702656","Catalog Record")</f>
        <v/>
      </c>
      <c r="AT1066">
        <f>HYPERLINK("http://www.worldcat.org/oclc/55884944","WorldCat Record")</f>
        <v/>
      </c>
      <c r="AU1066" t="inlineStr">
        <is>
          <t>196655868:eng</t>
        </is>
      </c>
      <c r="AV1066" t="inlineStr">
        <is>
          <t>55884944</t>
        </is>
      </c>
      <c r="AW1066" t="inlineStr">
        <is>
          <t>991004427059702656</t>
        </is>
      </c>
      <c r="AX1066" t="inlineStr">
        <is>
          <t>991004427059702656</t>
        </is>
      </c>
      <c r="AY1066" t="inlineStr">
        <is>
          <t>2266884260002656</t>
        </is>
      </c>
      <c r="AZ1066" t="inlineStr">
        <is>
          <t>BOOK</t>
        </is>
      </c>
      <c r="BB1066" t="inlineStr">
        <is>
          <t>9780805072181</t>
        </is>
      </c>
      <c r="BC1066" t="inlineStr">
        <is>
          <t>32285005020531</t>
        </is>
      </c>
      <c r="BD1066" t="inlineStr">
        <is>
          <t>893807058</t>
        </is>
      </c>
    </row>
    <row r="1067">
      <c r="A1067" t="inlineStr">
        <is>
          <t>No</t>
        </is>
      </c>
      <c r="B1067" t="inlineStr">
        <is>
          <t>RC537 .F55</t>
        </is>
      </c>
      <c r="C1067" t="inlineStr">
        <is>
          <t>0                      RC 0537000F  55</t>
        </is>
      </c>
      <c r="D1067" t="inlineStr">
        <is>
          <t>The nature and treatment of depression / Frederic F. Flach, Suzanne C. Draghi.</t>
        </is>
      </c>
      <c r="F1067" t="inlineStr">
        <is>
          <t>No</t>
        </is>
      </c>
      <c r="G1067" t="inlineStr">
        <is>
          <t>1</t>
        </is>
      </c>
      <c r="H1067" t="inlineStr">
        <is>
          <t>No</t>
        </is>
      </c>
      <c r="I1067" t="inlineStr">
        <is>
          <t>No</t>
        </is>
      </c>
      <c r="J1067" t="inlineStr">
        <is>
          <t>0</t>
        </is>
      </c>
      <c r="K1067" t="inlineStr">
        <is>
          <t>Flach, Frederic F.</t>
        </is>
      </c>
      <c r="L1067" t="inlineStr">
        <is>
          <t>New York : Wiley, [1975]</t>
        </is>
      </c>
      <c r="M1067" t="inlineStr">
        <is>
          <t>1975</t>
        </is>
      </c>
      <c r="O1067" t="inlineStr">
        <is>
          <t>eng</t>
        </is>
      </c>
      <c r="P1067" t="inlineStr">
        <is>
          <t>nyu</t>
        </is>
      </c>
      <c r="Q1067" t="inlineStr">
        <is>
          <t>A Wiley biomedical-health publication</t>
        </is>
      </c>
      <c r="R1067" t="inlineStr">
        <is>
          <t xml:space="preserve">RC </t>
        </is>
      </c>
      <c r="S1067" t="n">
        <v>15</v>
      </c>
      <c r="T1067" t="n">
        <v>15</v>
      </c>
      <c r="U1067" t="inlineStr">
        <is>
          <t>2005-04-06</t>
        </is>
      </c>
      <c r="V1067" t="inlineStr">
        <is>
          <t>2005-04-06</t>
        </is>
      </c>
      <c r="W1067" t="inlineStr">
        <is>
          <t>1992-05-07</t>
        </is>
      </c>
      <c r="X1067" t="inlineStr">
        <is>
          <t>1992-05-07</t>
        </is>
      </c>
      <c r="Y1067" t="n">
        <v>457</v>
      </c>
      <c r="Z1067" t="n">
        <v>362</v>
      </c>
      <c r="AA1067" t="n">
        <v>371</v>
      </c>
      <c r="AB1067" t="n">
        <v>3</v>
      </c>
      <c r="AC1067" t="n">
        <v>3</v>
      </c>
      <c r="AD1067" t="n">
        <v>11</v>
      </c>
      <c r="AE1067" t="n">
        <v>11</v>
      </c>
      <c r="AF1067" t="n">
        <v>3</v>
      </c>
      <c r="AG1067" t="n">
        <v>3</v>
      </c>
      <c r="AH1067" t="n">
        <v>1</v>
      </c>
      <c r="AI1067" t="n">
        <v>1</v>
      </c>
      <c r="AJ1067" t="n">
        <v>8</v>
      </c>
      <c r="AK1067" t="n">
        <v>8</v>
      </c>
      <c r="AL1067" t="n">
        <v>1</v>
      </c>
      <c r="AM1067" t="n">
        <v>1</v>
      </c>
      <c r="AN1067" t="n">
        <v>0</v>
      </c>
      <c r="AO1067" t="n">
        <v>0</v>
      </c>
      <c r="AP1067" t="inlineStr">
        <is>
          <t>No</t>
        </is>
      </c>
      <c r="AQ1067" t="inlineStr">
        <is>
          <t>Yes</t>
        </is>
      </c>
      <c r="AR1067">
        <f>HYPERLINK("http://catalog.hathitrust.org/Record/000032969","HathiTrust Record")</f>
        <v/>
      </c>
      <c r="AS1067">
        <f>HYPERLINK("https://creighton-primo.hosted.exlibrisgroup.com/primo-explore/search?tab=default_tab&amp;search_scope=EVERYTHING&amp;vid=01CRU&amp;lang=en_US&amp;offset=0&amp;query=any,contains,991003540119702656","Catalog Record")</f>
        <v/>
      </c>
      <c r="AT1067">
        <f>HYPERLINK("http://www.worldcat.org/oclc/1104288","WorldCat Record")</f>
        <v/>
      </c>
      <c r="AU1067" t="inlineStr">
        <is>
          <t>1974490:eng</t>
        </is>
      </c>
      <c r="AV1067" t="inlineStr">
        <is>
          <t>1104288</t>
        </is>
      </c>
      <c r="AW1067" t="inlineStr">
        <is>
          <t>991003540119702656</t>
        </is>
      </c>
      <c r="AX1067" t="inlineStr">
        <is>
          <t>991003540119702656</t>
        </is>
      </c>
      <c r="AY1067" t="inlineStr">
        <is>
          <t>2256387570002656</t>
        </is>
      </c>
      <c r="AZ1067" t="inlineStr">
        <is>
          <t>BOOK</t>
        </is>
      </c>
      <c r="BB1067" t="inlineStr">
        <is>
          <t>9780471262718</t>
        </is>
      </c>
      <c r="BC1067" t="inlineStr">
        <is>
          <t>32285001094068</t>
        </is>
      </c>
      <c r="BD1067" t="inlineStr">
        <is>
          <t>893410388</t>
        </is>
      </c>
    </row>
    <row r="1068">
      <c r="A1068" t="inlineStr">
        <is>
          <t>No</t>
        </is>
      </c>
      <c r="B1068" t="inlineStr">
        <is>
          <t>RC537 .G64 1995</t>
        </is>
      </c>
      <c r="C1068" t="inlineStr">
        <is>
          <t>0                      RC 0537000G  64          1995</t>
        </is>
      </c>
      <c r="D1068" t="inlineStr">
        <is>
          <t>The good news about depression : cures and treatments in the new age of psychiatry / Mark S. Gold with Lois B. Morris.</t>
        </is>
      </c>
      <c r="F1068" t="inlineStr">
        <is>
          <t>No</t>
        </is>
      </c>
      <c r="G1068" t="inlineStr">
        <is>
          <t>1</t>
        </is>
      </c>
      <c r="H1068" t="inlineStr">
        <is>
          <t>No</t>
        </is>
      </c>
      <c r="I1068" t="inlineStr">
        <is>
          <t>No</t>
        </is>
      </c>
      <c r="J1068" t="inlineStr">
        <is>
          <t>0</t>
        </is>
      </c>
      <c r="K1068" t="inlineStr">
        <is>
          <t>Gold, Mark S.</t>
        </is>
      </c>
      <c r="L1068" t="inlineStr">
        <is>
          <t>New York : Bantam Books, 1995.</t>
        </is>
      </c>
      <c r="M1068" t="inlineStr">
        <is>
          <t>1995</t>
        </is>
      </c>
      <c r="N1068" t="inlineStr">
        <is>
          <t>Rev. ed.</t>
        </is>
      </c>
      <c r="O1068" t="inlineStr">
        <is>
          <t>eng</t>
        </is>
      </c>
      <c r="P1068" t="inlineStr">
        <is>
          <t>nyu</t>
        </is>
      </c>
      <c r="R1068" t="inlineStr">
        <is>
          <t xml:space="preserve">RC </t>
        </is>
      </c>
      <c r="S1068" t="n">
        <v>22</v>
      </c>
      <c r="T1068" t="n">
        <v>22</v>
      </c>
      <c r="U1068" t="inlineStr">
        <is>
          <t>2003-02-19</t>
        </is>
      </c>
      <c r="V1068" t="inlineStr">
        <is>
          <t>2003-02-19</t>
        </is>
      </c>
      <c r="W1068" t="inlineStr">
        <is>
          <t>1996-01-02</t>
        </is>
      </c>
      <c r="X1068" t="inlineStr">
        <is>
          <t>1996-01-02</t>
        </is>
      </c>
      <c r="Y1068" t="n">
        <v>170</v>
      </c>
      <c r="Z1068" t="n">
        <v>159</v>
      </c>
      <c r="AA1068" t="n">
        <v>698</v>
      </c>
      <c r="AB1068" t="n">
        <v>2</v>
      </c>
      <c r="AC1068" t="n">
        <v>8</v>
      </c>
      <c r="AD1068" t="n">
        <v>2</v>
      </c>
      <c r="AE1068" t="n">
        <v>10</v>
      </c>
      <c r="AF1068" t="n">
        <v>1</v>
      </c>
      <c r="AG1068" t="n">
        <v>5</v>
      </c>
      <c r="AH1068" t="n">
        <v>0</v>
      </c>
      <c r="AI1068" t="n">
        <v>1</v>
      </c>
      <c r="AJ1068" t="n">
        <v>2</v>
      </c>
      <c r="AK1068" t="n">
        <v>5</v>
      </c>
      <c r="AL1068" t="n">
        <v>0</v>
      </c>
      <c r="AM1068" t="n">
        <v>2</v>
      </c>
      <c r="AN1068" t="n">
        <v>0</v>
      </c>
      <c r="AO1068" t="n">
        <v>0</v>
      </c>
      <c r="AP1068" t="inlineStr">
        <is>
          <t>No</t>
        </is>
      </c>
      <c r="AQ1068" t="inlineStr">
        <is>
          <t>Yes</t>
        </is>
      </c>
      <c r="AR1068">
        <f>HYPERLINK("http://catalog.hathitrust.org/Record/003082143","HathiTrust Record")</f>
        <v/>
      </c>
      <c r="AS1068">
        <f>HYPERLINK("https://creighton-primo.hosted.exlibrisgroup.com/primo-explore/search?tab=default_tab&amp;search_scope=EVERYTHING&amp;vid=01CRU&amp;lang=en_US&amp;offset=0&amp;query=any,contains,991002450639702656","Catalog Record")</f>
        <v/>
      </c>
      <c r="AT1068">
        <f>HYPERLINK("http://www.worldcat.org/oclc/31969214","WorldCat Record")</f>
        <v/>
      </c>
      <c r="AU1068" t="inlineStr">
        <is>
          <t>9001059:eng</t>
        </is>
      </c>
      <c r="AV1068" t="inlineStr">
        <is>
          <t>31969214</t>
        </is>
      </c>
      <c r="AW1068" t="inlineStr">
        <is>
          <t>991002450639702656</t>
        </is>
      </c>
      <c r="AX1068" t="inlineStr">
        <is>
          <t>991002450639702656</t>
        </is>
      </c>
      <c r="AY1068" t="inlineStr">
        <is>
          <t>2263087160002656</t>
        </is>
      </c>
      <c r="AZ1068" t="inlineStr">
        <is>
          <t>BOOK</t>
        </is>
      </c>
      <c r="BB1068" t="inlineStr">
        <is>
          <t>9780553372144</t>
        </is>
      </c>
      <c r="BC1068" t="inlineStr">
        <is>
          <t>32285002113958</t>
        </is>
      </c>
      <c r="BD1068" t="inlineStr">
        <is>
          <t>893879942</t>
        </is>
      </c>
    </row>
    <row r="1069">
      <c r="A1069" t="inlineStr">
        <is>
          <t>No</t>
        </is>
      </c>
      <c r="B1069" t="inlineStr">
        <is>
          <t>RC537 .G68 1987</t>
        </is>
      </c>
      <c r="C1069" t="inlineStr">
        <is>
          <t>0                      RC 0537000G  68          1987</t>
        </is>
      </c>
      <c r="D1069" t="inlineStr">
        <is>
          <t>Treatment of depression : an interpersonal systems approach / Ian H. Gotlib, Catherine A. Colby.</t>
        </is>
      </c>
      <c r="F1069" t="inlineStr">
        <is>
          <t>No</t>
        </is>
      </c>
      <c r="G1069" t="inlineStr">
        <is>
          <t>1</t>
        </is>
      </c>
      <c r="H1069" t="inlineStr">
        <is>
          <t>No</t>
        </is>
      </c>
      <c r="I1069" t="inlineStr">
        <is>
          <t>No</t>
        </is>
      </c>
      <c r="J1069" t="inlineStr">
        <is>
          <t>0</t>
        </is>
      </c>
      <c r="K1069" t="inlineStr">
        <is>
          <t>Gotlib, Ian H.</t>
        </is>
      </c>
      <c r="L1069" t="inlineStr">
        <is>
          <t>New York : Pergamon Press, 1987.</t>
        </is>
      </c>
      <c r="M1069" t="inlineStr">
        <is>
          <t>1987</t>
        </is>
      </c>
      <c r="O1069" t="inlineStr">
        <is>
          <t>eng</t>
        </is>
      </c>
      <c r="P1069" t="inlineStr">
        <is>
          <t>nyu</t>
        </is>
      </c>
      <c r="Q1069" t="inlineStr">
        <is>
          <t>Psychology practitioner guidebooks</t>
        </is>
      </c>
      <c r="R1069" t="inlineStr">
        <is>
          <t xml:space="preserve">RC </t>
        </is>
      </c>
      <c r="S1069" t="n">
        <v>24</v>
      </c>
      <c r="T1069" t="n">
        <v>24</v>
      </c>
      <c r="U1069" t="inlineStr">
        <is>
          <t>2009-11-07</t>
        </is>
      </c>
      <c r="V1069" t="inlineStr">
        <is>
          <t>2009-11-07</t>
        </is>
      </c>
      <c r="W1069" t="inlineStr">
        <is>
          <t>1990-03-13</t>
        </is>
      </c>
      <c r="X1069" t="inlineStr">
        <is>
          <t>1990-03-13</t>
        </is>
      </c>
      <c r="Y1069" t="n">
        <v>320</v>
      </c>
      <c r="Z1069" t="n">
        <v>236</v>
      </c>
      <c r="AA1069" t="n">
        <v>238</v>
      </c>
      <c r="AB1069" t="n">
        <v>3</v>
      </c>
      <c r="AC1069" t="n">
        <v>3</v>
      </c>
      <c r="AD1069" t="n">
        <v>12</v>
      </c>
      <c r="AE1069" t="n">
        <v>12</v>
      </c>
      <c r="AF1069" t="n">
        <v>3</v>
      </c>
      <c r="AG1069" t="n">
        <v>3</v>
      </c>
      <c r="AH1069" t="n">
        <v>4</v>
      </c>
      <c r="AI1069" t="n">
        <v>4</v>
      </c>
      <c r="AJ1069" t="n">
        <v>5</v>
      </c>
      <c r="AK1069" t="n">
        <v>5</v>
      </c>
      <c r="AL1069" t="n">
        <v>2</v>
      </c>
      <c r="AM1069" t="n">
        <v>2</v>
      </c>
      <c r="AN1069" t="n">
        <v>0</v>
      </c>
      <c r="AO1069" t="n">
        <v>0</v>
      </c>
      <c r="AP1069" t="inlineStr">
        <is>
          <t>No</t>
        </is>
      </c>
      <c r="AQ1069" t="inlineStr">
        <is>
          <t>Yes</t>
        </is>
      </c>
      <c r="AR1069">
        <f>HYPERLINK("http://catalog.hathitrust.org/Record/000835519","HathiTrust Record")</f>
        <v/>
      </c>
      <c r="AS1069">
        <f>HYPERLINK("https://creighton-primo.hosted.exlibrisgroup.com/primo-explore/search?tab=default_tab&amp;search_scope=EVERYTHING&amp;vid=01CRU&amp;lang=en_US&amp;offset=0&amp;query=any,contains,991000930539702656","Catalog Record")</f>
        <v/>
      </c>
      <c r="AT1069">
        <f>HYPERLINK("http://www.worldcat.org/oclc/14270709","WorldCat Record")</f>
        <v/>
      </c>
      <c r="AU1069" t="inlineStr">
        <is>
          <t>478377158:eng</t>
        </is>
      </c>
      <c r="AV1069" t="inlineStr">
        <is>
          <t>14270709</t>
        </is>
      </c>
      <c r="AW1069" t="inlineStr">
        <is>
          <t>991000930539702656</t>
        </is>
      </c>
      <c r="AX1069" t="inlineStr">
        <is>
          <t>991000930539702656</t>
        </is>
      </c>
      <c r="AY1069" t="inlineStr">
        <is>
          <t>2262294990002656</t>
        </is>
      </c>
      <c r="AZ1069" t="inlineStr">
        <is>
          <t>BOOK</t>
        </is>
      </c>
      <c r="BB1069" t="inlineStr">
        <is>
          <t>9780080336336</t>
        </is>
      </c>
      <c r="BC1069" t="inlineStr">
        <is>
          <t>32285000065986</t>
        </is>
      </c>
      <c r="BD1069" t="inlineStr">
        <is>
          <t>893702570</t>
        </is>
      </c>
    </row>
    <row r="1070">
      <c r="A1070" t="inlineStr">
        <is>
          <t>No</t>
        </is>
      </c>
      <c r="B1070" t="inlineStr">
        <is>
          <t>RC537 .H337 1992b</t>
        </is>
      </c>
      <c r="C1070" t="inlineStr">
        <is>
          <t>0                      RC 0537000H  337         1992b</t>
        </is>
      </c>
      <c r="D1070" t="inlineStr">
        <is>
          <t>Handbook of affective disorders / edited by Eugene S. Paykel.</t>
        </is>
      </c>
      <c r="F1070" t="inlineStr">
        <is>
          <t>No</t>
        </is>
      </c>
      <c r="G1070" t="inlineStr">
        <is>
          <t>1</t>
        </is>
      </c>
      <c r="H1070" t="inlineStr">
        <is>
          <t>No</t>
        </is>
      </c>
      <c r="I1070" t="inlineStr">
        <is>
          <t>No</t>
        </is>
      </c>
      <c r="J1070" t="inlineStr">
        <is>
          <t>0</t>
        </is>
      </c>
      <c r="L1070" t="inlineStr">
        <is>
          <t>New York : Guilford Press, 1992.</t>
        </is>
      </c>
      <c r="M1070" t="inlineStr">
        <is>
          <t>1992</t>
        </is>
      </c>
      <c r="N1070" t="inlineStr">
        <is>
          <t>2nd ed.</t>
        </is>
      </c>
      <c r="O1070" t="inlineStr">
        <is>
          <t>eng</t>
        </is>
      </c>
      <c r="P1070" t="inlineStr">
        <is>
          <t>nyu</t>
        </is>
      </c>
      <c r="R1070" t="inlineStr">
        <is>
          <t xml:space="preserve">RC </t>
        </is>
      </c>
      <c r="S1070" t="n">
        <v>29</v>
      </c>
      <c r="T1070" t="n">
        <v>29</v>
      </c>
      <c r="U1070" t="inlineStr">
        <is>
          <t>2000-10-17</t>
        </is>
      </c>
      <c r="V1070" t="inlineStr">
        <is>
          <t>2000-10-17</t>
        </is>
      </c>
      <c r="W1070" t="inlineStr">
        <is>
          <t>1992-12-16</t>
        </is>
      </c>
      <c r="X1070" t="inlineStr">
        <is>
          <t>1992-12-16</t>
        </is>
      </c>
      <c r="Y1070" t="n">
        <v>352</v>
      </c>
      <c r="Z1070" t="n">
        <v>297</v>
      </c>
      <c r="AA1070" t="n">
        <v>596</v>
      </c>
      <c r="AB1070" t="n">
        <v>4</v>
      </c>
      <c r="AC1070" t="n">
        <v>4</v>
      </c>
      <c r="AD1070" t="n">
        <v>12</v>
      </c>
      <c r="AE1070" t="n">
        <v>21</v>
      </c>
      <c r="AF1070" t="n">
        <v>3</v>
      </c>
      <c r="AG1070" t="n">
        <v>7</v>
      </c>
      <c r="AH1070" t="n">
        <v>2</v>
      </c>
      <c r="AI1070" t="n">
        <v>6</v>
      </c>
      <c r="AJ1070" t="n">
        <v>6</v>
      </c>
      <c r="AK1070" t="n">
        <v>10</v>
      </c>
      <c r="AL1070" t="n">
        <v>3</v>
      </c>
      <c r="AM1070" t="n">
        <v>3</v>
      </c>
      <c r="AN1070" t="n">
        <v>0</v>
      </c>
      <c r="AO1070" t="n">
        <v>0</v>
      </c>
      <c r="AP1070" t="inlineStr">
        <is>
          <t>No</t>
        </is>
      </c>
      <c r="AQ1070" t="inlineStr">
        <is>
          <t>No</t>
        </is>
      </c>
      <c r="AS1070">
        <f>HYPERLINK("https://creighton-primo.hosted.exlibrisgroup.com/primo-explore/search?tab=default_tab&amp;search_scope=EVERYTHING&amp;vid=01CRU&amp;lang=en_US&amp;offset=0&amp;query=any,contains,991002031339702656","Catalog Record")</f>
        <v/>
      </c>
      <c r="AT1070">
        <f>HYPERLINK("http://www.worldcat.org/oclc/25869643","WorldCat Record")</f>
        <v/>
      </c>
      <c r="AU1070" t="inlineStr">
        <is>
          <t>54451677:eng</t>
        </is>
      </c>
      <c r="AV1070" t="inlineStr">
        <is>
          <t>25869643</t>
        </is>
      </c>
      <c r="AW1070" t="inlineStr">
        <is>
          <t>991002031339702656</t>
        </is>
      </c>
      <c r="AX1070" t="inlineStr">
        <is>
          <t>991002031339702656</t>
        </is>
      </c>
      <c r="AY1070" t="inlineStr">
        <is>
          <t>2263954750002656</t>
        </is>
      </c>
      <c r="AZ1070" t="inlineStr">
        <is>
          <t>BOOK</t>
        </is>
      </c>
      <c r="BB1070" t="inlineStr">
        <is>
          <t>9780898626742</t>
        </is>
      </c>
      <c r="BC1070" t="inlineStr">
        <is>
          <t>32285001403103</t>
        </is>
      </c>
      <c r="BD1070" t="inlineStr">
        <is>
          <t>893615608</t>
        </is>
      </c>
    </row>
    <row r="1071">
      <c r="A1071" t="inlineStr">
        <is>
          <t>No</t>
        </is>
      </c>
      <c r="B1071" t="inlineStr">
        <is>
          <t>RC537 .H3376 2009</t>
        </is>
      </c>
      <c r="C1071" t="inlineStr">
        <is>
          <t>0                      RC 0537000H  3376        2009</t>
        </is>
      </c>
      <c r="D1071" t="inlineStr">
        <is>
          <t>Handbook of depression / edited by Ian H. Gotlib, Constance L. Hammen.</t>
        </is>
      </c>
      <c r="F1071" t="inlineStr">
        <is>
          <t>No</t>
        </is>
      </c>
      <c r="G1071" t="inlineStr">
        <is>
          <t>1</t>
        </is>
      </c>
      <c r="H1071" t="inlineStr">
        <is>
          <t>No</t>
        </is>
      </c>
      <c r="I1071" t="inlineStr">
        <is>
          <t>Yes</t>
        </is>
      </c>
      <c r="J1071" t="inlineStr">
        <is>
          <t>0</t>
        </is>
      </c>
      <c r="L1071" t="inlineStr">
        <is>
          <t>New York : Guilford Press, c2009.</t>
        </is>
      </c>
      <c r="M1071" t="inlineStr">
        <is>
          <t>2009</t>
        </is>
      </c>
      <c r="N1071" t="inlineStr">
        <is>
          <t>2nd ed.</t>
        </is>
      </c>
      <c r="O1071" t="inlineStr">
        <is>
          <t>eng</t>
        </is>
      </c>
      <c r="P1071" t="inlineStr">
        <is>
          <t>nyu</t>
        </is>
      </c>
      <c r="R1071" t="inlineStr">
        <is>
          <t xml:space="preserve">RC </t>
        </is>
      </c>
      <c r="S1071" t="n">
        <v>4</v>
      </c>
      <c r="T1071" t="n">
        <v>4</v>
      </c>
      <c r="U1071" t="inlineStr">
        <is>
          <t>2010-09-15</t>
        </is>
      </c>
      <c r="V1071" t="inlineStr">
        <is>
          <t>2010-09-15</t>
        </is>
      </c>
      <c r="W1071" t="inlineStr">
        <is>
          <t>2009-03-05</t>
        </is>
      </c>
      <c r="X1071" t="inlineStr">
        <is>
          <t>2009-03-05</t>
        </is>
      </c>
      <c r="Y1071" t="n">
        <v>341</v>
      </c>
      <c r="Z1071" t="n">
        <v>242</v>
      </c>
      <c r="AA1071" t="n">
        <v>968</v>
      </c>
      <c r="AB1071" t="n">
        <v>2</v>
      </c>
      <c r="AC1071" t="n">
        <v>7</v>
      </c>
      <c r="AD1071" t="n">
        <v>9</v>
      </c>
      <c r="AE1071" t="n">
        <v>42</v>
      </c>
      <c r="AF1071" t="n">
        <v>5</v>
      </c>
      <c r="AG1071" t="n">
        <v>22</v>
      </c>
      <c r="AH1071" t="n">
        <v>0</v>
      </c>
      <c r="AI1071" t="n">
        <v>8</v>
      </c>
      <c r="AJ1071" t="n">
        <v>5</v>
      </c>
      <c r="AK1071" t="n">
        <v>17</v>
      </c>
      <c r="AL1071" t="n">
        <v>1</v>
      </c>
      <c r="AM1071" t="n">
        <v>5</v>
      </c>
      <c r="AN1071" t="n">
        <v>0</v>
      </c>
      <c r="AO1071" t="n">
        <v>0</v>
      </c>
      <c r="AP1071" t="inlineStr">
        <is>
          <t>No</t>
        </is>
      </c>
      <c r="AQ1071" t="inlineStr">
        <is>
          <t>No</t>
        </is>
      </c>
      <c r="AS1071">
        <f>HYPERLINK("https://creighton-primo.hosted.exlibrisgroup.com/primo-explore/search?tab=default_tab&amp;search_scope=EVERYTHING&amp;vid=01CRU&amp;lang=en_US&amp;offset=0&amp;query=any,contains,991005298099702656","Catalog Record")</f>
        <v/>
      </c>
      <c r="AT1071">
        <f>HYPERLINK("http://www.worldcat.org/oclc/213223577","WorldCat Record")</f>
        <v/>
      </c>
      <c r="AU1071" t="inlineStr">
        <is>
          <t>347693985:eng</t>
        </is>
      </c>
      <c r="AV1071" t="inlineStr">
        <is>
          <t>213223577</t>
        </is>
      </c>
      <c r="AW1071" t="inlineStr">
        <is>
          <t>991005298099702656</t>
        </is>
      </c>
      <c r="AX1071" t="inlineStr">
        <is>
          <t>991005298099702656</t>
        </is>
      </c>
      <c r="AY1071" t="inlineStr">
        <is>
          <t>2269430010002656</t>
        </is>
      </c>
      <c r="AZ1071" t="inlineStr">
        <is>
          <t>BOOK</t>
        </is>
      </c>
      <c r="BB1071" t="inlineStr">
        <is>
          <t>9781593854508</t>
        </is>
      </c>
      <c r="BC1071" t="inlineStr">
        <is>
          <t>32285005507438</t>
        </is>
      </c>
      <c r="BD1071" t="inlineStr">
        <is>
          <t>893326541</t>
        </is>
      </c>
    </row>
    <row r="1072">
      <c r="A1072" t="inlineStr">
        <is>
          <t>No</t>
        </is>
      </c>
      <c r="B1072" t="inlineStr">
        <is>
          <t>RC537 .I58 1984</t>
        </is>
      </c>
      <c r="C1072" t="inlineStr">
        <is>
          <t>0                      RC 0537000I  58          1984</t>
        </is>
      </c>
      <c r="D1072" t="inlineStr">
        <is>
          <t>Interpersonal psychotherapy of depression / Gerald L. Klerman ... [et al.].</t>
        </is>
      </c>
      <c r="F1072" t="inlineStr">
        <is>
          <t>No</t>
        </is>
      </c>
      <c r="G1072" t="inlineStr">
        <is>
          <t>1</t>
        </is>
      </c>
      <c r="H1072" t="inlineStr">
        <is>
          <t>No</t>
        </is>
      </c>
      <c r="I1072" t="inlineStr">
        <is>
          <t>No</t>
        </is>
      </c>
      <c r="J1072" t="inlineStr">
        <is>
          <t>0</t>
        </is>
      </c>
      <c r="L1072" t="inlineStr">
        <is>
          <t>New York : Basic Books, c1984.</t>
        </is>
      </c>
      <c r="M1072" t="inlineStr">
        <is>
          <t>1984</t>
        </is>
      </c>
      <c r="O1072" t="inlineStr">
        <is>
          <t>eng</t>
        </is>
      </c>
      <c r="P1072" t="inlineStr">
        <is>
          <t>nyu</t>
        </is>
      </c>
      <c r="R1072" t="inlineStr">
        <is>
          <t xml:space="preserve">RC </t>
        </is>
      </c>
      <c r="S1072" t="n">
        <v>12</v>
      </c>
      <c r="T1072" t="n">
        <v>12</v>
      </c>
      <c r="U1072" t="inlineStr">
        <is>
          <t>2006-02-21</t>
        </is>
      </c>
      <c r="V1072" t="inlineStr">
        <is>
          <t>2006-02-21</t>
        </is>
      </c>
      <c r="W1072" t="inlineStr">
        <is>
          <t>1992-07-28</t>
        </is>
      </c>
      <c r="X1072" t="inlineStr">
        <is>
          <t>1992-07-28</t>
        </is>
      </c>
      <c r="Y1072" t="n">
        <v>401</v>
      </c>
      <c r="Z1072" t="n">
        <v>329</v>
      </c>
      <c r="AA1072" t="n">
        <v>382</v>
      </c>
      <c r="AB1072" t="n">
        <v>2</v>
      </c>
      <c r="AC1072" t="n">
        <v>2</v>
      </c>
      <c r="AD1072" t="n">
        <v>12</v>
      </c>
      <c r="AE1072" t="n">
        <v>15</v>
      </c>
      <c r="AF1072" t="n">
        <v>4</v>
      </c>
      <c r="AG1072" t="n">
        <v>6</v>
      </c>
      <c r="AH1072" t="n">
        <v>1</v>
      </c>
      <c r="AI1072" t="n">
        <v>2</v>
      </c>
      <c r="AJ1072" t="n">
        <v>9</v>
      </c>
      <c r="AK1072" t="n">
        <v>12</v>
      </c>
      <c r="AL1072" t="n">
        <v>1</v>
      </c>
      <c r="AM1072" t="n">
        <v>1</v>
      </c>
      <c r="AN1072" t="n">
        <v>0</v>
      </c>
      <c r="AO1072" t="n">
        <v>0</v>
      </c>
      <c r="AP1072" t="inlineStr">
        <is>
          <t>No</t>
        </is>
      </c>
      <c r="AQ1072" t="inlineStr">
        <is>
          <t>Yes</t>
        </is>
      </c>
      <c r="AR1072">
        <f>HYPERLINK("http://catalog.hathitrust.org/Record/000124035","HathiTrust Record")</f>
        <v/>
      </c>
      <c r="AS1072">
        <f>HYPERLINK("https://creighton-primo.hosted.exlibrisgroup.com/primo-explore/search?tab=default_tab&amp;search_scope=EVERYTHING&amp;vid=01CRU&amp;lang=en_US&amp;offset=0&amp;query=any,contains,991000370709702656","Catalog Record")</f>
        <v/>
      </c>
      <c r="AT1072">
        <f>HYPERLINK("http://www.worldcat.org/oclc/10430094","WorldCat Record")</f>
        <v/>
      </c>
      <c r="AU1072" t="inlineStr">
        <is>
          <t>496999065:eng</t>
        </is>
      </c>
      <c r="AV1072" t="inlineStr">
        <is>
          <t>10430094</t>
        </is>
      </c>
      <c r="AW1072" t="inlineStr">
        <is>
          <t>991000370709702656</t>
        </is>
      </c>
      <c r="AX1072" t="inlineStr">
        <is>
          <t>991000370709702656</t>
        </is>
      </c>
      <c r="AY1072" t="inlineStr">
        <is>
          <t>2264302450002656</t>
        </is>
      </c>
      <c r="AZ1072" t="inlineStr">
        <is>
          <t>BOOK</t>
        </is>
      </c>
      <c r="BB1072" t="inlineStr">
        <is>
          <t>9780465033966</t>
        </is>
      </c>
      <c r="BC1072" t="inlineStr">
        <is>
          <t>32285001195519</t>
        </is>
      </c>
      <c r="BD1072" t="inlineStr">
        <is>
          <t>893261438</t>
        </is>
      </c>
    </row>
    <row r="1073">
      <c r="A1073" t="inlineStr">
        <is>
          <t>No</t>
        </is>
      </c>
      <c r="B1073" t="inlineStr">
        <is>
          <t>RC537 .K56 1974</t>
        </is>
      </c>
      <c r="C1073" t="inlineStr">
        <is>
          <t>0                      RC 0537000K  56          1974</t>
        </is>
      </c>
      <c r="D1073" t="inlineStr">
        <is>
          <t>From sad to glad : Kline on depression / Nathan S. Kline.</t>
        </is>
      </c>
      <c r="F1073" t="inlineStr">
        <is>
          <t>No</t>
        </is>
      </c>
      <c r="G1073" t="inlineStr">
        <is>
          <t>1</t>
        </is>
      </c>
      <c r="H1073" t="inlineStr">
        <is>
          <t>No</t>
        </is>
      </c>
      <c r="I1073" t="inlineStr">
        <is>
          <t>No</t>
        </is>
      </c>
      <c r="J1073" t="inlineStr">
        <is>
          <t>0</t>
        </is>
      </c>
      <c r="K1073" t="inlineStr">
        <is>
          <t>Kline, Nathan S.</t>
        </is>
      </c>
      <c r="L1073" t="inlineStr">
        <is>
          <t>New York : Putnam, [1974]</t>
        </is>
      </c>
      <c r="M1073" t="inlineStr">
        <is>
          <t>1974</t>
        </is>
      </c>
      <c r="O1073" t="inlineStr">
        <is>
          <t>eng</t>
        </is>
      </c>
      <c r="P1073" t="inlineStr">
        <is>
          <t>nyu</t>
        </is>
      </c>
      <c r="R1073" t="inlineStr">
        <is>
          <t xml:space="preserve">RC </t>
        </is>
      </c>
      <c r="S1073" t="n">
        <v>12</v>
      </c>
      <c r="T1073" t="n">
        <v>12</v>
      </c>
      <c r="U1073" t="inlineStr">
        <is>
          <t>2004-09-13</t>
        </is>
      </c>
      <c r="V1073" t="inlineStr">
        <is>
          <t>2004-09-13</t>
        </is>
      </c>
      <c r="W1073" t="inlineStr">
        <is>
          <t>1997-08-12</t>
        </is>
      </c>
      <c r="X1073" t="inlineStr">
        <is>
          <t>1997-08-12</t>
        </is>
      </c>
      <c r="Y1073" t="n">
        <v>485</v>
      </c>
      <c r="Z1073" t="n">
        <v>453</v>
      </c>
      <c r="AA1073" t="n">
        <v>598</v>
      </c>
      <c r="AB1073" t="n">
        <v>3</v>
      </c>
      <c r="AC1073" t="n">
        <v>6</v>
      </c>
      <c r="AD1073" t="n">
        <v>9</v>
      </c>
      <c r="AE1073" t="n">
        <v>12</v>
      </c>
      <c r="AF1073" t="n">
        <v>2</v>
      </c>
      <c r="AG1073" t="n">
        <v>3</v>
      </c>
      <c r="AH1073" t="n">
        <v>1</v>
      </c>
      <c r="AI1073" t="n">
        <v>1</v>
      </c>
      <c r="AJ1073" t="n">
        <v>7</v>
      </c>
      <c r="AK1073" t="n">
        <v>9</v>
      </c>
      <c r="AL1073" t="n">
        <v>1</v>
      </c>
      <c r="AM1073" t="n">
        <v>2</v>
      </c>
      <c r="AN1073" t="n">
        <v>0</v>
      </c>
      <c r="AO1073" t="n">
        <v>0</v>
      </c>
      <c r="AP1073" t="inlineStr">
        <is>
          <t>No</t>
        </is>
      </c>
      <c r="AQ1073" t="inlineStr">
        <is>
          <t>Yes</t>
        </is>
      </c>
      <c r="AR1073">
        <f>HYPERLINK("http://catalog.hathitrust.org/Record/001565142","HathiTrust Record")</f>
        <v/>
      </c>
      <c r="AS1073">
        <f>HYPERLINK("https://creighton-primo.hosted.exlibrisgroup.com/primo-explore/search?tab=default_tab&amp;search_scope=EVERYTHING&amp;vid=01CRU&amp;lang=en_US&amp;offset=0&amp;query=any,contains,991003542849702656","Catalog Record")</f>
        <v/>
      </c>
      <c r="AT1073">
        <f>HYPERLINK("http://www.worldcat.org/oclc/1107834","WorldCat Record")</f>
        <v/>
      </c>
      <c r="AU1073" t="inlineStr">
        <is>
          <t>1985135:eng</t>
        </is>
      </c>
      <c r="AV1073" t="inlineStr">
        <is>
          <t>1107834</t>
        </is>
      </c>
      <c r="AW1073" t="inlineStr">
        <is>
          <t>991003542849702656</t>
        </is>
      </c>
      <c r="AX1073" t="inlineStr">
        <is>
          <t>991003542849702656</t>
        </is>
      </c>
      <c r="AY1073" t="inlineStr">
        <is>
          <t>2257868970002656</t>
        </is>
      </c>
      <c r="AZ1073" t="inlineStr">
        <is>
          <t>BOOK</t>
        </is>
      </c>
      <c r="BB1073" t="inlineStr">
        <is>
          <t>9780399113727</t>
        </is>
      </c>
      <c r="BC1073" t="inlineStr">
        <is>
          <t>32285003092433</t>
        </is>
      </c>
      <c r="BD1073" t="inlineStr">
        <is>
          <t>893505678</t>
        </is>
      </c>
    </row>
    <row r="1074">
      <c r="A1074" t="inlineStr">
        <is>
          <t>No</t>
        </is>
      </c>
      <c r="B1074" t="inlineStr">
        <is>
          <t>RC537 .K725 2005</t>
        </is>
      </c>
      <c r="C1074" t="inlineStr">
        <is>
          <t>0                      RC 0537000K  725         2005</t>
        </is>
      </c>
      <c r="D1074" t="inlineStr">
        <is>
          <t>Against depression / Peter D. Kramer.</t>
        </is>
      </c>
      <c r="F1074" t="inlineStr">
        <is>
          <t>No</t>
        </is>
      </c>
      <c r="G1074" t="inlineStr">
        <is>
          <t>1</t>
        </is>
      </c>
      <c r="H1074" t="inlineStr">
        <is>
          <t>No</t>
        </is>
      </c>
      <c r="I1074" t="inlineStr">
        <is>
          <t>No</t>
        </is>
      </c>
      <c r="J1074" t="inlineStr">
        <is>
          <t>0</t>
        </is>
      </c>
      <c r="K1074" t="inlineStr">
        <is>
          <t>Kramer, Peter D.</t>
        </is>
      </c>
      <c r="L1074" t="inlineStr">
        <is>
          <t>New York : Viking, 2005.</t>
        </is>
      </c>
      <c r="M1074" t="inlineStr">
        <is>
          <t>2005</t>
        </is>
      </c>
      <c r="O1074" t="inlineStr">
        <is>
          <t>eng</t>
        </is>
      </c>
      <c r="P1074" t="inlineStr">
        <is>
          <t>nyu</t>
        </is>
      </c>
      <c r="R1074" t="inlineStr">
        <is>
          <t xml:space="preserve">RC </t>
        </is>
      </c>
      <c r="S1074" t="n">
        <v>8</v>
      </c>
      <c r="T1074" t="n">
        <v>8</v>
      </c>
      <c r="U1074" t="inlineStr">
        <is>
          <t>2008-07-23</t>
        </is>
      </c>
      <c r="V1074" t="inlineStr">
        <is>
          <t>2008-07-23</t>
        </is>
      </c>
      <c r="W1074" t="inlineStr">
        <is>
          <t>2005-05-24</t>
        </is>
      </c>
      <c r="X1074" t="inlineStr">
        <is>
          <t>2005-05-24</t>
        </is>
      </c>
      <c r="Y1074" t="n">
        <v>1437</v>
      </c>
      <c r="Z1074" t="n">
        <v>1347</v>
      </c>
      <c r="AA1074" t="n">
        <v>1459</v>
      </c>
      <c r="AB1074" t="n">
        <v>11</v>
      </c>
      <c r="AC1074" t="n">
        <v>11</v>
      </c>
      <c r="AD1074" t="n">
        <v>26</v>
      </c>
      <c r="AE1074" t="n">
        <v>28</v>
      </c>
      <c r="AF1074" t="n">
        <v>13</v>
      </c>
      <c r="AG1074" t="n">
        <v>15</v>
      </c>
      <c r="AH1074" t="n">
        <v>2</v>
      </c>
      <c r="AI1074" t="n">
        <v>2</v>
      </c>
      <c r="AJ1074" t="n">
        <v>11</v>
      </c>
      <c r="AK1074" t="n">
        <v>12</v>
      </c>
      <c r="AL1074" t="n">
        <v>5</v>
      </c>
      <c r="AM1074" t="n">
        <v>5</v>
      </c>
      <c r="AN1074" t="n">
        <v>0</v>
      </c>
      <c r="AO1074" t="n">
        <v>0</v>
      </c>
      <c r="AP1074" t="inlineStr">
        <is>
          <t>No</t>
        </is>
      </c>
      <c r="AQ1074" t="inlineStr">
        <is>
          <t>Yes</t>
        </is>
      </c>
      <c r="AR1074">
        <f>HYPERLINK("http://catalog.hathitrust.org/Record/004991992","HathiTrust Record")</f>
        <v/>
      </c>
      <c r="AS1074">
        <f>HYPERLINK("https://creighton-primo.hosted.exlibrisgroup.com/primo-explore/search?tab=default_tab&amp;search_scope=EVERYTHING&amp;vid=01CRU&amp;lang=en_US&amp;offset=0&amp;query=any,contains,991004531589702656","Catalog Record")</f>
        <v/>
      </c>
      <c r="AT1074">
        <f>HYPERLINK("http://www.worldcat.org/oclc/57010004","WorldCat Record")</f>
        <v/>
      </c>
      <c r="AU1074" t="inlineStr">
        <is>
          <t>32905:eng</t>
        </is>
      </c>
      <c r="AV1074" t="inlineStr">
        <is>
          <t>57010004</t>
        </is>
      </c>
      <c r="AW1074" t="inlineStr">
        <is>
          <t>991004531589702656</t>
        </is>
      </c>
      <c r="AX1074" t="inlineStr">
        <is>
          <t>991004531589702656</t>
        </is>
      </c>
      <c r="AY1074" t="inlineStr">
        <is>
          <t>2265812400002656</t>
        </is>
      </c>
      <c r="AZ1074" t="inlineStr">
        <is>
          <t>BOOK</t>
        </is>
      </c>
      <c r="BB1074" t="inlineStr">
        <is>
          <t>9780670034055</t>
        </is>
      </c>
      <c r="BC1074" t="inlineStr">
        <is>
          <t>32285005039721</t>
        </is>
      </c>
      <c r="BD1074" t="inlineStr">
        <is>
          <t>893810563</t>
        </is>
      </c>
    </row>
    <row r="1075">
      <c r="A1075" t="inlineStr">
        <is>
          <t>No</t>
        </is>
      </c>
      <c r="B1075" t="inlineStr">
        <is>
          <t>RC537 .L48</t>
        </is>
      </c>
      <c r="C1075" t="inlineStr">
        <is>
          <t>0                      RC 0537000L  48</t>
        </is>
      </c>
      <c r="D1075" t="inlineStr">
        <is>
          <t>Depression--concepts, controversies, and some new facts / Eugene E. Levitt, Bernard Lubin ; with a foreword by John Paul Brady.</t>
        </is>
      </c>
      <c r="F1075" t="inlineStr">
        <is>
          <t>No</t>
        </is>
      </c>
      <c r="G1075" t="inlineStr">
        <is>
          <t>1</t>
        </is>
      </c>
      <c r="H1075" t="inlineStr">
        <is>
          <t>No</t>
        </is>
      </c>
      <c r="I1075" t="inlineStr">
        <is>
          <t>No</t>
        </is>
      </c>
      <c r="J1075" t="inlineStr">
        <is>
          <t>0</t>
        </is>
      </c>
      <c r="K1075" t="inlineStr">
        <is>
          <t>Levitt, Eugene E.</t>
        </is>
      </c>
      <c r="L1075" t="inlineStr">
        <is>
          <t>New York : Springer Pub. Co., [1975]</t>
        </is>
      </c>
      <c r="M1075" t="inlineStr">
        <is>
          <t>1975</t>
        </is>
      </c>
      <c r="O1075" t="inlineStr">
        <is>
          <t>eng</t>
        </is>
      </c>
      <c r="P1075" t="inlineStr">
        <is>
          <t>nyu</t>
        </is>
      </c>
      <c r="R1075" t="inlineStr">
        <is>
          <t xml:space="preserve">RC </t>
        </is>
      </c>
      <c r="S1075" t="n">
        <v>12</v>
      </c>
      <c r="T1075" t="n">
        <v>12</v>
      </c>
      <c r="U1075" t="inlineStr">
        <is>
          <t>2001-11-19</t>
        </is>
      </c>
      <c r="V1075" t="inlineStr">
        <is>
          <t>2001-11-19</t>
        </is>
      </c>
      <c r="W1075" t="inlineStr">
        <is>
          <t>1990-12-13</t>
        </is>
      </c>
      <c r="X1075" t="inlineStr">
        <is>
          <t>1990-12-13</t>
        </is>
      </c>
      <c r="Y1075" t="n">
        <v>316</v>
      </c>
      <c r="Z1075" t="n">
        <v>269</v>
      </c>
      <c r="AA1075" t="n">
        <v>405</v>
      </c>
      <c r="AB1075" t="n">
        <v>3</v>
      </c>
      <c r="AC1075" t="n">
        <v>3</v>
      </c>
      <c r="AD1075" t="n">
        <v>11</v>
      </c>
      <c r="AE1075" t="n">
        <v>19</v>
      </c>
      <c r="AF1075" t="n">
        <v>4</v>
      </c>
      <c r="AG1075" t="n">
        <v>6</v>
      </c>
      <c r="AH1075" t="n">
        <v>1</v>
      </c>
      <c r="AI1075" t="n">
        <v>5</v>
      </c>
      <c r="AJ1075" t="n">
        <v>8</v>
      </c>
      <c r="AK1075" t="n">
        <v>14</v>
      </c>
      <c r="AL1075" t="n">
        <v>1</v>
      </c>
      <c r="AM1075" t="n">
        <v>1</v>
      </c>
      <c r="AN1075" t="n">
        <v>0</v>
      </c>
      <c r="AO1075" t="n">
        <v>0</v>
      </c>
      <c r="AP1075" t="inlineStr">
        <is>
          <t>No</t>
        </is>
      </c>
      <c r="AQ1075" t="inlineStr">
        <is>
          <t>Yes</t>
        </is>
      </c>
      <c r="AR1075">
        <f>HYPERLINK("http://catalog.hathitrust.org/Record/000041948","HathiTrust Record")</f>
        <v/>
      </c>
      <c r="AS1075">
        <f>HYPERLINK("https://creighton-primo.hosted.exlibrisgroup.com/primo-explore/search?tab=default_tab&amp;search_scope=EVERYTHING&amp;vid=01CRU&amp;lang=en_US&amp;offset=0&amp;query=any,contains,991003598109702656","Catalog Record")</f>
        <v/>
      </c>
      <c r="AT1075">
        <f>HYPERLINK("http://www.worldcat.org/oclc/1176140","WorldCat Record")</f>
        <v/>
      </c>
      <c r="AU1075" t="inlineStr">
        <is>
          <t>2121985:eng</t>
        </is>
      </c>
      <c r="AV1075" t="inlineStr">
        <is>
          <t>1176140</t>
        </is>
      </c>
      <c r="AW1075" t="inlineStr">
        <is>
          <t>991003598109702656</t>
        </is>
      </c>
      <c r="AX1075" t="inlineStr">
        <is>
          <t>991003598109702656</t>
        </is>
      </c>
      <c r="AY1075" t="inlineStr">
        <is>
          <t>2271889830002656</t>
        </is>
      </c>
      <c r="AZ1075" t="inlineStr">
        <is>
          <t>BOOK</t>
        </is>
      </c>
      <c r="BB1075" t="inlineStr">
        <is>
          <t>9780826117304</t>
        </is>
      </c>
      <c r="BC1075" t="inlineStr">
        <is>
          <t>32285000425099</t>
        </is>
      </c>
      <c r="BD1075" t="inlineStr">
        <is>
          <t>893228214</t>
        </is>
      </c>
    </row>
    <row r="1076">
      <c r="A1076" t="inlineStr">
        <is>
          <t>No</t>
        </is>
      </c>
      <c r="B1076" t="inlineStr">
        <is>
          <t>RC537 .M43 1987</t>
        </is>
      </c>
      <c r="C1076" t="inlineStr">
        <is>
          <t>0                      RC 0537000M  43          1987</t>
        </is>
      </c>
      <c r="D1076" t="inlineStr">
        <is>
          <t>The Measurement of depression / edited by Anthony J. Marsella, Robert M.A. Hirschfeld, Martin M. Katz.</t>
        </is>
      </c>
      <c r="F1076" t="inlineStr">
        <is>
          <t>No</t>
        </is>
      </c>
      <c r="G1076" t="inlineStr">
        <is>
          <t>1</t>
        </is>
      </c>
      <c r="H1076" t="inlineStr">
        <is>
          <t>No</t>
        </is>
      </c>
      <c r="I1076" t="inlineStr">
        <is>
          <t>No</t>
        </is>
      </c>
      <c r="J1076" t="inlineStr">
        <is>
          <t>0</t>
        </is>
      </c>
      <c r="L1076" t="inlineStr">
        <is>
          <t>New York : Guilford Press, 1987.</t>
        </is>
      </c>
      <c r="M1076" t="inlineStr">
        <is>
          <t>1987</t>
        </is>
      </c>
      <c r="O1076" t="inlineStr">
        <is>
          <t>eng</t>
        </is>
      </c>
      <c r="P1076" t="inlineStr">
        <is>
          <t>nyu</t>
        </is>
      </c>
      <c r="R1076" t="inlineStr">
        <is>
          <t xml:space="preserve">RC </t>
        </is>
      </c>
      <c r="S1076" t="n">
        <v>24</v>
      </c>
      <c r="T1076" t="n">
        <v>24</v>
      </c>
      <c r="U1076" t="inlineStr">
        <is>
          <t>2005-11-27</t>
        </is>
      </c>
      <c r="V1076" t="inlineStr">
        <is>
          <t>2005-11-27</t>
        </is>
      </c>
      <c r="W1076" t="inlineStr">
        <is>
          <t>1991-01-04</t>
        </is>
      </c>
      <c r="X1076" t="inlineStr">
        <is>
          <t>1991-01-04</t>
        </is>
      </c>
      <c r="Y1076" t="n">
        <v>291</v>
      </c>
      <c r="Z1076" t="n">
        <v>253</v>
      </c>
      <c r="AA1076" t="n">
        <v>258</v>
      </c>
      <c r="AB1076" t="n">
        <v>2</v>
      </c>
      <c r="AC1076" t="n">
        <v>2</v>
      </c>
      <c r="AD1076" t="n">
        <v>10</v>
      </c>
      <c r="AE1076" t="n">
        <v>10</v>
      </c>
      <c r="AF1076" t="n">
        <v>1</v>
      </c>
      <c r="AG1076" t="n">
        <v>1</v>
      </c>
      <c r="AH1076" t="n">
        <v>4</v>
      </c>
      <c r="AI1076" t="n">
        <v>4</v>
      </c>
      <c r="AJ1076" t="n">
        <v>6</v>
      </c>
      <c r="AK1076" t="n">
        <v>6</v>
      </c>
      <c r="AL1076" t="n">
        <v>1</v>
      </c>
      <c r="AM1076" t="n">
        <v>1</v>
      </c>
      <c r="AN1076" t="n">
        <v>0</v>
      </c>
      <c r="AO1076" t="n">
        <v>0</v>
      </c>
      <c r="AP1076" t="inlineStr">
        <is>
          <t>No</t>
        </is>
      </c>
      <c r="AQ1076" t="inlineStr">
        <is>
          <t>No</t>
        </is>
      </c>
      <c r="AS1076">
        <f>HYPERLINK("https://creighton-primo.hosted.exlibrisgroup.com/primo-explore/search?tab=default_tab&amp;search_scope=EVERYTHING&amp;vid=01CRU&amp;lang=en_US&amp;offset=0&amp;query=any,contains,991000969789702656","Catalog Record")</f>
        <v/>
      </c>
      <c r="AT1076">
        <f>HYPERLINK("http://www.worldcat.org/oclc/14932984","WorldCat Record")</f>
        <v/>
      </c>
      <c r="AU1076" t="inlineStr">
        <is>
          <t>350600522:eng</t>
        </is>
      </c>
      <c r="AV1076" t="inlineStr">
        <is>
          <t>14932984</t>
        </is>
      </c>
      <c r="AW1076" t="inlineStr">
        <is>
          <t>991000969789702656</t>
        </is>
      </c>
      <c r="AX1076" t="inlineStr">
        <is>
          <t>991000969789702656</t>
        </is>
      </c>
      <c r="AY1076" t="inlineStr">
        <is>
          <t>2263675790002656</t>
        </is>
      </c>
      <c r="AZ1076" t="inlineStr">
        <is>
          <t>BOOK</t>
        </is>
      </c>
      <c r="BB1076" t="inlineStr">
        <is>
          <t>9780898626940</t>
        </is>
      </c>
      <c r="BC1076" t="inlineStr">
        <is>
          <t>32285000407485</t>
        </is>
      </c>
      <c r="BD1076" t="inlineStr">
        <is>
          <t>893407700</t>
        </is>
      </c>
    </row>
    <row r="1077">
      <c r="A1077" t="inlineStr">
        <is>
          <t>No</t>
        </is>
      </c>
      <c r="B1077" t="inlineStr">
        <is>
          <t>RC537 .N65 1990</t>
        </is>
      </c>
      <c r="C1077" t="inlineStr">
        <is>
          <t>0                      RC 0537000N  65          1990</t>
        </is>
      </c>
      <c r="D1077" t="inlineStr">
        <is>
          <t>Sex differences in depression / Susan Nolen-Hoeksema.</t>
        </is>
      </c>
      <c r="F1077" t="inlineStr">
        <is>
          <t>No</t>
        </is>
      </c>
      <c r="G1077" t="inlineStr">
        <is>
          <t>1</t>
        </is>
      </c>
      <c r="H1077" t="inlineStr">
        <is>
          <t>No</t>
        </is>
      </c>
      <c r="I1077" t="inlineStr">
        <is>
          <t>No</t>
        </is>
      </c>
      <c r="J1077" t="inlineStr">
        <is>
          <t>0</t>
        </is>
      </c>
      <c r="K1077" t="inlineStr">
        <is>
          <t>Nolen-Hoeksema, Susan, 1959-2013.</t>
        </is>
      </c>
      <c r="L1077" t="inlineStr">
        <is>
          <t>Stanford, Calif. : Stanford University Press, c1990.</t>
        </is>
      </c>
      <c r="M1077" t="inlineStr">
        <is>
          <t>1990</t>
        </is>
      </c>
      <c r="O1077" t="inlineStr">
        <is>
          <t>eng</t>
        </is>
      </c>
      <c r="P1077" t="inlineStr">
        <is>
          <t>cau</t>
        </is>
      </c>
      <c r="R1077" t="inlineStr">
        <is>
          <t xml:space="preserve">RC </t>
        </is>
      </c>
      <c r="S1077" t="n">
        <v>36</v>
      </c>
      <c r="T1077" t="n">
        <v>36</v>
      </c>
      <c r="U1077" t="inlineStr">
        <is>
          <t>2005-02-11</t>
        </is>
      </c>
      <c r="V1077" t="inlineStr">
        <is>
          <t>2005-02-11</t>
        </is>
      </c>
      <c r="W1077" t="inlineStr">
        <is>
          <t>1991-02-08</t>
        </is>
      </c>
      <c r="X1077" t="inlineStr">
        <is>
          <t>1991-02-08</t>
        </is>
      </c>
      <c r="Y1077" t="n">
        <v>690</v>
      </c>
      <c r="Z1077" t="n">
        <v>593</v>
      </c>
      <c r="AA1077" t="n">
        <v>594</v>
      </c>
      <c r="AB1077" t="n">
        <v>5</v>
      </c>
      <c r="AC1077" t="n">
        <v>5</v>
      </c>
      <c r="AD1077" t="n">
        <v>30</v>
      </c>
      <c r="AE1077" t="n">
        <v>30</v>
      </c>
      <c r="AF1077" t="n">
        <v>10</v>
      </c>
      <c r="AG1077" t="n">
        <v>10</v>
      </c>
      <c r="AH1077" t="n">
        <v>7</v>
      </c>
      <c r="AI1077" t="n">
        <v>7</v>
      </c>
      <c r="AJ1077" t="n">
        <v>20</v>
      </c>
      <c r="AK1077" t="n">
        <v>20</v>
      </c>
      <c r="AL1077" t="n">
        <v>4</v>
      </c>
      <c r="AM1077" t="n">
        <v>4</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HYPERLINK("https://creighton-primo.hosted.exlibrisgroup.com/primo-explore/search?tab=default_tab&amp;search_scope=EVERYTHING&amp;vid=01CRU&amp;lang=en_US&amp;offset=0&amp;query=any,contains,991001580889702656","Catalog Record")</f>
        <v/>
      </c>
      <c r="AT1077">
        <f>HYPERLINK("http://www.worldcat.org/oclc/20489869","WorldCat Record")</f>
        <v/>
      </c>
      <c r="AU1077" t="inlineStr">
        <is>
          <t>22623769:eng</t>
        </is>
      </c>
      <c r="AV1077" t="inlineStr">
        <is>
          <t>20489869</t>
        </is>
      </c>
      <c r="AW1077" t="inlineStr">
        <is>
          <t>991001580889702656</t>
        </is>
      </c>
      <c r="AX1077" t="inlineStr">
        <is>
          <t>991001580889702656</t>
        </is>
      </c>
      <c r="AY1077" t="inlineStr">
        <is>
          <t>2269750850002656</t>
        </is>
      </c>
      <c r="AZ1077" t="inlineStr">
        <is>
          <t>BOOK</t>
        </is>
      </c>
      <c r="BB1077" t="inlineStr">
        <is>
          <t>9780804716406</t>
        </is>
      </c>
      <c r="BC1077" t="inlineStr">
        <is>
          <t>32285000463264</t>
        </is>
      </c>
      <c r="BD1077" t="inlineStr">
        <is>
          <t>893797643</t>
        </is>
      </c>
    </row>
    <row r="1078">
      <c r="A1078" t="inlineStr">
        <is>
          <t>No</t>
        </is>
      </c>
      <c r="B1078" t="inlineStr">
        <is>
          <t>RC537 .P36 1987</t>
        </is>
      </c>
      <c r="C1078" t="inlineStr">
        <is>
          <t>0                      RC 0537000P  36          1987</t>
        </is>
      </c>
      <c r="D1078" t="inlineStr">
        <is>
          <t>Overcoming depression / Demitri F. Papolos and Janice Papolos.</t>
        </is>
      </c>
      <c r="F1078" t="inlineStr">
        <is>
          <t>No</t>
        </is>
      </c>
      <c r="G1078" t="inlineStr">
        <is>
          <t>1</t>
        </is>
      </c>
      <c r="H1078" t="inlineStr">
        <is>
          <t>No</t>
        </is>
      </c>
      <c r="I1078" t="inlineStr">
        <is>
          <t>Yes</t>
        </is>
      </c>
      <c r="J1078" t="inlineStr">
        <is>
          <t>0</t>
        </is>
      </c>
      <c r="K1078" t="inlineStr">
        <is>
          <t>Papolos, Demitri F.</t>
        </is>
      </c>
      <c r="L1078" t="inlineStr">
        <is>
          <t>New York : Harper &amp; Row, c1987.</t>
        </is>
      </c>
      <c r="M1078" t="inlineStr">
        <is>
          <t>1987</t>
        </is>
      </c>
      <c r="N1078" t="inlineStr">
        <is>
          <t>1st ed.</t>
        </is>
      </c>
      <c r="O1078" t="inlineStr">
        <is>
          <t>eng</t>
        </is>
      </c>
      <c r="P1078" t="inlineStr">
        <is>
          <t>nyu</t>
        </is>
      </c>
      <c r="R1078" t="inlineStr">
        <is>
          <t xml:space="preserve">RC </t>
        </is>
      </c>
      <c r="S1078" t="n">
        <v>21</v>
      </c>
      <c r="T1078" t="n">
        <v>21</v>
      </c>
      <c r="U1078" t="inlineStr">
        <is>
          <t>2005-02-01</t>
        </is>
      </c>
      <c r="V1078" t="inlineStr">
        <is>
          <t>2005-02-01</t>
        </is>
      </c>
      <c r="W1078" t="inlineStr">
        <is>
          <t>1990-03-13</t>
        </is>
      </c>
      <c r="X1078" t="inlineStr">
        <is>
          <t>1990-03-13</t>
        </is>
      </c>
      <c r="Y1078" t="n">
        <v>751</v>
      </c>
      <c r="Z1078" t="n">
        <v>718</v>
      </c>
      <c r="AA1078" t="n">
        <v>1308</v>
      </c>
      <c r="AB1078" t="n">
        <v>4</v>
      </c>
      <c r="AC1078" t="n">
        <v>6</v>
      </c>
      <c r="AD1078" t="n">
        <v>14</v>
      </c>
      <c r="AE1078" t="n">
        <v>22</v>
      </c>
      <c r="AF1078" t="n">
        <v>6</v>
      </c>
      <c r="AG1078" t="n">
        <v>9</v>
      </c>
      <c r="AH1078" t="n">
        <v>4</v>
      </c>
      <c r="AI1078" t="n">
        <v>6</v>
      </c>
      <c r="AJ1078" t="n">
        <v>6</v>
      </c>
      <c r="AK1078" t="n">
        <v>10</v>
      </c>
      <c r="AL1078" t="n">
        <v>1</v>
      </c>
      <c r="AM1078" t="n">
        <v>3</v>
      </c>
      <c r="AN1078" t="n">
        <v>0</v>
      </c>
      <c r="AO1078" t="n">
        <v>0</v>
      </c>
      <c r="AP1078" t="inlineStr">
        <is>
          <t>No</t>
        </is>
      </c>
      <c r="AQ1078" t="inlineStr">
        <is>
          <t>Yes</t>
        </is>
      </c>
      <c r="AR1078">
        <f>HYPERLINK("http://catalog.hathitrust.org/Record/000872145","HathiTrust Record")</f>
        <v/>
      </c>
      <c r="AS1078">
        <f>HYPERLINK("https://creighton-primo.hosted.exlibrisgroup.com/primo-explore/search?tab=default_tab&amp;search_scope=EVERYTHING&amp;vid=01CRU&amp;lang=en_US&amp;offset=0&amp;query=any,contains,991000988109702656","Catalog Record")</f>
        <v/>
      </c>
      <c r="AT1078">
        <f>HYPERLINK("http://www.worldcat.org/oclc/15084101","WorldCat Record")</f>
        <v/>
      </c>
      <c r="AU1078" t="inlineStr">
        <is>
          <t>9075892:eng</t>
        </is>
      </c>
      <c r="AV1078" t="inlineStr">
        <is>
          <t>15084101</t>
        </is>
      </c>
      <c r="AW1078" t="inlineStr">
        <is>
          <t>991000988109702656</t>
        </is>
      </c>
      <c r="AX1078" t="inlineStr">
        <is>
          <t>991000988109702656</t>
        </is>
      </c>
      <c r="AY1078" t="inlineStr">
        <is>
          <t>2254869320002656</t>
        </is>
      </c>
      <c r="AZ1078" t="inlineStr">
        <is>
          <t>BOOK</t>
        </is>
      </c>
      <c r="BB1078" t="inlineStr">
        <is>
          <t>9780060157562</t>
        </is>
      </c>
      <c r="BC1078" t="inlineStr">
        <is>
          <t>32285000066000</t>
        </is>
      </c>
      <c r="BD1078" t="inlineStr">
        <is>
          <t>893333952</t>
        </is>
      </c>
    </row>
    <row r="1079">
      <c r="A1079" t="inlineStr">
        <is>
          <t>No</t>
        </is>
      </c>
      <c r="B1079" t="inlineStr">
        <is>
          <t>RC537 .P36 1988</t>
        </is>
      </c>
      <c r="C1079" t="inlineStr">
        <is>
          <t>0                      RC 0537000P  36          1988</t>
        </is>
      </c>
      <c r="D1079" t="inlineStr">
        <is>
          <t>Overcoming depression / Demitri F. Papolos and Janice Papolos.</t>
        </is>
      </c>
      <c r="F1079" t="inlineStr">
        <is>
          <t>No</t>
        </is>
      </c>
      <c r="G1079" t="inlineStr">
        <is>
          <t>1</t>
        </is>
      </c>
      <c r="H1079" t="inlineStr">
        <is>
          <t>No</t>
        </is>
      </c>
      <c r="I1079" t="inlineStr">
        <is>
          <t>Yes</t>
        </is>
      </c>
      <c r="J1079" t="inlineStr">
        <is>
          <t>0</t>
        </is>
      </c>
      <c r="K1079" t="inlineStr">
        <is>
          <t>Papolos, Demitri F.</t>
        </is>
      </c>
      <c r="L1079" t="inlineStr">
        <is>
          <t>New York : Perennial Library, 1988, c1987.</t>
        </is>
      </c>
      <c r="M1079" t="inlineStr">
        <is>
          <t>1988</t>
        </is>
      </c>
      <c r="N1079" t="inlineStr">
        <is>
          <t>1st Perennial Library ed.</t>
        </is>
      </c>
      <c r="O1079" t="inlineStr">
        <is>
          <t>eng</t>
        </is>
      </c>
      <c r="P1079" t="inlineStr">
        <is>
          <t>nyu</t>
        </is>
      </c>
      <c r="R1079" t="inlineStr">
        <is>
          <t xml:space="preserve">RC </t>
        </is>
      </c>
      <c r="S1079" t="n">
        <v>43</v>
      </c>
      <c r="T1079" t="n">
        <v>43</v>
      </c>
      <c r="U1079" t="inlineStr">
        <is>
          <t>2006-02-04</t>
        </is>
      </c>
      <c r="V1079" t="inlineStr">
        <is>
          <t>2006-02-04</t>
        </is>
      </c>
      <c r="W1079" t="inlineStr">
        <is>
          <t>1989-11-27</t>
        </is>
      </c>
      <c r="X1079" t="inlineStr">
        <is>
          <t>1989-11-27</t>
        </is>
      </c>
      <c r="Y1079" t="n">
        <v>123</v>
      </c>
      <c r="Z1079" t="n">
        <v>119</v>
      </c>
      <c r="AA1079" t="n">
        <v>1308</v>
      </c>
      <c r="AB1079" t="n">
        <v>2</v>
      </c>
      <c r="AC1079" t="n">
        <v>6</v>
      </c>
      <c r="AD1079" t="n">
        <v>5</v>
      </c>
      <c r="AE1079" t="n">
        <v>22</v>
      </c>
      <c r="AF1079" t="n">
        <v>1</v>
      </c>
      <c r="AG1079" t="n">
        <v>9</v>
      </c>
      <c r="AH1079" t="n">
        <v>1</v>
      </c>
      <c r="AI1079" t="n">
        <v>6</v>
      </c>
      <c r="AJ1079" t="n">
        <v>3</v>
      </c>
      <c r="AK1079" t="n">
        <v>10</v>
      </c>
      <c r="AL1079" t="n">
        <v>1</v>
      </c>
      <c r="AM1079" t="n">
        <v>3</v>
      </c>
      <c r="AN1079" t="n">
        <v>0</v>
      </c>
      <c r="AO1079" t="n">
        <v>0</v>
      </c>
      <c r="AP1079" t="inlineStr">
        <is>
          <t>No</t>
        </is>
      </c>
      <c r="AQ1079" t="inlineStr">
        <is>
          <t>No</t>
        </is>
      </c>
      <c r="AS1079">
        <f>HYPERLINK("https://creighton-primo.hosted.exlibrisgroup.com/primo-explore/search?tab=default_tab&amp;search_scope=EVERYTHING&amp;vid=01CRU&amp;lang=en_US&amp;offset=0&amp;query=any,contains,991001363339702656","Catalog Record")</f>
        <v/>
      </c>
      <c r="AT1079">
        <f>HYPERLINK("http://www.worldcat.org/oclc/18538951","WorldCat Record")</f>
        <v/>
      </c>
      <c r="AU1079" t="inlineStr">
        <is>
          <t>9075892:eng</t>
        </is>
      </c>
      <c r="AV1079" t="inlineStr">
        <is>
          <t>18538951</t>
        </is>
      </c>
      <c r="AW1079" t="inlineStr">
        <is>
          <t>991001363339702656</t>
        </is>
      </c>
      <c r="AX1079" t="inlineStr">
        <is>
          <t>991001363339702656</t>
        </is>
      </c>
      <c r="AY1079" t="inlineStr">
        <is>
          <t>2267123170002656</t>
        </is>
      </c>
      <c r="AZ1079" t="inlineStr">
        <is>
          <t>BOOK</t>
        </is>
      </c>
      <c r="BB1079" t="inlineStr">
        <is>
          <t>9780060914882</t>
        </is>
      </c>
      <c r="BC1079" t="inlineStr">
        <is>
          <t>32285000015536</t>
        </is>
      </c>
      <c r="BD1079" t="inlineStr">
        <is>
          <t>893891518</t>
        </is>
      </c>
    </row>
    <row r="1080">
      <c r="A1080" t="inlineStr">
        <is>
          <t>No</t>
        </is>
      </c>
      <c r="B1080" t="inlineStr">
        <is>
          <t>RC537 .P43 1993</t>
        </is>
      </c>
      <c r="C1080" t="inlineStr">
        <is>
          <t>0                      RC 0537000P  43          1993</t>
        </is>
      </c>
      <c r="D1080" t="inlineStr">
        <is>
          <t>Personality and depression : a current view / edited by Marjorie H. Klein, David J. Kupfer, M. Tracie Shea.</t>
        </is>
      </c>
      <c r="F1080" t="inlineStr">
        <is>
          <t>No</t>
        </is>
      </c>
      <c r="G1080" t="inlineStr">
        <is>
          <t>1</t>
        </is>
      </c>
      <c r="H1080" t="inlineStr">
        <is>
          <t>No</t>
        </is>
      </c>
      <c r="I1080" t="inlineStr">
        <is>
          <t>No</t>
        </is>
      </c>
      <c r="J1080" t="inlineStr">
        <is>
          <t>0</t>
        </is>
      </c>
      <c r="L1080" t="inlineStr">
        <is>
          <t>New York : Guilford Press, c1993.</t>
        </is>
      </c>
      <c r="M1080" t="inlineStr">
        <is>
          <t>1993</t>
        </is>
      </c>
      <c r="O1080" t="inlineStr">
        <is>
          <t>eng</t>
        </is>
      </c>
      <c r="P1080" t="inlineStr">
        <is>
          <t>nyu</t>
        </is>
      </c>
      <c r="Q1080" t="inlineStr">
        <is>
          <t>Mental health and psychopathology</t>
        </is>
      </c>
      <c r="R1080" t="inlineStr">
        <is>
          <t xml:space="preserve">RC </t>
        </is>
      </c>
      <c r="S1080" t="n">
        <v>22</v>
      </c>
      <c r="T1080" t="n">
        <v>22</v>
      </c>
      <c r="U1080" t="inlineStr">
        <is>
          <t>2003-02-19</t>
        </is>
      </c>
      <c r="V1080" t="inlineStr">
        <is>
          <t>2003-02-19</t>
        </is>
      </c>
      <c r="W1080" t="inlineStr">
        <is>
          <t>1994-12-28</t>
        </is>
      </c>
      <c r="X1080" t="inlineStr">
        <is>
          <t>1994-12-28</t>
        </is>
      </c>
      <c r="Y1080" t="n">
        <v>284</v>
      </c>
      <c r="Z1080" t="n">
        <v>233</v>
      </c>
      <c r="AA1080" t="n">
        <v>233</v>
      </c>
      <c r="AB1080" t="n">
        <v>3</v>
      </c>
      <c r="AC1080" t="n">
        <v>3</v>
      </c>
      <c r="AD1080" t="n">
        <v>11</v>
      </c>
      <c r="AE1080" t="n">
        <v>11</v>
      </c>
      <c r="AF1080" t="n">
        <v>4</v>
      </c>
      <c r="AG1080" t="n">
        <v>4</v>
      </c>
      <c r="AH1080" t="n">
        <v>2</v>
      </c>
      <c r="AI1080" t="n">
        <v>2</v>
      </c>
      <c r="AJ1080" t="n">
        <v>5</v>
      </c>
      <c r="AK1080" t="n">
        <v>5</v>
      </c>
      <c r="AL1080" t="n">
        <v>2</v>
      </c>
      <c r="AM1080" t="n">
        <v>2</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HYPERLINK("https://creighton-primo.hosted.exlibrisgroup.com/primo-explore/search?tab=default_tab&amp;search_scope=EVERYTHING&amp;vid=01CRU&amp;lang=en_US&amp;offset=0&amp;query=any,contains,991002087159702656","Catalog Record")</f>
        <v/>
      </c>
      <c r="AT1080">
        <f>HYPERLINK("http://www.worldcat.org/oclc/26769090","WorldCat Record")</f>
        <v/>
      </c>
      <c r="AU1080" t="inlineStr">
        <is>
          <t>894521243:eng</t>
        </is>
      </c>
      <c r="AV1080" t="inlineStr">
        <is>
          <t>26769090</t>
        </is>
      </c>
      <c r="AW1080" t="inlineStr">
        <is>
          <t>991002087159702656</t>
        </is>
      </c>
      <c r="AX1080" t="inlineStr">
        <is>
          <t>991002087159702656</t>
        </is>
      </c>
      <c r="AY1080" t="inlineStr">
        <is>
          <t>2267385480002656</t>
        </is>
      </c>
      <c r="AZ1080" t="inlineStr">
        <is>
          <t>BOOK</t>
        </is>
      </c>
      <c r="BB1080" t="inlineStr">
        <is>
          <t>9780898621181</t>
        </is>
      </c>
      <c r="BC1080" t="inlineStr">
        <is>
          <t>32285001979318</t>
        </is>
      </c>
      <c r="BD1080" t="inlineStr">
        <is>
          <t>893497706</t>
        </is>
      </c>
    </row>
    <row r="1081">
      <c r="A1081" t="inlineStr">
        <is>
          <t>No</t>
        </is>
      </c>
      <c r="B1081" t="inlineStr">
        <is>
          <t>RC537 .P438 2006</t>
        </is>
      </c>
      <c r="C1081" t="inlineStr">
        <is>
          <t>0                      RC 0537000P  438         2006</t>
        </is>
      </c>
      <c r="D1081" t="inlineStr">
        <is>
          <t>Chronic depression : interpersonal sources, therapeutic solutions / Jeremy W. Pettit, Thomas E. Joiner.</t>
        </is>
      </c>
      <c r="F1081" t="inlineStr">
        <is>
          <t>No</t>
        </is>
      </c>
      <c r="G1081" t="inlineStr">
        <is>
          <t>1</t>
        </is>
      </c>
      <c r="H1081" t="inlineStr">
        <is>
          <t>No</t>
        </is>
      </c>
      <c r="I1081" t="inlineStr">
        <is>
          <t>No</t>
        </is>
      </c>
      <c r="J1081" t="inlineStr">
        <is>
          <t>0</t>
        </is>
      </c>
      <c r="K1081" t="inlineStr">
        <is>
          <t>Pettit, Jeremy W.</t>
        </is>
      </c>
      <c r="L1081" t="inlineStr">
        <is>
          <t>Washington, DC : American Psychological Association, c2006.</t>
        </is>
      </c>
      <c r="M1081" t="inlineStr">
        <is>
          <t>2006</t>
        </is>
      </c>
      <c r="N1081" t="inlineStr">
        <is>
          <t>1st ed.</t>
        </is>
      </c>
      <c r="O1081" t="inlineStr">
        <is>
          <t>eng</t>
        </is>
      </c>
      <c r="P1081" t="inlineStr">
        <is>
          <t>dcu</t>
        </is>
      </c>
      <c r="R1081" t="inlineStr">
        <is>
          <t xml:space="preserve">RC </t>
        </is>
      </c>
      <c r="S1081" t="n">
        <v>7</v>
      </c>
      <c r="T1081" t="n">
        <v>7</v>
      </c>
      <c r="U1081" t="inlineStr">
        <is>
          <t>2009-11-05</t>
        </is>
      </c>
      <c r="V1081" t="inlineStr">
        <is>
          <t>2009-11-05</t>
        </is>
      </c>
      <c r="W1081" t="inlineStr">
        <is>
          <t>2006-03-06</t>
        </is>
      </c>
      <c r="X1081" t="inlineStr">
        <is>
          <t>2006-03-06</t>
        </is>
      </c>
      <c r="Y1081" t="n">
        <v>325</v>
      </c>
      <c r="Z1081" t="n">
        <v>255</v>
      </c>
      <c r="AA1081" t="n">
        <v>335</v>
      </c>
      <c r="AB1081" t="n">
        <v>3</v>
      </c>
      <c r="AC1081" t="n">
        <v>3</v>
      </c>
      <c r="AD1081" t="n">
        <v>14</v>
      </c>
      <c r="AE1081" t="n">
        <v>19</v>
      </c>
      <c r="AF1081" t="n">
        <v>4</v>
      </c>
      <c r="AG1081" t="n">
        <v>7</v>
      </c>
      <c r="AH1081" t="n">
        <v>1</v>
      </c>
      <c r="AI1081" t="n">
        <v>1</v>
      </c>
      <c r="AJ1081" t="n">
        <v>8</v>
      </c>
      <c r="AK1081" t="n">
        <v>11</v>
      </c>
      <c r="AL1081" t="n">
        <v>2</v>
      </c>
      <c r="AM1081" t="n">
        <v>2</v>
      </c>
      <c r="AN1081" t="n">
        <v>0</v>
      </c>
      <c r="AO1081" t="n">
        <v>0</v>
      </c>
      <c r="AP1081" t="inlineStr">
        <is>
          <t>No</t>
        </is>
      </c>
      <c r="AQ1081" t="inlineStr">
        <is>
          <t>Yes</t>
        </is>
      </c>
      <c r="AR1081">
        <f>HYPERLINK("http://catalog.hathitrust.org/Record/005111811","HathiTrust Record")</f>
        <v/>
      </c>
      <c r="AS1081">
        <f>HYPERLINK("https://creighton-primo.hosted.exlibrisgroup.com/primo-explore/search?tab=default_tab&amp;search_scope=EVERYTHING&amp;vid=01CRU&amp;lang=en_US&amp;offset=0&amp;query=any,contains,991004759419702656","Catalog Record")</f>
        <v/>
      </c>
      <c r="AT1081">
        <f>HYPERLINK("http://www.worldcat.org/oclc/58789011","WorldCat Record")</f>
        <v/>
      </c>
      <c r="AU1081" t="inlineStr">
        <is>
          <t>203293425:eng</t>
        </is>
      </c>
      <c r="AV1081" t="inlineStr">
        <is>
          <t>58789011</t>
        </is>
      </c>
      <c r="AW1081" t="inlineStr">
        <is>
          <t>991004759419702656</t>
        </is>
      </c>
      <c r="AX1081" t="inlineStr">
        <is>
          <t>991004759419702656</t>
        </is>
      </c>
      <c r="AY1081" t="inlineStr">
        <is>
          <t>2267563200002656</t>
        </is>
      </c>
      <c r="AZ1081" t="inlineStr">
        <is>
          <t>BOOK</t>
        </is>
      </c>
      <c r="BB1081" t="inlineStr">
        <is>
          <t>9781591473060</t>
        </is>
      </c>
      <c r="BC1081" t="inlineStr">
        <is>
          <t>32285005167712</t>
        </is>
      </c>
      <c r="BD1081" t="inlineStr">
        <is>
          <t>893319593</t>
        </is>
      </c>
    </row>
    <row r="1082">
      <c r="A1082" t="inlineStr">
        <is>
          <t>No</t>
        </is>
      </c>
      <c r="B1082" t="inlineStr">
        <is>
          <t>RC537 .P693 1987</t>
        </is>
      </c>
      <c r="C1082" t="inlineStr">
        <is>
          <t>0                      RC 0537000P  693         1987</t>
        </is>
      </c>
      <c r="D1082" t="inlineStr">
        <is>
          <t>Presentations of depression : depressive symptoms in medical and other psychiatric disorders / Oliver G. Cameron.</t>
        </is>
      </c>
      <c r="F1082" t="inlineStr">
        <is>
          <t>No</t>
        </is>
      </c>
      <c r="G1082" t="inlineStr">
        <is>
          <t>1</t>
        </is>
      </c>
      <c r="H1082" t="inlineStr">
        <is>
          <t>No</t>
        </is>
      </c>
      <c r="I1082" t="inlineStr">
        <is>
          <t>No</t>
        </is>
      </c>
      <c r="J1082" t="inlineStr">
        <is>
          <t>0</t>
        </is>
      </c>
      <c r="L1082" t="inlineStr">
        <is>
          <t>New York : Wiley, c1987.</t>
        </is>
      </c>
      <c r="M1082" t="inlineStr">
        <is>
          <t>1987</t>
        </is>
      </c>
      <c r="O1082" t="inlineStr">
        <is>
          <t>eng</t>
        </is>
      </c>
      <c r="P1082" t="inlineStr">
        <is>
          <t>nyu</t>
        </is>
      </c>
      <c r="Q1082" t="inlineStr">
        <is>
          <t>Wiley series in general and clinical psychiatry</t>
        </is>
      </c>
      <c r="R1082" t="inlineStr">
        <is>
          <t xml:space="preserve">RC </t>
        </is>
      </c>
      <c r="S1082" t="n">
        <v>26</v>
      </c>
      <c r="T1082" t="n">
        <v>26</v>
      </c>
      <c r="U1082" t="inlineStr">
        <is>
          <t>2006-12-06</t>
        </is>
      </c>
      <c r="V1082" t="inlineStr">
        <is>
          <t>2006-12-06</t>
        </is>
      </c>
      <c r="W1082" t="inlineStr">
        <is>
          <t>1990-02-28</t>
        </is>
      </c>
      <c r="X1082" t="inlineStr">
        <is>
          <t>1990-02-28</t>
        </is>
      </c>
      <c r="Y1082" t="n">
        <v>216</v>
      </c>
      <c r="Z1082" t="n">
        <v>166</v>
      </c>
      <c r="AA1082" t="n">
        <v>167</v>
      </c>
      <c r="AB1082" t="n">
        <v>1</v>
      </c>
      <c r="AC1082" t="n">
        <v>1</v>
      </c>
      <c r="AD1082" t="n">
        <v>6</v>
      </c>
      <c r="AE1082" t="n">
        <v>6</v>
      </c>
      <c r="AF1082" t="n">
        <v>3</v>
      </c>
      <c r="AG1082" t="n">
        <v>3</v>
      </c>
      <c r="AH1082" t="n">
        <v>0</v>
      </c>
      <c r="AI1082" t="n">
        <v>0</v>
      </c>
      <c r="AJ1082" t="n">
        <v>5</v>
      </c>
      <c r="AK1082" t="n">
        <v>5</v>
      </c>
      <c r="AL1082" t="n">
        <v>0</v>
      </c>
      <c r="AM1082" t="n">
        <v>0</v>
      </c>
      <c r="AN1082" t="n">
        <v>0</v>
      </c>
      <c r="AO1082" t="n">
        <v>0</v>
      </c>
      <c r="AP1082" t="inlineStr">
        <is>
          <t>No</t>
        </is>
      </c>
      <c r="AQ1082" t="inlineStr">
        <is>
          <t>Yes</t>
        </is>
      </c>
      <c r="AR1082">
        <f>HYPERLINK("http://catalog.hathitrust.org/Record/000832612","HathiTrust Record")</f>
        <v/>
      </c>
      <c r="AS1082">
        <f>HYPERLINK("https://creighton-primo.hosted.exlibrisgroup.com/primo-explore/search?tab=default_tab&amp;search_scope=EVERYTHING&amp;vid=01CRU&amp;lang=en_US&amp;offset=0&amp;query=any,contains,991001000729702656","Catalog Record")</f>
        <v/>
      </c>
      <c r="AT1082">
        <f>HYPERLINK("http://www.worldcat.org/oclc/15198196","WorldCat Record")</f>
        <v/>
      </c>
      <c r="AU1082" t="inlineStr">
        <is>
          <t>836707216:eng</t>
        </is>
      </c>
      <c r="AV1082" t="inlineStr">
        <is>
          <t>15198196</t>
        </is>
      </c>
      <c r="AW1082" t="inlineStr">
        <is>
          <t>991001000729702656</t>
        </is>
      </c>
      <c r="AX1082" t="inlineStr">
        <is>
          <t>991001000729702656</t>
        </is>
      </c>
      <c r="AY1082" t="inlineStr">
        <is>
          <t>2260450260002656</t>
        </is>
      </c>
      <c r="AZ1082" t="inlineStr">
        <is>
          <t>BOOK</t>
        </is>
      </c>
      <c r="BB1082" t="inlineStr">
        <is>
          <t>9780471011187</t>
        </is>
      </c>
      <c r="BC1082" t="inlineStr">
        <is>
          <t>32285000072461</t>
        </is>
      </c>
      <c r="BD1082" t="inlineStr">
        <is>
          <t>893702645</t>
        </is>
      </c>
    </row>
    <row r="1083">
      <c r="A1083" t="inlineStr">
        <is>
          <t>No</t>
        </is>
      </c>
      <c r="B1083" t="inlineStr">
        <is>
          <t>RC537 .P73</t>
        </is>
      </c>
      <c r="C1083" t="inlineStr">
        <is>
          <t>0                      RC 0537000P  73</t>
        </is>
      </c>
      <c r="D1083" t="inlineStr">
        <is>
          <t>The Psychobiology of the depressive disorders : implications for the effects of stress / edited by Richard A. Depue.</t>
        </is>
      </c>
      <c r="F1083" t="inlineStr">
        <is>
          <t>No</t>
        </is>
      </c>
      <c r="G1083" t="inlineStr">
        <is>
          <t>1</t>
        </is>
      </c>
      <c r="H1083" t="inlineStr">
        <is>
          <t>No</t>
        </is>
      </c>
      <c r="I1083" t="inlineStr">
        <is>
          <t>No</t>
        </is>
      </c>
      <c r="J1083" t="inlineStr">
        <is>
          <t>0</t>
        </is>
      </c>
      <c r="L1083" t="inlineStr">
        <is>
          <t>New York : Academic Press, 1979.</t>
        </is>
      </c>
      <c r="M1083" t="inlineStr">
        <is>
          <t>1979</t>
        </is>
      </c>
      <c r="O1083" t="inlineStr">
        <is>
          <t>eng</t>
        </is>
      </c>
      <c r="P1083" t="inlineStr">
        <is>
          <t>nyu</t>
        </is>
      </c>
      <c r="Q1083" t="inlineStr">
        <is>
          <t>Personality and psychopathology</t>
        </is>
      </c>
      <c r="R1083" t="inlineStr">
        <is>
          <t xml:space="preserve">RC </t>
        </is>
      </c>
      <c r="S1083" t="n">
        <v>12</v>
      </c>
      <c r="T1083" t="n">
        <v>12</v>
      </c>
      <c r="U1083" t="inlineStr">
        <is>
          <t>1998-11-08</t>
        </is>
      </c>
      <c r="V1083" t="inlineStr">
        <is>
          <t>1998-11-08</t>
        </is>
      </c>
      <c r="W1083" t="inlineStr">
        <is>
          <t>1990-03-13</t>
        </is>
      </c>
      <c r="X1083" t="inlineStr">
        <is>
          <t>1990-03-13</t>
        </is>
      </c>
      <c r="Y1083" t="n">
        <v>437</v>
      </c>
      <c r="Z1083" t="n">
        <v>317</v>
      </c>
      <c r="AA1083" t="n">
        <v>319</v>
      </c>
      <c r="AB1083" t="n">
        <v>1</v>
      </c>
      <c r="AC1083" t="n">
        <v>1</v>
      </c>
      <c r="AD1083" t="n">
        <v>13</v>
      </c>
      <c r="AE1083" t="n">
        <v>13</v>
      </c>
      <c r="AF1083" t="n">
        <v>3</v>
      </c>
      <c r="AG1083" t="n">
        <v>3</v>
      </c>
      <c r="AH1083" t="n">
        <v>5</v>
      </c>
      <c r="AI1083" t="n">
        <v>5</v>
      </c>
      <c r="AJ1083" t="n">
        <v>9</v>
      </c>
      <c r="AK1083" t="n">
        <v>9</v>
      </c>
      <c r="AL1083" t="n">
        <v>0</v>
      </c>
      <c r="AM1083" t="n">
        <v>0</v>
      </c>
      <c r="AN1083" t="n">
        <v>0</v>
      </c>
      <c r="AO1083" t="n">
        <v>0</v>
      </c>
      <c r="AP1083" t="inlineStr">
        <is>
          <t>No</t>
        </is>
      </c>
      <c r="AQ1083" t="inlineStr">
        <is>
          <t>Yes</t>
        </is>
      </c>
      <c r="AR1083">
        <f>HYPERLINK("http://catalog.hathitrust.org/Record/000031413","HathiTrust Record")</f>
        <v/>
      </c>
      <c r="AS1083">
        <f>HYPERLINK("https://creighton-primo.hosted.exlibrisgroup.com/primo-explore/search?tab=default_tab&amp;search_scope=EVERYTHING&amp;vid=01CRU&amp;lang=en_US&amp;offset=0&amp;query=any,contains,991004830609702656","Catalog Record")</f>
        <v/>
      </c>
      <c r="AT1083">
        <f>HYPERLINK("http://www.worldcat.org/oclc/5410398","WorldCat Record")</f>
        <v/>
      </c>
      <c r="AU1083" t="inlineStr">
        <is>
          <t>890415718:eng</t>
        </is>
      </c>
      <c r="AV1083" t="inlineStr">
        <is>
          <t>5410398</t>
        </is>
      </c>
      <c r="AW1083" t="inlineStr">
        <is>
          <t>991004830609702656</t>
        </is>
      </c>
      <c r="AX1083" t="inlineStr">
        <is>
          <t>991004830609702656</t>
        </is>
      </c>
      <c r="AY1083" t="inlineStr">
        <is>
          <t>2260544790002656</t>
        </is>
      </c>
      <c r="AZ1083" t="inlineStr">
        <is>
          <t>BOOK</t>
        </is>
      </c>
      <c r="BB1083" t="inlineStr">
        <is>
          <t>9780122116506</t>
        </is>
      </c>
      <c r="BC1083" t="inlineStr">
        <is>
          <t>32285000066018</t>
        </is>
      </c>
      <c r="BD1083" t="inlineStr">
        <is>
          <t>893241883</t>
        </is>
      </c>
    </row>
    <row r="1084">
      <c r="A1084" t="inlineStr">
        <is>
          <t>No</t>
        </is>
      </c>
      <c r="B1084" t="inlineStr">
        <is>
          <t>RC537 .P74</t>
        </is>
      </c>
      <c r="C1084" t="inlineStr">
        <is>
          <t>0                      RC 0537000P  74</t>
        </is>
      </c>
      <c r="D1084" t="inlineStr">
        <is>
          <t>The Psychology of depression : contemporary theory and research / edited by Raymond J. Friedman and Martin M. Katz.</t>
        </is>
      </c>
      <c r="F1084" t="inlineStr">
        <is>
          <t>No</t>
        </is>
      </c>
      <c r="G1084" t="inlineStr">
        <is>
          <t>1</t>
        </is>
      </c>
      <c r="H1084" t="inlineStr">
        <is>
          <t>No</t>
        </is>
      </c>
      <c r="I1084" t="inlineStr">
        <is>
          <t>No</t>
        </is>
      </c>
      <c r="J1084" t="inlineStr">
        <is>
          <t>0</t>
        </is>
      </c>
      <c r="L1084" t="inlineStr">
        <is>
          <t>Washington : Winston ; [distributed by Halsted Press Division, Wiley], 1974.</t>
        </is>
      </c>
      <c r="M1084" t="inlineStr">
        <is>
          <t>1974</t>
        </is>
      </c>
      <c r="O1084" t="inlineStr">
        <is>
          <t>eng</t>
        </is>
      </c>
      <c r="P1084" t="inlineStr">
        <is>
          <t>nyu</t>
        </is>
      </c>
      <c r="Q1084" t="inlineStr">
        <is>
          <t>The Series in clinical psychology</t>
        </is>
      </c>
      <c r="R1084" t="inlineStr">
        <is>
          <t xml:space="preserve">RC </t>
        </is>
      </c>
      <c r="S1084" t="n">
        <v>19</v>
      </c>
      <c r="T1084" t="n">
        <v>19</v>
      </c>
      <c r="U1084" t="inlineStr">
        <is>
          <t>2010-03-15</t>
        </is>
      </c>
      <c r="V1084" t="inlineStr">
        <is>
          <t>2010-03-15</t>
        </is>
      </c>
      <c r="W1084" t="inlineStr">
        <is>
          <t>1992-05-07</t>
        </is>
      </c>
      <c r="X1084" t="inlineStr">
        <is>
          <t>1992-05-07</t>
        </is>
      </c>
      <c r="Y1084" t="n">
        <v>376</v>
      </c>
      <c r="Z1084" t="n">
        <v>283</v>
      </c>
      <c r="AA1084" t="n">
        <v>287</v>
      </c>
      <c r="AB1084" t="n">
        <v>2</v>
      </c>
      <c r="AC1084" t="n">
        <v>2</v>
      </c>
      <c r="AD1084" t="n">
        <v>14</v>
      </c>
      <c r="AE1084" t="n">
        <v>14</v>
      </c>
      <c r="AF1084" t="n">
        <v>2</v>
      </c>
      <c r="AG1084" t="n">
        <v>2</v>
      </c>
      <c r="AH1084" t="n">
        <v>3</v>
      </c>
      <c r="AI1084" t="n">
        <v>3</v>
      </c>
      <c r="AJ1084" t="n">
        <v>10</v>
      </c>
      <c r="AK1084" t="n">
        <v>10</v>
      </c>
      <c r="AL1084" t="n">
        <v>1</v>
      </c>
      <c r="AM1084" t="n">
        <v>1</v>
      </c>
      <c r="AN1084" t="n">
        <v>0</v>
      </c>
      <c r="AO1084" t="n">
        <v>0</v>
      </c>
      <c r="AP1084" t="inlineStr">
        <is>
          <t>No</t>
        </is>
      </c>
      <c r="AQ1084" t="inlineStr">
        <is>
          <t>Yes</t>
        </is>
      </c>
      <c r="AR1084">
        <f>HYPERLINK("http://catalog.hathitrust.org/Record/000011961","HathiTrust Record")</f>
        <v/>
      </c>
      <c r="AS1084">
        <f>HYPERLINK("https://creighton-primo.hosted.exlibrisgroup.com/primo-explore/search?tab=default_tab&amp;search_scope=EVERYTHING&amp;vid=01CRU&amp;lang=en_US&amp;offset=0&amp;query=any,contains,991003278599702656","Catalog Record")</f>
        <v/>
      </c>
      <c r="AT1084">
        <f>HYPERLINK("http://www.worldcat.org/oclc/801667","WorldCat Record")</f>
        <v/>
      </c>
      <c r="AU1084" t="inlineStr">
        <is>
          <t>151012687:eng</t>
        </is>
      </c>
      <c r="AV1084" t="inlineStr">
        <is>
          <t>801667</t>
        </is>
      </c>
      <c r="AW1084" t="inlineStr">
        <is>
          <t>991003278599702656</t>
        </is>
      </c>
      <c r="AX1084" t="inlineStr">
        <is>
          <t>991003278599702656</t>
        </is>
      </c>
      <c r="AY1084" t="inlineStr">
        <is>
          <t>2270011480002656</t>
        </is>
      </c>
      <c r="AZ1084" t="inlineStr">
        <is>
          <t>BOOK</t>
        </is>
      </c>
      <c r="BB1084" t="inlineStr">
        <is>
          <t>9780470280843</t>
        </is>
      </c>
      <c r="BC1084" t="inlineStr">
        <is>
          <t>32285001094050</t>
        </is>
      </c>
      <c r="BD1084" t="inlineStr">
        <is>
          <t>893524627</t>
        </is>
      </c>
    </row>
    <row r="1085">
      <c r="A1085" t="inlineStr">
        <is>
          <t>No</t>
        </is>
      </c>
      <c r="B1085" t="inlineStr">
        <is>
          <t>RC537 .P764 1994</t>
        </is>
      </c>
      <c r="C1085" t="inlineStr">
        <is>
          <t>0                      RC 0537000P  764         1994</t>
        </is>
      </c>
      <c r="D1085" t="inlineStr">
        <is>
          <t>Psychopharmacology of depression / edited by Stuart A. Montgomery and Timothy H. Corn.</t>
        </is>
      </c>
      <c r="F1085" t="inlineStr">
        <is>
          <t>No</t>
        </is>
      </c>
      <c r="G1085" t="inlineStr">
        <is>
          <t>1</t>
        </is>
      </c>
      <c r="H1085" t="inlineStr">
        <is>
          <t>Yes</t>
        </is>
      </c>
      <c r="I1085" t="inlineStr">
        <is>
          <t>No</t>
        </is>
      </c>
      <c r="J1085" t="inlineStr">
        <is>
          <t>0</t>
        </is>
      </c>
      <c r="L1085" t="inlineStr">
        <is>
          <t>Oxford ; New York : Oxford University Press, 1994.</t>
        </is>
      </c>
      <c r="M1085" t="inlineStr">
        <is>
          <t>1994</t>
        </is>
      </c>
      <c r="O1085" t="inlineStr">
        <is>
          <t>eng</t>
        </is>
      </c>
      <c r="P1085" t="inlineStr">
        <is>
          <t>enk</t>
        </is>
      </c>
      <c r="Q1085" t="inlineStr">
        <is>
          <t>British Association for Psychopharmacology monographs ; no. 13</t>
        </is>
      </c>
      <c r="R1085" t="inlineStr">
        <is>
          <t xml:space="preserve">RC </t>
        </is>
      </c>
      <c r="S1085" t="n">
        <v>17</v>
      </c>
      <c r="T1085" t="n">
        <v>28</v>
      </c>
      <c r="U1085" t="inlineStr">
        <is>
          <t>2006-02-21</t>
        </is>
      </c>
      <c r="V1085" t="inlineStr">
        <is>
          <t>2006-02-21</t>
        </is>
      </c>
      <c r="W1085" t="inlineStr">
        <is>
          <t>1996-03-01</t>
        </is>
      </c>
      <c r="X1085" t="inlineStr">
        <is>
          <t>1996-03-01</t>
        </is>
      </c>
      <c r="Y1085" t="n">
        <v>189</v>
      </c>
      <c r="Z1085" t="n">
        <v>137</v>
      </c>
      <c r="AA1085" t="n">
        <v>144</v>
      </c>
      <c r="AB1085" t="n">
        <v>2</v>
      </c>
      <c r="AC1085" t="n">
        <v>2</v>
      </c>
      <c r="AD1085" t="n">
        <v>4</v>
      </c>
      <c r="AE1085" t="n">
        <v>4</v>
      </c>
      <c r="AF1085" t="n">
        <v>2</v>
      </c>
      <c r="AG1085" t="n">
        <v>2</v>
      </c>
      <c r="AH1085" t="n">
        <v>1</v>
      </c>
      <c r="AI1085" t="n">
        <v>1</v>
      </c>
      <c r="AJ1085" t="n">
        <v>2</v>
      </c>
      <c r="AK1085" t="n">
        <v>2</v>
      </c>
      <c r="AL1085" t="n">
        <v>0</v>
      </c>
      <c r="AM1085" t="n">
        <v>0</v>
      </c>
      <c r="AN1085" t="n">
        <v>0</v>
      </c>
      <c r="AO1085" t="n">
        <v>0</v>
      </c>
      <c r="AP1085" t="inlineStr">
        <is>
          <t>No</t>
        </is>
      </c>
      <c r="AQ1085" t="inlineStr">
        <is>
          <t>Yes</t>
        </is>
      </c>
      <c r="AR1085">
        <f>HYPERLINK("http://catalog.hathitrust.org/Record/002903601","HathiTrust Record")</f>
        <v/>
      </c>
      <c r="AS1085">
        <f>HYPERLINK("https://creighton-primo.hosted.exlibrisgroup.com/primo-explore/search?tab=default_tab&amp;search_scope=EVERYTHING&amp;vid=01CRU&amp;lang=en_US&amp;offset=0&amp;query=any,contains,991001798109702656","Catalog Record")</f>
        <v/>
      </c>
      <c r="AT1085">
        <f>HYPERLINK("http://www.worldcat.org/oclc/29358676","WorldCat Record")</f>
        <v/>
      </c>
      <c r="AU1085" t="inlineStr">
        <is>
          <t>353228131:eng</t>
        </is>
      </c>
      <c r="AV1085" t="inlineStr">
        <is>
          <t>29358676</t>
        </is>
      </c>
      <c r="AW1085" t="inlineStr">
        <is>
          <t>991001798109702656</t>
        </is>
      </c>
      <c r="AX1085" t="inlineStr">
        <is>
          <t>991001798109702656</t>
        </is>
      </c>
      <c r="AY1085" t="inlineStr">
        <is>
          <t>2268341720002656</t>
        </is>
      </c>
      <c r="AZ1085" t="inlineStr">
        <is>
          <t>BOOK</t>
        </is>
      </c>
      <c r="BB1085" t="inlineStr">
        <is>
          <t>9780192622785</t>
        </is>
      </c>
      <c r="BC1085" t="inlineStr">
        <is>
          <t>32285002138872</t>
        </is>
      </c>
      <c r="BD1085" t="inlineStr">
        <is>
          <t>893621635</t>
        </is>
      </c>
    </row>
    <row r="1086">
      <c r="A1086" t="inlineStr">
        <is>
          <t>No</t>
        </is>
      </c>
      <c r="B1086" t="inlineStr">
        <is>
          <t>RC537 .R59 1997</t>
        </is>
      </c>
      <c r="C1086" t="inlineStr">
        <is>
          <t>0                      RC 0537000R  59          1997</t>
        </is>
      </c>
      <c r="D1086" t="inlineStr">
        <is>
          <t>Natural Prozac : learning to release your body's own anti-depressants / Joel C. Robertson with Tom Monte.</t>
        </is>
      </c>
      <c r="F1086" t="inlineStr">
        <is>
          <t>No</t>
        </is>
      </c>
      <c r="G1086" t="inlineStr">
        <is>
          <t>1</t>
        </is>
      </c>
      <c r="H1086" t="inlineStr">
        <is>
          <t>No</t>
        </is>
      </c>
      <c r="I1086" t="inlineStr">
        <is>
          <t>No</t>
        </is>
      </c>
      <c r="J1086" t="inlineStr">
        <is>
          <t>0</t>
        </is>
      </c>
      <c r="K1086" t="inlineStr">
        <is>
          <t>Robertson, Joel C., 1952-</t>
        </is>
      </c>
      <c r="L1086" t="inlineStr">
        <is>
          <t>New York : Harper/Collins, c1997.</t>
        </is>
      </c>
      <c r="M1086" t="inlineStr">
        <is>
          <t>1997</t>
        </is>
      </c>
      <c r="N1086" t="inlineStr">
        <is>
          <t>1st ed.</t>
        </is>
      </c>
      <c r="O1086" t="inlineStr">
        <is>
          <t>eng</t>
        </is>
      </c>
      <c r="P1086" t="inlineStr">
        <is>
          <t>nyu</t>
        </is>
      </c>
      <c r="R1086" t="inlineStr">
        <is>
          <t xml:space="preserve">RC </t>
        </is>
      </c>
      <c r="S1086" t="n">
        <v>11</v>
      </c>
      <c r="T1086" t="n">
        <v>11</v>
      </c>
      <c r="U1086" t="inlineStr">
        <is>
          <t>2004-04-01</t>
        </is>
      </c>
      <c r="V1086" t="inlineStr">
        <is>
          <t>2004-04-01</t>
        </is>
      </c>
      <c r="W1086" t="inlineStr">
        <is>
          <t>1997-04-23</t>
        </is>
      </c>
      <c r="X1086" t="inlineStr">
        <is>
          <t>1997-04-23</t>
        </is>
      </c>
      <c r="Y1086" t="n">
        <v>433</v>
      </c>
      <c r="Z1086" t="n">
        <v>393</v>
      </c>
      <c r="AA1086" t="n">
        <v>458</v>
      </c>
      <c r="AB1086" t="n">
        <v>2</v>
      </c>
      <c r="AC1086" t="n">
        <v>3</v>
      </c>
      <c r="AD1086" t="n">
        <v>2</v>
      </c>
      <c r="AE1086" t="n">
        <v>4</v>
      </c>
      <c r="AF1086" t="n">
        <v>2</v>
      </c>
      <c r="AG1086" t="n">
        <v>3</v>
      </c>
      <c r="AH1086" t="n">
        <v>0</v>
      </c>
      <c r="AI1086" t="n">
        <v>0</v>
      </c>
      <c r="AJ1086" t="n">
        <v>2</v>
      </c>
      <c r="AK1086" t="n">
        <v>3</v>
      </c>
      <c r="AL1086" t="n">
        <v>0</v>
      </c>
      <c r="AM1086" t="n">
        <v>1</v>
      </c>
      <c r="AN1086" t="n">
        <v>0</v>
      </c>
      <c r="AO1086" t="n">
        <v>0</v>
      </c>
      <c r="AP1086" t="inlineStr">
        <is>
          <t>No</t>
        </is>
      </c>
      <c r="AQ1086" t="inlineStr">
        <is>
          <t>Yes</t>
        </is>
      </c>
      <c r="AR1086">
        <f>HYPERLINK("http://catalog.hathitrust.org/Record/007050441","HathiTrust Record")</f>
        <v/>
      </c>
      <c r="AS1086">
        <f>HYPERLINK("https://creighton-primo.hosted.exlibrisgroup.com/primo-explore/search?tab=default_tab&amp;search_scope=EVERYTHING&amp;vid=01CRU&amp;lang=en_US&amp;offset=0&amp;query=any,contains,991002698499702656","Catalog Record")</f>
        <v/>
      </c>
      <c r="AT1086">
        <f>HYPERLINK("http://www.worldcat.org/oclc/35235094","WorldCat Record")</f>
        <v/>
      </c>
      <c r="AU1086" t="inlineStr">
        <is>
          <t>588635:eng</t>
        </is>
      </c>
      <c r="AV1086" t="inlineStr">
        <is>
          <t>35235094</t>
        </is>
      </c>
      <c r="AW1086" t="inlineStr">
        <is>
          <t>991002698499702656</t>
        </is>
      </c>
      <c r="AX1086" t="inlineStr">
        <is>
          <t>991002698499702656</t>
        </is>
      </c>
      <c r="AY1086" t="inlineStr">
        <is>
          <t>2254714850002656</t>
        </is>
      </c>
      <c r="AZ1086" t="inlineStr">
        <is>
          <t>BOOK</t>
        </is>
      </c>
      <c r="BB1086" t="inlineStr">
        <is>
          <t>9780062513533</t>
        </is>
      </c>
      <c r="BC1086" t="inlineStr">
        <is>
          <t>32285002540192</t>
        </is>
      </c>
      <c r="BD1086" t="inlineStr">
        <is>
          <t>893704396</t>
        </is>
      </c>
    </row>
    <row r="1087">
      <c r="A1087" t="inlineStr">
        <is>
          <t>No</t>
        </is>
      </c>
      <c r="B1087" t="inlineStr">
        <is>
          <t>RC537 .R6394 1993</t>
        </is>
      </c>
      <c r="C1087" t="inlineStr">
        <is>
          <t>0                      RC 0537000R  6394        1993</t>
        </is>
      </c>
      <c r="D1087" t="inlineStr">
        <is>
          <t>Transforming depression : egocide, symbolic death, and new life : a Jungian approach using the creative arts / by David H. Rosen.</t>
        </is>
      </c>
      <c r="F1087" t="inlineStr">
        <is>
          <t>No</t>
        </is>
      </c>
      <c r="G1087" t="inlineStr">
        <is>
          <t>1</t>
        </is>
      </c>
      <c r="H1087" t="inlineStr">
        <is>
          <t>No</t>
        </is>
      </c>
      <c r="I1087" t="inlineStr">
        <is>
          <t>No</t>
        </is>
      </c>
      <c r="J1087" t="inlineStr">
        <is>
          <t>0</t>
        </is>
      </c>
      <c r="K1087" t="inlineStr">
        <is>
          <t>Rosen, David H., 1945-</t>
        </is>
      </c>
      <c r="L1087" t="inlineStr">
        <is>
          <t>New York : Putnam, 1993.</t>
        </is>
      </c>
      <c r="M1087" t="inlineStr">
        <is>
          <t>1993</t>
        </is>
      </c>
      <c r="N1087" t="inlineStr">
        <is>
          <t>1st American ed.</t>
        </is>
      </c>
      <c r="O1087" t="inlineStr">
        <is>
          <t>eng</t>
        </is>
      </c>
      <c r="P1087" t="inlineStr">
        <is>
          <t>nyu</t>
        </is>
      </c>
      <c r="R1087" t="inlineStr">
        <is>
          <t xml:space="preserve">RC </t>
        </is>
      </c>
      <c r="S1087" t="n">
        <v>16</v>
      </c>
      <c r="T1087" t="n">
        <v>16</v>
      </c>
      <c r="U1087" t="inlineStr">
        <is>
          <t>2001-09-24</t>
        </is>
      </c>
      <c r="V1087" t="inlineStr">
        <is>
          <t>2001-09-24</t>
        </is>
      </c>
      <c r="W1087" t="inlineStr">
        <is>
          <t>1993-12-29</t>
        </is>
      </c>
      <c r="X1087" t="inlineStr">
        <is>
          <t>1993-12-29</t>
        </is>
      </c>
      <c r="Y1087" t="n">
        <v>155</v>
      </c>
      <c r="Z1087" t="n">
        <v>137</v>
      </c>
      <c r="AA1087" t="n">
        <v>148</v>
      </c>
      <c r="AB1087" t="n">
        <v>1</v>
      </c>
      <c r="AC1087" t="n">
        <v>1</v>
      </c>
      <c r="AD1087" t="n">
        <v>2</v>
      </c>
      <c r="AE1087" t="n">
        <v>2</v>
      </c>
      <c r="AF1087" t="n">
        <v>1</v>
      </c>
      <c r="AG1087" t="n">
        <v>1</v>
      </c>
      <c r="AH1087" t="n">
        <v>1</v>
      </c>
      <c r="AI1087" t="n">
        <v>1</v>
      </c>
      <c r="AJ1087" t="n">
        <v>1</v>
      </c>
      <c r="AK1087" t="n">
        <v>1</v>
      </c>
      <c r="AL1087" t="n">
        <v>0</v>
      </c>
      <c r="AM1087" t="n">
        <v>0</v>
      </c>
      <c r="AN1087" t="n">
        <v>0</v>
      </c>
      <c r="AO1087" t="n">
        <v>0</v>
      </c>
      <c r="AP1087" t="inlineStr">
        <is>
          <t>No</t>
        </is>
      </c>
      <c r="AQ1087" t="inlineStr">
        <is>
          <t>Yes</t>
        </is>
      </c>
      <c r="AR1087">
        <f>HYPERLINK("http://catalog.hathitrust.org/Record/008580178","HathiTrust Record")</f>
        <v/>
      </c>
      <c r="AS1087">
        <f>HYPERLINK("https://creighton-primo.hosted.exlibrisgroup.com/primo-explore/search?tab=default_tab&amp;search_scope=EVERYTHING&amp;vid=01CRU&amp;lang=en_US&amp;offset=0&amp;query=any,contains,991002128559702656","Catalog Record")</f>
        <v/>
      </c>
      <c r="AT1087">
        <f>HYPERLINK("http://www.worldcat.org/oclc/27265851","WorldCat Record")</f>
        <v/>
      </c>
      <c r="AU1087" t="inlineStr">
        <is>
          <t>907158996:eng</t>
        </is>
      </c>
      <c r="AV1087" t="inlineStr">
        <is>
          <t>27265851</t>
        </is>
      </c>
      <c r="AW1087" t="inlineStr">
        <is>
          <t>991002128559702656</t>
        </is>
      </c>
      <c r="AX1087" t="inlineStr">
        <is>
          <t>991002128559702656</t>
        </is>
      </c>
      <c r="AY1087" t="inlineStr">
        <is>
          <t>2269660900002656</t>
        </is>
      </c>
      <c r="AZ1087" t="inlineStr">
        <is>
          <t>BOOK</t>
        </is>
      </c>
      <c r="BB1087" t="inlineStr">
        <is>
          <t>9780874776751</t>
        </is>
      </c>
      <c r="BC1087" t="inlineStr">
        <is>
          <t>32285001818599</t>
        </is>
      </c>
      <c r="BD1087" t="inlineStr">
        <is>
          <t>893408726</t>
        </is>
      </c>
    </row>
    <row r="1088">
      <c r="A1088" t="inlineStr">
        <is>
          <t>No</t>
        </is>
      </c>
      <c r="B1088" t="inlineStr">
        <is>
          <t>RC537 .R66 1983</t>
        </is>
      </c>
      <c r="C1088" t="inlineStr">
        <is>
          <t>0                      RC 0537000R  66          1983</t>
        </is>
      </c>
      <c r="D1088" t="inlineStr">
        <is>
          <t>Depression, the way out of your prison / Dorothy Rowe.</t>
        </is>
      </c>
      <c r="F1088" t="inlineStr">
        <is>
          <t>No</t>
        </is>
      </c>
      <c r="G1088" t="inlineStr">
        <is>
          <t>1</t>
        </is>
      </c>
      <c r="H1088" t="inlineStr">
        <is>
          <t>No</t>
        </is>
      </c>
      <c r="I1088" t="inlineStr">
        <is>
          <t>No</t>
        </is>
      </c>
      <c r="J1088" t="inlineStr">
        <is>
          <t>0</t>
        </is>
      </c>
      <c r="K1088" t="inlineStr">
        <is>
          <t>Rowe, Dorothy.</t>
        </is>
      </c>
      <c r="L1088" t="inlineStr">
        <is>
          <t>London ; Boston : Routledge &amp; K. Paul, 1983.</t>
        </is>
      </c>
      <c r="M1088" t="inlineStr">
        <is>
          <t>1983</t>
        </is>
      </c>
      <c r="O1088" t="inlineStr">
        <is>
          <t>eng</t>
        </is>
      </c>
      <c r="P1088" t="inlineStr">
        <is>
          <t>enk</t>
        </is>
      </c>
      <c r="R1088" t="inlineStr">
        <is>
          <t xml:space="preserve">RC </t>
        </is>
      </c>
      <c r="S1088" t="n">
        <v>18</v>
      </c>
      <c r="T1088" t="n">
        <v>18</v>
      </c>
      <c r="U1088" t="inlineStr">
        <is>
          <t>2006-02-21</t>
        </is>
      </c>
      <c r="V1088" t="inlineStr">
        <is>
          <t>2006-02-21</t>
        </is>
      </c>
      <c r="W1088" t="inlineStr">
        <is>
          <t>1992-05-05</t>
        </is>
      </c>
      <c r="X1088" t="inlineStr">
        <is>
          <t>1992-05-05</t>
        </is>
      </c>
      <c r="Y1088" t="n">
        <v>233</v>
      </c>
      <c r="Z1088" t="n">
        <v>116</v>
      </c>
      <c r="AA1088" t="n">
        <v>976</v>
      </c>
      <c r="AB1088" t="n">
        <v>2</v>
      </c>
      <c r="AC1088" t="n">
        <v>29</v>
      </c>
      <c r="AD1088" t="n">
        <v>3</v>
      </c>
      <c r="AE1088" t="n">
        <v>38</v>
      </c>
      <c r="AF1088" t="n">
        <v>0</v>
      </c>
      <c r="AG1088" t="n">
        <v>10</v>
      </c>
      <c r="AH1088" t="n">
        <v>1</v>
      </c>
      <c r="AI1088" t="n">
        <v>8</v>
      </c>
      <c r="AJ1088" t="n">
        <v>1</v>
      </c>
      <c r="AK1088" t="n">
        <v>11</v>
      </c>
      <c r="AL1088" t="n">
        <v>1</v>
      </c>
      <c r="AM1088" t="n">
        <v>14</v>
      </c>
      <c r="AN1088" t="n">
        <v>0</v>
      </c>
      <c r="AO1088" t="n">
        <v>1</v>
      </c>
      <c r="AP1088" t="inlineStr">
        <is>
          <t>No</t>
        </is>
      </c>
      <c r="AQ1088" t="inlineStr">
        <is>
          <t>No</t>
        </is>
      </c>
      <c r="AS1088">
        <f>HYPERLINK("https://creighton-primo.hosted.exlibrisgroup.com/primo-explore/search?tab=default_tab&amp;search_scope=EVERYTHING&amp;vid=01CRU&amp;lang=en_US&amp;offset=0&amp;query=any,contains,991000244269702656","Catalog Record")</f>
        <v/>
      </c>
      <c r="AT1088">
        <f>HYPERLINK("http://www.worldcat.org/oclc/9687176","WorldCat Record")</f>
        <v/>
      </c>
      <c r="AU1088" t="inlineStr">
        <is>
          <t>43791964:eng</t>
        </is>
      </c>
      <c r="AV1088" t="inlineStr">
        <is>
          <t>9687176</t>
        </is>
      </c>
      <c r="AW1088" t="inlineStr">
        <is>
          <t>991000244269702656</t>
        </is>
      </c>
      <c r="AX1088" t="inlineStr">
        <is>
          <t>991000244269702656</t>
        </is>
      </c>
      <c r="AY1088" t="inlineStr">
        <is>
          <t>2257035300002656</t>
        </is>
      </c>
      <c r="AZ1088" t="inlineStr">
        <is>
          <t>BOOK</t>
        </is>
      </c>
      <c r="BB1088" t="inlineStr">
        <is>
          <t>9780710095862</t>
        </is>
      </c>
      <c r="BC1088" t="inlineStr">
        <is>
          <t>32285001094043</t>
        </is>
      </c>
      <c r="BD1088" t="inlineStr">
        <is>
          <t>893419322</t>
        </is>
      </c>
    </row>
    <row r="1089">
      <c r="A1089" t="inlineStr">
        <is>
          <t>No</t>
        </is>
      </c>
      <c r="B1089" t="inlineStr">
        <is>
          <t>RC537 .S5 1982</t>
        </is>
      </c>
      <c r="C1089" t="inlineStr">
        <is>
          <t>0                      RC 0537000S  5           1982</t>
        </is>
      </c>
      <c r="D1089" t="inlineStr">
        <is>
          <t>Short-term psychotherapies for depression : behavioral, interpersonal, cognitive, and psychodynamic approaches / edited by A. John Rush.</t>
        </is>
      </c>
      <c r="F1089" t="inlineStr">
        <is>
          <t>No</t>
        </is>
      </c>
      <c r="G1089" t="inlineStr">
        <is>
          <t>1</t>
        </is>
      </c>
      <c r="H1089" t="inlineStr">
        <is>
          <t>No</t>
        </is>
      </c>
      <c r="I1089" t="inlineStr">
        <is>
          <t>No</t>
        </is>
      </c>
      <c r="J1089" t="inlineStr">
        <is>
          <t>0</t>
        </is>
      </c>
      <c r="L1089" t="inlineStr">
        <is>
          <t>New York : Guilford Press, c1982, 1985 printing.</t>
        </is>
      </c>
      <c r="M1089" t="inlineStr">
        <is>
          <t>1982</t>
        </is>
      </c>
      <c r="O1089" t="inlineStr">
        <is>
          <t>eng</t>
        </is>
      </c>
      <c r="P1089" t="inlineStr">
        <is>
          <t>nyu</t>
        </is>
      </c>
      <c r="R1089" t="inlineStr">
        <is>
          <t xml:space="preserve">RC </t>
        </is>
      </c>
      <c r="S1089" t="n">
        <v>11</v>
      </c>
      <c r="T1089" t="n">
        <v>11</v>
      </c>
      <c r="U1089" t="inlineStr">
        <is>
          <t>1998-10-28</t>
        </is>
      </c>
      <c r="V1089" t="inlineStr">
        <is>
          <t>1998-10-28</t>
        </is>
      </c>
      <c r="W1089" t="inlineStr">
        <is>
          <t>1991-10-18</t>
        </is>
      </c>
      <c r="X1089" t="inlineStr">
        <is>
          <t>1991-10-18</t>
        </is>
      </c>
      <c r="Y1089" t="n">
        <v>529</v>
      </c>
      <c r="Z1089" t="n">
        <v>464</v>
      </c>
      <c r="AA1089" t="n">
        <v>466</v>
      </c>
      <c r="AB1089" t="n">
        <v>3</v>
      </c>
      <c r="AC1089" t="n">
        <v>3</v>
      </c>
      <c r="AD1089" t="n">
        <v>21</v>
      </c>
      <c r="AE1089" t="n">
        <v>21</v>
      </c>
      <c r="AF1089" t="n">
        <v>7</v>
      </c>
      <c r="AG1089" t="n">
        <v>7</v>
      </c>
      <c r="AH1089" t="n">
        <v>4</v>
      </c>
      <c r="AI1089" t="n">
        <v>4</v>
      </c>
      <c r="AJ1089" t="n">
        <v>13</v>
      </c>
      <c r="AK1089" t="n">
        <v>13</v>
      </c>
      <c r="AL1089" t="n">
        <v>2</v>
      </c>
      <c r="AM1089" t="n">
        <v>2</v>
      </c>
      <c r="AN1089" t="n">
        <v>0</v>
      </c>
      <c r="AO1089" t="n">
        <v>0</v>
      </c>
      <c r="AP1089" t="inlineStr">
        <is>
          <t>No</t>
        </is>
      </c>
      <c r="AQ1089" t="inlineStr">
        <is>
          <t>No</t>
        </is>
      </c>
      <c r="AS1089">
        <f>HYPERLINK("https://creighton-primo.hosted.exlibrisgroup.com/primo-explore/search?tab=default_tab&amp;search_scope=EVERYTHING&amp;vid=01CRU&amp;lang=en_US&amp;offset=0&amp;query=any,contains,991005161969702656","Catalog Record")</f>
        <v/>
      </c>
      <c r="AT1089">
        <f>HYPERLINK("http://www.worldcat.org/oclc/7795722","WorldCat Record")</f>
        <v/>
      </c>
      <c r="AU1089" t="inlineStr">
        <is>
          <t>849721063:eng</t>
        </is>
      </c>
      <c r="AV1089" t="inlineStr">
        <is>
          <t>7795722</t>
        </is>
      </c>
      <c r="AW1089" t="inlineStr">
        <is>
          <t>991005161969702656</t>
        </is>
      </c>
      <c r="AX1089" t="inlineStr">
        <is>
          <t>991005161969702656</t>
        </is>
      </c>
      <c r="AY1089" t="inlineStr">
        <is>
          <t>2268023290002656</t>
        </is>
      </c>
      <c r="AZ1089" t="inlineStr">
        <is>
          <t>BOOK</t>
        </is>
      </c>
      <c r="BB1089" t="inlineStr">
        <is>
          <t>9780898626155</t>
        </is>
      </c>
      <c r="BC1089" t="inlineStr">
        <is>
          <t>32285000776509</t>
        </is>
      </c>
      <c r="BD1089" t="inlineStr">
        <is>
          <t>893412419</t>
        </is>
      </c>
    </row>
    <row r="1090">
      <c r="A1090" t="inlineStr">
        <is>
          <t>No</t>
        </is>
      </c>
      <c r="B1090" t="inlineStr">
        <is>
          <t>RC537 .T78 1990</t>
        </is>
      </c>
      <c r="C1090" t="inlineStr">
        <is>
          <t>0                      RC 0537000T  78          1990</t>
        </is>
      </c>
      <c r="D1090" t="inlineStr">
        <is>
          <t>The genetics of mood disorders / Ming T. Tsuang and Stephen V. Faraone.</t>
        </is>
      </c>
      <c r="F1090" t="inlineStr">
        <is>
          <t>No</t>
        </is>
      </c>
      <c r="G1090" t="inlineStr">
        <is>
          <t>1</t>
        </is>
      </c>
      <c r="H1090" t="inlineStr">
        <is>
          <t>No</t>
        </is>
      </c>
      <c r="I1090" t="inlineStr">
        <is>
          <t>No</t>
        </is>
      </c>
      <c r="J1090" t="inlineStr">
        <is>
          <t>0</t>
        </is>
      </c>
      <c r="K1090" t="inlineStr">
        <is>
          <t>Tsuang, Ming T., 1931-</t>
        </is>
      </c>
      <c r="L1090" t="inlineStr">
        <is>
          <t>Baltimore : Johns Hopkins University Press, c1990.</t>
        </is>
      </c>
      <c r="M1090" t="inlineStr">
        <is>
          <t>1990</t>
        </is>
      </c>
      <c r="O1090" t="inlineStr">
        <is>
          <t>eng</t>
        </is>
      </c>
      <c r="P1090" t="inlineStr">
        <is>
          <t>mdu</t>
        </is>
      </c>
      <c r="Q1090" t="inlineStr">
        <is>
          <t>The Johns Hopkins series in contemporary medicine and public health</t>
        </is>
      </c>
      <c r="R1090" t="inlineStr">
        <is>
          <t xml:space="preserve">RC </t>
        </is>
      </c>
      <c r="S1090" t="n">
        <v>24</v>
      </c>
      <c r="T1090" t="n">
        <v>24</v>
      </c>
      <c r="U1090" t="inlineStr">
        <is>
          <t>2006-03-21</t>
        </is>
      </c>
      <c r="V1090" t="inlineStr">
        <is>
          <t>2006-03-21</t>
        </is>
      </c>
      <c r="W1090" t="inlineStr">
        <is>
          <t>1991-04-03</t>
        </is>
      </c>
      <c r="X1090" t="inlineStr">
        <is>
          <t>1991-04-03</t>
        </is>
      </c>
      <c r="Y1090" t="n">
        <v>332</v>
      </c>
      <c r="Z1090" t="n">
        <v>278</v>
      </c>
      <c r="AA1090" t="n">
        <v>280</v>
      </c>
      <c r="AB1090" t="n">
        <v>3</v>
      </c>
      <c r="AC1090" t="n">
        <v>3</v>
      </c>
      <c r="AD1090" t="n">
        <v>16</v>
      </c>
      <c r="AE1090" t="n">
        <v>16</v>
      </c>
      <c r="AF1090" t="n">
        <v>5</v>
      </c>
      <c r="AG1090" t="n">
        <v>5</v>
      </c>
      <c r="AH1090" t="n">
        <v>6</v>
      </c>
      <c r="AI1090" t="n">
        <v>6</v>
      </c>
      <c r="AJ1090" t="n">
        <v>10</v>
      </c>
      <c r="AK1090" t="n">
        <v>10</v>
      </c>
      <c r="AL1090" t="n">
        <v>1</v>
      </c>
      <c r="AM1090" t="n">
        <v>1</v>
      </c>
      <c r="AN1090" t="n">
        <v>0</v>
      </c>
      <c r="AO1090" t="n">
        <v>0</v>
      </c>
      <c r="AP1090" t="inlineStr">
        <is>
          <t>No</t>
        </is>
      </c>
      <c r="AQ1090" t="inlineStr">
        <is>
          <t>Yes</t>
        </is>
      </c>
      <c r="AR1090">
        <f>HYPERLINK("http://catalog.hathitrust.org/Record/002168756","HathiTrust Record")</f>
        <v/>
      </c>
      <c r="AS1090">
        <f>HYPERLINK("https://creighton-primo.hosted.exlibrisgroup.com/primo-explore/search?tab=default_tab&amp;search_scope=EVERYTHING&amp;vid=01CRU&amp;lang=en_US&amp;offset=0&amp;query=any,contains,991001605839702656","Catalog Record")</f>
        <v/>
      </c>
      <c r="AT1090">
        <f>HYPERLINK("http://www.worldcat.org/oclc/20692465","WorldCat Record")</f>
        <v/>
      </c>
      <c r="AU1090" t="inlineStr">
        <is>
          <t>22700795:eng</t>
        </is>
      </c>
      <c r="AV1090" t="inlineStr">
        <is>
          <t>20692465</t>
        </is>
      </c>
      <c r="AW1090" t="inlineStr">
        <is>
          <t>991001605839702656</t>
        </is>
      </c>
      <c r="AX1090" t="inlineStr">
        <is>
          <t>991001605839702656</t>
        </is>
      </c>
      <c r="AY1090" t="inlineStr">
        <is>
          <t>2254840650002656</t>
        </is>
      </c>
      <c r="AZ1090" t="inlineStr">
        <is>
          <t>BOOK</t>
        </is>
      </c>
      <c r="BB1090" t="inlineStr">
        <is>
          <t>9780801838910</t>
        </is>
      </c>
      <c r="BC1090" t="inlineStr">
        <is>
          <t>32285000514512</t>
        </is>
      </c>
      <c r="BD1090" t="inlineStr">
        <is>
          <t>893232082</t>
        </is>
      </c>
    </row>
    <row r="1091">
      <c r="A1091" t="inlineStr">
        <is>
          <t>No</t>
        </is>
      </c>
      <c r="B1091" t="inlineStr">
        <is>
          <t>RC537 .U546 2001</t>
        </is>
      </c>
      <c r="C1091" t="inlineStr">
        <is>
          <t>0                      RC 0537000U  546         2001</t>
        </is>
      </c>
      <c r="D1091" t="inlineStr">
        <is>
          <t>Unholy ghost : writers on depression / edited by Nell Casey.</t>
        </is>
      </c>
      <c r="F1091" t="inlineStr">
        <is>
          <t>No</t>
        </is>
      </c>
      <c r="G1091" t="inlineStr">
        <is>
          <t>1</t>
        </is>
      </c>
      <c r="H1091" t="inlineStr">
        <is>
          <t>No</t>
        </is>
      </c>
      <c r="I1091" t="inlineStr">
        <is>
          <t>No</t>
        </is>
      </c>
      <c r="J1091" t="inlineStr">
        <is>
          <t>0</t>
        </is>
      </c>
      <c r="L1091" t="inlineStr">
        <is>
          <t>New York : Morrow, c2001.</t>
        </is>
      </c>
      <c r="M1091" t="inlineStr">
        <is>
          <t>2001</t>
        </is>
      </c>
      <c r="N1091" t="inlineStr">
        <is>
          <t>1st ed.</t>
        </is>
      </c>
      <c r="O1091" t="inlineStr">
        <is>
          <t>eng</t>
        </is>
      </c>
      <c r="P1091" t="inlineStr">
        <is>
          <t>nyu</t>
        </is>
      </c>
      <c r="R1091" t="inlineStr">
        <is>
          <t xml:space="preserve">RC </t>
        </is>
      </c>
      <c r="S1091" t="n">
        <v>5</v>
      </c>
      <c r="T1091" t="n">
        <v>5</v>
      </c>
      <c r="U1091" t="inlineStr">
        <is>
          <t>2006-04-26</t>
        </is>
      </c>
      <c r="V1091" t="inlineStr">
        <is>
          <t>2006-04-26</t>
        </is>
      </c>
      <c r="W1091" t="inlineStr">
        <is>
          <t>2001-03-26</t>
        </is>
      </c>
      <c r="X1091" t="inlineStr">
        <is>
          <t>2001-03-26</t>
        </is>
      </c>
      <c r="Y1091" t="n">
        <v>738</v>
      </c>
      <c r="Z1091" t="n">
        <v>708</v>
      </c>
      <c r="AA1091" t="n">
        <v>846</v>
      </c>
      <c r="AB1091" t="n">
        <v>6</v>
      </c>
      <c r="AC1091" t="n">
        <v>8</v>
      </c>
      <c r="AD1091" t="n">
        <v>14</v>
      </c>
      <c r="AE1091" t="n">
        <v>17</v>
      </c>
      <c r="AF1091" t="n">
        <v>8</v>
      </c>
      <c r="AG1091" t="n">
        <v>9</v>
      </c>
      <c r="AH1091" t="n">
        <v>2</v>
      </c>
      <c r="AI1091" t="n">
        <v>2</v>
      </c>
      <c r="AJ1091" t="n">
        <v>7</v>
      </c>
      <c r="AK1091" t="n">
        <v>9</v>
      </c>
      <c r="AL1091" t="n">
        <v>0</v>
      </c>
      <c r="AM1091" t="n">
        <v>0</v>
      </c>
      <c r="AN1091" t="n">
        <v>0</v>
      </c>
      <c r="AO1091" t="n">
        <v>0</v>
      </c>
      <c r="AP1091" t="inlineStr">
        <is>
          <t>No</t>
        </is>
      </c>
      <c r="AQ1091" t="inlineStr">
        <is>
          <t>No</t>
        </is>
      </c>
      <c r="AS1091">
        <f>HYPERLINK("https://creighton-primo.hosted.exlibrisgroup.com/primo-explore/search?tab=default_tab&amp;search_scope=EVERYTHING&amp;vid=01CRU&amp;lang=en_US&amp;offset=0&amp;query=any,contains,991003506379702656","Catalog Record")</f>
        <v/>
      </c>
      <c r="AT1091">
        <f>HYPERLINK("http://www.worldcat.org/oclc/44117887","WorldCat Record")</f>
        <v/>
      </c>
      <c r="AU1091" t="inlineStr">
        <is>
          <t>895863479:eng</t>
        </is>
      </c>
      <c r="AV1091" t="inlineStr">
        <is>
          <t>44117887</t>
        </is>
      </c>
      <c r="AW1091" t="inlineStr">
        <is>
          <t>991003506379702656</t>
        </is>
      </c>
      <c r="AX1091" t="inlineStr">
        <is>
          <t>991003506379702656</t>
        </is>
      </c>
      <c r="AY1091" t="inlineStr">
        <is>
          <t>2265778060002656</t>
        </is>
      </c>
      <c r="AZ1091" t="inlineStr">
        <is>
          <t>BOOK</t>
        </is>
      </c>
      <c r="BB1091" t="inlineStr">
        <is>
          <t>9780688170318</t>
        </is>
      </c>
      <c r="BC1091" t="inlineStr">
        <is>
          <t>32285004306832</t>
        </is>
      </c>
      <c r="BD1091" t="inlineStr">
        <is>
          <t>893617404</t>
        </is>
      </c>
    </row>
    <row r="1092">
      <c r="A1092" t="inlineStr">
        <is>
          <t>No</t>
        </is>
      </c>
      <c r="B1092" t="inlineStr">
        <is>
          <t>RC537 .W35</t>
        </is>
      </c>
      <c r="C1092" t="inlineStr">
        <is>
          <t>0                      RC 0537000W  35</t>
        </is>
      </c>
      <c r="D1092" t="inlineStr">
        <is>
          <t>The depressed woman : a study of social relationships / Myrna M. Weissman and Eugene S. Paykel ; with a foreword by Gerald L. Klerman.</t>
        </is>
      </c>
      <c r="F1092" t="inlineStr">
        <is>
          <t>No</t>
        </is>
      </c>
      <c r="G1092" t="inlineStr">
        <is>
          <t>1</t>
        </is>
      </c>
      <c r="H1092" t="inlineStr">
        <is>
          <t>No</t>
        </is>
      </c>
      <c r="I1092" t="inlineStr">
        <is>
          <t>No</t>
        </is>
      </c>
      <c r="J1092" t="inlineStr">
        <is>
          <t>0</t>
        </is>
      </c>
      <c r="K1092" t="inlineStr">
        <is>
          <t>Weissman, Myrna M.</t>
        </is>
      </c>
      <c r="L1092" t="inlineStr">
        <is>
          <t>Chicago : University of Chicago Press, 1974.</t>
        </is>
      </c>
      <c r="M1092" t="inlineStr">
        <is>
          <t>1974</t>
        </is>
      </c>
      <c r="O1092" t="inlineStr">
        <is>
          <t>eng</t>
        </is>
      </c>
      <c r="P1092" t="inlineStr">
        <is>
          <t>ilu</t>
        </is>
      </c>
      <c r="R1092" t="inlineStr">
        <is>
          <t xml:space="preserve">RC </t>
        </is>
      </c>
      <c r="S1092" t="n">
        <v>8</v>
      </c>
      <c r="T1092" t="n">
        <v>8</v>
      </c>
      <c r="U1092" t="inlineStr">
        <is>
          <t>2004-01-16</t>
        </is>
      </c>
      <c r="V1092" t="inlineStr">
        <is>
          <t>2004-01-16</t>
        </is>
      </c>
      <c r="W1092" t="inlineStr">
        <is>
          <t>1991-10-21</t>
        </is>
      </c>
      <c r="X1092" t="inlineStr">
        <is>
          <t>1991-10-21</t>
        </is>
      </c>
      <c r="Y1092" t="n">
        <v>636</v>
      </c>
      <c r="Z1092" t="n">
        <v>498</v>
      </c>
      <c r="AA1092" t="n">
        <v>503</v>
      </c>
      <c r="AB1092" t="n">
        <v>5</v>
      </c>
      <c r="AC1092" t="n">
        <v>5</v>
      </c>
      <c r="AD1092" t="n">
        <v>24</v>
      </c>
      <c r="AE1092" t="n">
        <v>24</v>
      </c>
      <c r="AF1092" t="n">
        <v>9</v>
      </c>
      <c r="AG1092" t="n">
        <v>9</v>
      </c>
      <c r="AH1092" t="n">
        <v>6</v>
      </c>
      <c r="AI1092" t="n">
        <v>6</v>
      </c>
      <c r="AJ1092" t="n">
        <v>11</v>
      </c>
      <c r="AK1092" t="n">
        <v>11</v>
      </c>
      <c r="AL1092" t="n">
        <v>3</v>
      </c>
      <c r="AM1092" t="n">
        <v>3</v>
      </c>
      <c r="AN1092" t="n">
        <v>0</v>
      </c>
      <c r="AO1092" t="n">
        <v>0</v>
      </c>
      <c r="AP1092" t="inlineStr">
        <is>
          <t>No</t>
        </is>
      </c>
      <c r="AQ1092" t="inlineStr">
        <is>
          <t>No</t>
        </is>
      </c>
      <c r="AS1092">
        <f>HYPERLINK("https://creighton-primo.hosted.exlibrisgroup.com/primo-explore/search?tab=default_tab&amp;search_scope=EVERYTHING&amp;vid=01CRU&amp;lang=en_US&amp;offset=0&amp;query=any,contains,991003464699702656","Catalog Record")</f>
        <v/>
      </c>
      <c r="AT1092">
        <f>HYPERLINK("http://www.worldcat.org/oclc/1006473","WorldCat Record")</f>
        <v/>
      </c>
      <c r="AU1092" t="inlineStr">
        <is>
          <t>1923773:eng</t>
        </is>
      </c>
      <c r="AV1092" t="inlineStr">
        <is>
          <t>1006473</t>
        </is>
      </c>
      <c r="AW1092" t="inlineStr">
        <is>
          <t>991003464699702656</t>
        </is>
      </c>
      <c r="AX1092" t="inlineStr">
        <is>
          <t>991003464699702656</t>
        </is>
      </c>
      <c r="AY1092" t="inlineStr">
        <is>
          <t>2262070510002656</t>
        </is>
      </c>
      <c r="AZ1092" t="inlineStr">
        <is>
          <t>BOOK</t>
        </is>
      </c>
      <c r="BB1092" t="inlineStr">
        <is>
          <t>9780226891606</t>
        </is>
      </c>
      <c r="BC1092" t="inlineStr">
        <is>
          <t>32285000776491</t>
        </is>
      </c>
      <c r="BD1092" t="inlineStr">
        <is>
          <t>893611064</t>
        </is>
      </c>
    </row>
    <row r="1093">
      <c r="A1093" t="inlineStr">
        <is>
          <t>No</t>
        </is>
      </c>
      <c r="B1093" t="inlineStr">
        <is>
          <t>RC537 .W487 1997</t>
        </is>
      </c>
      <c r="C1093" t="inlineStr">
        <is>
          <t>0                      RC 0537000W  487         1997</t>
        </is>
      </c>
      <c r="D1093" t="inlineStr">
        <is>
          <t>A mood apart : depression, mania, and other afflictions of the self / Peter C. Whybrow.</t>
        </is>
      </c>
      <c r="F1093" t="inlineStr">
        <is>
          <t>No</t>
        </is>
      </c>
      <c r="G1093" t="inlineStr">
        <is>
          <t>1</t>
        </is>
      </c>
      <c r="H1093" t="inlineStr">
        <is>
          <t>No</t>
        </is>
      </c>
      <c r="I1093" t="inlineStr">
        <is>
          <t>No</t>
        </is>
      </c>
      <c r="J1093" t="inlineStr">
        <is>
          <t>0</t>
        </is>
      </c>
      <c r="K1093" t="inlineStr">
        <is>
          <t>Whybrow, Peter C.</t>
        </is>
      </c>
      <c r="L1093" t="inlineStr">
        <is>
          <t>New York, NY : BasicBooks, c1997.</t>
        </is>
      </c>
      <c r="M1093" t="inlineStr">
        <is>
          <t>1997</t>
        </is>
      </c>
      <c r="N1093" t="inlineStr">
        <is>
          <t>1st ed.</t>
        </is>
      </c>
      <c r="O1093" t="inlineStr">
        <is>
          <t>eng</t>
        </is>
      </c>
      <c r="P1093" t="inlineStr">
        <is>
          <t>nyu</t>
        </is>
      </c>
      <c r="R1093" t="inlineStr">
        <is>
          <t xml:space="preserve">RC </t>
        </is>
      </c>
      <c r="S1093" t="n">
        <v>19</v>
      </c>
      <c r="T1093" t="n">
        <v>19</v>
      </c>
      <c r="U1093" t="inlineStr">
        <is>
          <t>2005-08-24</t>
        </is>
      </c>
      <c r="V1093" t="inlineStr">
        <is>
          <t>2005-08-24</t>
        </is>
      </c>
      <c r="W1093" t="inlineStr">
        <is>
          <t>1997-04-14</t>
        </is>
      </c>
      <c r="X1093" t="inlineStr">
        <is>
          <t>1997-04-14</t>
        </is>
      </c>
      <c r="Y1093" t="n">
        <v>918</v>
      </c>
      <c r="Z1093" t="n">
        <v>861</v>
      </c>
      <c r="AA1093" t="n">
        <v>918</v>
      </c>
      <c r="AB1093" t="n">
        <v>11</v>
      </c>
      <c r="AC1093" t="n">
        <v>12</v>
      </c>
      <c r="AD1093" t="n">
        <v>30</v>
      </c>
      <c r="AE1093" t="n">
        <v>31</v>
      </c>
      <c r="AF1093" t="n">
        <v>7</v>
      </c>
      <c r="AG1093" t="n">
        <v>7</v>
      </c>
      <c r="AH1093" t="n">
        <v>7</v>
      </c>
      <c r="AI1093" t="n">
        <v>7</v>
      </c>
      <c r="AJ1093" t="n">
        <v>14</v>
      </c>
      <c r="AK1093" t="n">
        <v>14</v>
      </c>
      <c r="AL1093" t="n">
        <v>8</v>
      </c>
      <c r="AM1093" t="n">
        <v>9</v>
      </c>
      <c r="AN1093" t="n">
        <v>0</v>
      </c>
      <c r="AO1093" t="n">
        <v>0</v>
      </c>
      <c r="AP1093" t="inlineStr">
        <is>
          <t>No</t>
        </is>
      </c>
      <c r="AQ1093" t="inlineStr">
        <is>
          <t>Yes</t>
        </is>
      </c>
      <c r="AR1093">
        <f>HYPERLINK("http://catalog.hathitrust.org/Record/003268481","HathiTrust Record")</f>
        <v/>
      </c>
      <c r="AS1093">
        <f>HYPERLINK("https://creighton-primo.hosted.exlibrisgroup.com/primo-explore/search?tab=default_tab&amp;search_scope=EVERYTHING&amp;vid=01CRU&amp;lang=en_US&amp;offset=0&amp;query=any,contains,991002737169702656","Catalog Record")</f>
        <v/>
      </c>
      <c r="AT1093">
        <f>HYPERLINK("http://www.worldcat.org/oclc/35926579","WorldCat Record")</f>
        <v/>
      </c>
      <c r="AU1093" t="inlineStr">
        <is>
          <t>840015375:eng</t>
        </is>
      </c>
      <c r="AV1093" t="inlineStr">
        <is>
          <t>35926579</t>
        </is>
      </c>
      <c r="AW1093" t="inlineStr">
        <is>
          <t>991002737169702656</t>
        </is>
      </c>
      <c r="AX1093" t="inlineStr">
        <is>
          <t>991002737169702656</t>
        </is>
      </c>
      <c r="AY1093" t="inlineStr">
        <is>
          <t>2263089250002656</t>
        </is>
      </c>
      <c r="AZ1093" t="inlineStr">
        <is>
          <t>BOOK</t>
        </is>
      </c>
      <c r="BB1093" t="inlineStr">
        <is>
          <t>9780465047253</t>
        </is>
      </c>
      <c r="BC1093" t="inlineStr">
        <is>
          <t>32285002496650</t>
        </is>
      </c>
      <c r="BD1093" t="inlineStr">
        <is>
          <t>893616514</t>
        </is>
      </c>
    </row>
    <row r="1094">
      <c r="A1094" t="inlineStr">
        <is>
          <t>No</t>
        </is>
      </c>
      <c r="B1094" t="inlineStr">
        <is>
          <t>RC537 .W49 1984</t>
        </is>
      </c>
      <c r="C1094" t="inlineStr">
        <is>
          <t>0                      RC 0537000W  49          1984</t>
        </is>
      </c>
      <c r="D1094" t="inlineStr">
        <is>
          <t>Mood disorders : toward a new psychobiology / Peter C. Whybrow, Hagop S. Akiskal, and William T. McKinney, Jr.</t>
        </is>
      </c>
      <c r="F1094" t="inlineStr">
        <is>
          <t>No</t>
        </is>
      </c>
      <c r="G1094" t="inlineStr">
        <is>
          <t>1</t>
        </is>
      </c>
      <c r="H1094" t="inlineStr">
        <is>
          <t>Yes</t>
        </is>
      </c>
      <c r="I1094" t="inlineStr">
        <is>
          <t>No</t>
        </is>
      </c>
      <c r="J1094" t="inlineStr">
        <is>
          <t>0</t>
        </is>
      </c>
      <c r="K1094" t="inlineStr">
        <is>
          <t>Whybrow, Peter C.</t>
        </is>
      </c>
      <c r="L1094" t="inlineStr">
        <is>
          <t>New York : Plenum Press, c1984, 1985 printing.</t>
        </is>
      </c>
      <c r="M1094" t="inlineStr">
        <is>
          <t>1984</t>
        </is>
      </c>
      <c r="O1094" t="inlineStr">
        <is>
          <t>eng</t>
        </is>
      </c>
      <c r="P1094" t="inlineStr">
        <is>
          <t>nyu</t>
        </is>
      </c>
      <c r="Q1094" t="inlineStr">
        <is>
          <t>Critical issues in psychiatry</t>
        </is>
      </c>
      <c r="R1094" t="inlineStr">
        <is>
          <t xml:space="preserve">RC </t>
        </is>
      </c>
      <c r="S1094" t="n">
        <v>37</v>
      </c>
      <c r="T1094" t="n">
        <v>37</v>
      </c>
      <c r="U1094" t="inlineStr">
        <is>
          <t>2009-11-07</t>
        </is>
      </c>
      <c r="V1094" t="inlineStr">
        <is>
          <t>2009-11-07</t>
        </is>
      </c>
      <c r="W1094" t="inlineStr">
        <is>
          <t>1990-03-13</t>
        </is>
      </c>
      <c r="X1094" t="inlineStr">
        <is>
          <t>1990-03-13</t>
        </is>
      </c>
      <c r="Y1094" t="n">
        <v>339</v>
      </c>
      <c r="Z1094" t="n">
        <v>266</v>
      </c>
      <c r="AA1094" t="n">
        <v>284</v>
      </c>
      <c r="AB1094" t="n">
        <v>3</v>
      </c>
      <c r="AC1094" t="n">
        <v>3</v>
      </c>
      <c r="AD1094" t="n">
        <v>7</v>
      </c>
      <c r="AE1094" t="n">
        <v>7</v>
      </c>
      <c r="AF1094" t="n">
        <v>0</v>
      </c>
      <c r="AG1094" t="n">
        <v>0</v>
      </c>
      <c r="AH1094" t="n">
        <v>2</v>
      </c>
      <c r="AI1094" t="n">
        <v>2</v>
      </c>
      <c r="AJ1094" t="n">
        <v>6</v>
      </c>
      <c r="AK1094" t="n">
        <v>6</v>
      </c>
      <c r="AL1094" t="n">
        <v>1</v>
      </c>
      <c r="AM1094" t="n">
        <v>1</v>
      </c>
      <c r="AN1094" t="n">
        <v>0</v>
      </c>
      <c r="AO1094" t="n">
        <v>0</v>
      </c>
      <c r="AP1094" t="inlineStr">
        <is>
          <t>No</t>
        </is>
      </c>
      <c r="AQ1094" t="inlineStr">
        <is>
          <t>Yes</t>
        </is>
      </c>
      <c r="AR1094">
        <f>HYPERLINK("http://catalog.hathitrust.org/Record/000163612","HathiTrust Record")</f>
        <v/>
      </c>
      <c r="AS1094">
        <f>HYPERLINK("https://creighton-primo.hosted.exlibrisgroup.com/primo-explore/search?tab=default_tab&amp;search_scope=EVERYTHING&amp;vid=01CRU&amp;lang=en_US&amp;offset=0&amp;query=any,contains,991000385529702656","Catalog Record")</f>
        <v/>
      </c>
      <c r="AT1094">
        <f>HYPERLINK("http://www.worldcat.org/oclc/10507690","WorldCat Record")</f>
        <v/>
      </c>
      <c r="AU1094" t="inlineStr">
        <is>
          <t>309027847:eng</t>
        </is>
      </c>
      <c r="AV1094" t="inlineStr">
        <is>
          <t>10507690</t>
        </is>
      </c>
      <c r="AW1094" t="inlineStr">
        <is>
          <t>991000385529702656</t>
        </is>
      </c>
      <c r="AX1094" t="inlineStr">
        <is>
          <t>991000385529702656</t>
        </is>
      </c>
      <c r="AY1094" t="inlineStr">
        <is>
          <t>2256978970002656</t>
        </is>
      </c>
      <c r="AZ1094" t="inlineStr">
        <is>
          <t>BOOK</t>
        </is>
      </c>
      <c r="BB1094" t="inlineStr">
        <is>
          <t>9780306415685</t>
        </is>
      </c>
      <c r="BC1094" t="inlineStr">
        <is>
          <t>32285000066026</t>
        </is>
      </c>
      <c r="BD1094" t="inlineStr">
        <is>
          <t>893777888</t>
        </is>
      </c>
    </row>
    <row r="1095">
      <c r="A1095" t="inlineStr">
        <is>
          <t>No</t>
        </is>
      </c>
      <c r="B1095" t="inlineStr">
        <is>
          <t>RC537 .W554 1985</t>
        </is>
      </c>
      <c r="C1095" t="inlineStr">
        <is>
          <t>0                      RC 0537000W  554         1985</t>
        </is>
      </c>
      <c r="D1095" t="inlineStr">
        <is>
          <t>Depression : a psychobiological synthesis / Paul Willner.</t>
        </is>
      </c>
      <c r="F1095" t="inlineStr">
        <is>
          <t>No</t>
        </is>
      </c>
      <c r="G1095" t="inlineStr">
        <is>
          <t>1</t>
        </is>
      </c>
      <c r="H1095" t="inlineStr">
        <is>
          <t>No</t>
        </is>
      </c>
      <c r="I1095" t="inlineStr">
        <is>
          <t>No</t>
        </is>
      </c>
      <c r="J1095" t="inlineStr">
        <is>
          <t>0</t>
        </is>
      </c>
      <c r="K1095" t="inlineStr">
        <is>
          <t>Willner, Paul.</t>
        </is>
      </c>
      <c r="L1095" t="inlineStr">
        <is>
          <t>New York : Wiley, c1985.</t>
        </is>
      </c>
      <c r="M1095" t="inlineStr">
        <is>
          <t>1985</t>
        </is>
      </c>
      <c r="O1095" t="inlineStr">
        <is>
          <t>eng</t>
        </is>
      </c>
      <c r="P1095" t="inlineStr">
        <is>
          <t>nyu</t>
        </is>
      </c>
      <c r="R1095" t="inlineStr">
        <is>
          <t xml:space="preserve">RC </t>
        </is>
      </c>
      <c r="S1095" t="n">
        <v>21</v>
      </c>
      <c r="T1095" t="n">
        <v>21</v>
      </c>
      <c r="U1095" t="inlineStr">
        <is>
          <t>2007-04-23</t>
        </is>
      </c>
      <c r="V1095" t="inlineStr">
        <is>
          <t>2007-04-23</t>
        </is>
      </c>
      <c r="W1095" t="inlineStr">
        <is>
          <t>1990-02-28</t>
        </is>
      </c>
      <c r="X1095" t="inlineStr">
        <is>
          <t>1990-02-28</t>
        </is>
      </c>
      <c r="Y1095" t="n">
        <v>442</v>
      </c>
      <c r="Z1095" t="n">
        <v>332</v>
      </c>
      <c r="AA1095" t="n">
        <v>339</v>
      </c>
      <c r="AB1095" t="n">
        <v>2</v>
      </c>
      <c r="AC1095" t="n">
        <v>2</v>
      </c>
      <c r="AD1095" t="n">
        <v>16</v>
      </c>
      <c r="AE1095" t="n">
        <v>16</v>
      </c>
      <c r="AF1095" t="n">
        <v>4</v>
      </c>
      <c r="AG1095" t="n">
        <v>4</v>
      </c>
      <c r="AH1095" t="n">
        <v>6</v>
      </c>
      <c r="AI1095" t="n">
        <v>6</v>
      </c>
      <c r="AJ1095" t="n">
        <v>9</v>
      </c>
      <c r="AK1095" t="n">
        <v>9</v>
      </c>
      <c r="AL1095" t="n">
        <v>1</v>
      </c>
      <c r="AM1095" t="n">
        <v>1</v>
      </c>
      <c r="AN1095" t="n">
        <v>0</v>
      </c>
      <c r="AO1095" t="n">
        <v>0</v>
      </c>
      <c r="AP1095" t="inlineStr">
        <is>
          <t>No</t>
        </is>
      </c>
      <c r="AQ1095" t="inlineStr">
        <is>
          <t>Yes</t>
        </is>
      </c>
      <c r="AR1095">
        <f>HYPERLINK("http://catalog.hathitrust.org/Record/000461621","HathiTrust Record")</f>
        <v/>
      </c>
      <c r="AS1095">
        <f>HYPERLINK("https://creighton-primo.hosted.exlibrisgroup.com/primo-explore/search?tab=default_tab&amp;search_scope=EVERYTHING&amp;vid=01CRU&amp;lang=en_US&amp;offset=0&amp;query=any,contains,991000559589702656","Catalog Record")</f>
        <v/>
      </c>
      <c r="AT1095">
        <f>HYPERLINK("http://www.worldcat.org/oclc/11574756","WorldCat Record")</f>
        <v/>
      </c>
      <c r="AU1095" t="inlineStr">
        <is>
          <t>836696804:eng</t>
        </is>
      </c>
      <c r="AV1095" t="inlineStr">
        <is>
          <t>11574756</t>
        </is>
      </c>
      <c r="AW1095" t="inlineStr">
        <is>
          <t>991000559589702656</t>
        </is>
      </c>
      <c r="AX1095" t="inlineStr">
        <is>
          <t>991000559589702656</t>
        </is>
      </c>
      <c r="AY1095" t="inlineStr">
        <is>
          <t>2265112540002656</t>
        </is>
      </c>
      <c r="AZ1095" t="inlineStr">
        <is>
          <t>BOOK</t>
        </is>
      </c>
      <c r="BB1095" t="inlineStr">
        <is>
          <t>9780471806714</t>
        </is>
      </c>
      <c r="BC1095" t="inlineStr">
        <is>
          <t>32285000072479</t>
        </is>
      </c>
      <c r="BD1095" t="inlineStr">
        <is>
          <t>893897004</t>
        </is>
      </c>
    </row>
    <row r="1096">
      <c r="A1096" t="inlineStr">
        <is>
          <t>No</t>
        </is>
      </c>
      <c r="B1096" t="inlineStr">
        <is>
          <t>RC537 .W663 1990</t>
        </is>
      </c>
      <c r="C1096" t="inlineStr">
        <is>
          <t>0                      RC 0537000W  663         1990</t>
        </is>
      </c>
      <c r="D1096" t="inlineStr">
        <is>
          <t>Women and depression : risk factors and treatment issues : final report of the American Psychological Association's National Task Force on Women and Depression / edited by Ellen McGrath ... [et al.].</t>
        </is>
      </c>
      <c r="F1096" t="inlineStr">
        <is>
          <t>No</t>
        </is>
      </c>
      <c r="G1096" t="inlineStr">
        <is>
          <t>1</t>
        </is>
      </c>
      <c r="H1096" t="inlineStr">
        <is>
          <t>No</t>
        </is>
      </c>
      <c r="I1096" t="inlineStr">
        <is>
          <t>No</t>
        </is>
      </c>
      <c r="J1096" t="inlineStr">
        <is>
          <t>0</t>
        </is>
      </c>
      <c r="L1096" t="inlineStr">
        <is>
          <t>Washington, DC : American Psychological Association, c1990.</t>
        </is>
      </c>
      <c r="M1096" t="inlineStr">
        <is>
          <t>1990</t>
        </is>
      </c>
      <c r="N1096" t="inlineStr">
        <is>
          <t>1st ed.</t>
        </is>
      </c>
      <c r="O1096" t="inlineStr">
        <is>
          <t>eng</t>
        </is>
      </c>
      <c r="P1096" t="inlineStr">
        <is>
          <t>dcu</t>
        </is>
      </c>
      <c r="R1096" t="inlineStr">
        <is>
          <t xml:space="preserve">RC </t>
        </is>
      </c>
      <c r="S1096" t="n">
        <v>41</v>
      </c>
      <c r="T1096" t="n">
        <v>41</v>
      </c>
      <c r="U1096" t="inlineStr">
        <is>
          <t>2007-04-03</t>
        </is>
      </c>
      <c r="V1096" t="inlineStr">
        <is>
          <t>2007-04-03</t>
        </is>
      </c>
      <c r="W1096" t="inlineStr">
        <is>
          <t>1991-08-01</t>
        </is>
      </c>
      <c r="X1096" t="inlineStr">
        <is>
          <t>1991-08-01</t>
        </is>
      </c>
      <c r="Y1096" t="n">
        <v>519</v>
      </c>
      <c r="Z1096" t="n">
        <v>445</v>
      </c>
      <c r="AA1096" t="n">
        <v>522</v>
      </c>
      <c r="AB1096" t="n">
        <v>4</v>
      </c>
      <c r="AC1096" t="n">
        <v>5</v>
      </c>
      <c r="AD1096" t="n">
        <v>20</v>
      </c>
      <c r="AE1096" t="n">
        <v>25</v>
      </c>
      <c r="AF1096" t="n">
        <v>6</v>
      </c>
      <c r="AG1096" t="n">
        <v>8</v>
      </c>
      <c r="AH1096" t="n">
        <v>5</v>
      </c>
      <c r="AI1096" t="n">
        <v>5</v>
      </c>
      <c r="AJ1096" t="n">
        <v>10</v>
      </c>
      <c r="AK1096" t="n">
        <v>12</v>
      </c>
      <c r="AL1096" t="n">
        <v>3</v>
      </c>
      <c r="AM1096" t="n">
        <v>4</v>
      </c>
      <c r="AN1096" t="n">
        <v>0</v>
      </c>
      <c r="AO1096" t="n">
        <v>0</v>
      </c>
      <c r="AP1096" t="inlineStr">
        <is>
          <t>No</t>
        </is>
      </c>
      <c r="AQ1096" t="inlineStr">
        <is>
          <t>No</t>
        </is>
      </c>
      <c r="AS1096">
        <f>HYPERLINK("https://creighton-primo.hosted.exlibrisgroup.com/primo-explore/search?tab=default_tab&amp;search_scope=EVERYTHING&amp;vid=01CRU&amp;lang=en_US&amp;offset=0&amp;query=any,contains,991001779469702656","Catalog Record")</f>
        <v/>
      </c>
      <c r="AT1096">
        <f>HYPERLINK("http://www.worldcat.org/oclc/22451552","WorldCat Record")</f>
        <v/>
      </c>
      <c r="AU1096" t="inlineStr">
        <is>
          <t>380177736:eng</t>
        </is>
      </c>
      <c r="AV1096" t="inlineStr">
        <is>
          <t>22451552</t>
        </is>
      </c>
      <c r="AW1096" t="inlineStr">
        <is>
          <t>991001779469702656</t>
        </is>
      </c>
      <c r="AX1096" t="inlineStr">
        <is>
          <t>991001779469702656</t>
        </is>
      </c>
      <c r="AY1096" t="inlineStr">
        <is>
          <t>2259841760002656</t>
        </is>
      </c>
      <c r="AZ1096" t="inlineStr">
        <is>
          <t>BOOK</t>
        </is>
      </c>
      <c r="BB1096" t="inlineStr">
        <is>
          <t>9781557981042</t>
        </is>
      </c>
      <c r="BC1096" t="inlineStr">
        <is>
          <t>32285000663780</t>
        </is>
      </c>
      <c r="BD1096" t="inlineStr">
        <is>
          <t>893250500</t>
        </is>
      </c>
    </row>
    <row r="1097">
      <c r="A1097" t="inlineStr">
        <is>
          <t>No</t>
        </is>
      </c>
      <c r="B1097" t="inlineStr">
        <is>
          <t>RC537 .W67 1985</t>
        </is>
      </c>
      <c r="C1097" t="inlineStr">
        <is>
          <t>0                      RC 0537000W  67          1985</t>
        </is>
      </c>
      <c r="D1097" t="inlineStr">
        <is>
          <t>Wounded healers : mental health workers' experiences of depression / edited by Vicky Rippere and Ruth Williams ; with a foreword by Joseph Connolly.</t>
        </is>
      </c>
      <c r="F1097" t="inlineStr">
        <is>
          <t>No</t>
        </is>
      </c>
      <c r="G1097" t="inlineStr">
        <is>
          <t>1</t>
        </is>
      </c>
      <c r="H1097" t="inlineStr">
        <is>
          <t>Yes</t>
        </is>
      </c>
      <c r="I1097" t="inlineStr">
        <is>
          <t>No</t>
        </is>
      </c>
      <c r="J1097" t="inlineStr">
        <is>
          <t>0</t>
        </is>
      </c>
      <c r="L1097" t="inlineStr">
        <is>
          <t>Chichester ; New York : Wiley, c1985.</t>
        </is>
      </c>
      <c r="M1097" t="inlineStr">
        <is>
          <t>1985</t>
        </is>
      </c>
      <c r="O1097" t="inlineStr">
        <is>
          <t>eng</t>
        </is>
      </c>
      <c r="P1097" t="inlineStr">
        <is>
          <t>enk</t>
        </is>
      </c>
      <c r="R1097" t="inlineStr">
        <is>
          <t xml:space="preserve">RC </t>
        </is>
      </c>
      <c r="S1097" t="n">
        <v>3</v>
      </c>
      <c r="T1097" t="n">
        <v>3</v>
      </c>
      <c r="U1097" t="inlineStr">
        <is>
          <t>2003-09-02</t>
        </is>
      </c>
      <c r="V1097" t="inlineStr">
        <is>
          <t>2003-09-02</t>
        </is>
      </c>
      <c r="W1097" t="inlineStr">
        <is>
          <t>1990-02-28</t>
        </is>
      </c>
      <c r="X1097" t="inlineStr">
        <is>
          <t>1990-02-28</t>
        </is>
      </c>
      <c r="Y1097" t="n">
        <v>513</v>
      </c>
      <c r="Z1097" t="n">
        <v>387</v>
      </c>
      <c r="AA1097" t="n">
        <v>394</v>
      </c>
      <c r="AB1097" t="n">
        <v>5</v>
      </c>
      <c r="AC1097" t="n">
        <v>5</v>
      </c>
      <c r="AD1097" t="n">
        <v>20</v>
      </c>
      <c r="AE1097" t="n">
        <v>20</v>
      </c>
      <c r="AF1097" t="n">
        <v>6</v>
      </c>
      <c r="AG1097" t="n">
        <v>6</v>
      </c>
      <c r="AH1097" t="n">
        <v>5</v>
      </c>
      <c r="AI1097" t="n">
        <v>5</v>
      </c>
      <c r="AJ1097" t="n">
        <v>9</v>
      </c>
      <c r="AK1097" t="n">
        <v>9</v>
      </c>
      <c r="AL1097" t="n">
        <v>3</v>
      </c>
      <c r="AM1097" t="n">
        <v>3</v>
      </c>
      <c r="AN1097" t="n">
        <v>0</v>
      </c>
      <c r="AO1097" t="n">
        <v>0</v>
      </c>
      <c r="AP1097" t="inlineStr">
        <is>
          <t>No</t>
        </is>
      </c>
      <c r="AQ1097" t="inlineStr">
        <is>
          <t>Yes</t>
        </is>
      </c>
      <c r="AR1097">
        <f>HYPERLINK("http://catalog.hathitrust.org/Record/000652835","HathiTrust Record")</f>
        <v/>
      </c>
      <c r="AS1097">
        <f>HYPERLINK("https://creighton-primo.hosted.exlibrisgroup.com/primo-explore/search?tab=default_tab&amp;search_scope=EVERYTHING&amp;vid=01CRU&amp;lang=en_US&amp;offset=0&amp;query=any,contains,991000555509702656","Catalog Record")</f>
        <v/>
      </c>
      <c r="AT1097">
        <f>HYPERLINK("http://www.worldcat.org/oclc/11550669","WorldCat Record")</f>
        <v/>
      </c>
      <c r="AU1097" t="inlineStr">
        <is>
          <t>836695320:eng</t>
        </is>
      </c>
      <c r="AV1097" t="inlineStr">
        <is>
          <t>11550669</t>
        </is>
      </c>
      <c r="AW1097" t="inlineStr">
        <is>
          <t>991000555509702656</t>
        </is>
      </c>
      <c r="AX1097" t="inlineStr">
        <is>
          <t>991000555509702656</t>
        </is>
      </c>
      <c r="AY1097" t="inlineStr">
        <is>
          <t>2260083920002656</t>
        </is>
      </c>
      <c r="AZ1097" t="inlineStr">
        <is>
          <t>BOOK</t>
        </is>
      </c>
      <c r="BB1097" t="inlineStr">
        <is>
          <t>9780471905929</t>
        </is>
      </c>
      <c r="BC1097" t="inlineStr">
        <is>
          <t>32285000072487</t>
        </is>
      </c>
      <c r="BD1097" t="inlineStr">
        <is>
          <t>893695939</t>
        </is>
      </c>
    </row>
    <row r="1098">
      <c r="A1098" t="inlineStr">
        <is>
          <t>No</t>
        </is>
      </c>
      <c r="B1098" t="inlineStr">
        <is>
          <t>RC545 .R67 1993b</t>
        </is>
      </c>
      <c r="C1098" t="inlineStr">
        <is>
          <t>0                      RC 0545000R  67          1993b</t>
        </is>
      </c>
      <c r="D1098" t="inlineStr">
        <is>
          <t>Winter blues : seasonal affective disorder : what it is and how to overcome it / Norman E. Rosenthal.</t>
        </is>
      </c>
      <c r="F1098" t="inlineStr">
        <is>
          <t>No</t>
        </is>
      </c>
      <c r="G1098" t="inlineStr">
        <is>
          <t>1</t>
        </is>
      </c>
      <c r="H1098" t="inlineStr">
        <is>
          <t>No</t>
        </is>
      </c>
      <c r="I1098" t="inlineStr">
        <is>
          <t>Yes</t>
        </is>
      </c>
      <c r="J1098" t="inlineStr">
        <is>
          <t>0</t>
        </is>
      </c>
      <c r="K1098" t="inlineStr">
        <is>
          <t>Rosenthal, Norman E.</t>
        </is>
      </c>
      <c r="L1098" t="inlineStr">
        <is>
          <t>New York : Guilford Press, c1993.</t>
        </is>
      </c>
      <c r="M1098" t="inlineStr">
        <is>
          <t>1993</t>
        </is>
      </c>
      <c r="N1098" t="inlineStr">
        <is>
          <t>Rev. &amp; updated ed.</t>
        </is>
      </c>
      <c r="O1098" t="inlineStr">
        <is>
          <t>eng</t>
        </is>
      </c>
      <c r="P1098" t="inlineStr">
        <is>
          <t>nyu</t>
        </is>
      </c>
      <c r="R1098" t="inlineStr">
        <is>
          <t xml:space="preserve">RC </t>
        </is>
      </c>
      <c r="S1098" t="n">
        <v>39</v>
      </c>
      <c r="T1098" t="n">
        <v>39</v>
      </c>
      <c r="U1098" t="inlineStr">
        <is>
          <t>2007-04-11</t>
        </is>
      </c>
      <c r="V1098" t="inlineStr">
        <is>
          <t>2007-04-11</t>
        </is>
      </c>
      <c r="W1098" t="inlineStr">
        <is>
          <t>1994-03-02</t>
        </is>
      </c>
      <c r="X1098" t="inlineStr">
        <is>
          <t>1994-03-02</t>
        </is>
      </c>
      <c r="Y1098" t="n">
        <v>949</v>
      </c>
      <c r="Z1098" t="n">
        <v>887</v>
      </c>
      <c r="AA1098" t="n">
        <v>1276</v>
      </c>
      <c r="AB1098" t="n">
        <v>5</v>
      </c>
      <c r="AC1098" t="n">
        <v>8</v>
      </c>
      <c r="AD1098" t="n">
        <v>32</v>
      </c>
      <c r="AE1098" t="n">
        <v>36</v>
      </c>
      <c r="AF1098" t="n">
        <v>13</v>
      </c>
      <c r="AG1098" t="n">
        <v>16</v>
      </c>
      <c r="AH1098" t="n">
        <v>6</v>
      </c>
      <c r="AI1098" t="n">
        <v>6</v>
      </c>
      <c r="AJ1098" t="n">
        <v>16</v>
      </c>
      <c r="AK1098" t="n">
        <v>18</v>
      </c>
      <c r="AL1098" t="n">
        <v>3</v>
      </c>
      <c r="AM1098" t="n">
        <v>4</v>
      </c>
      <c r="AN1098" t="n">
        <v>0</v>
      </c>
      <c r="AO1098" t="n">
        <v>0</v>
      </c>
      <c r="AP1098" t="inlineStr">
        <is>
          <t>No</t>
        </is>
      </c>
      <c r="AQ1098" t="inlineStr">
        <is>
          <t>No</t>
        </is>
      </c>
      <c r="AS1098">
        <f>HYPERLINK("https://creighton-primo.hosted.exlibrisgroup.com/primo-explore/search?tab=default_tab&amp;search_scope=EVERYTHING&amp;vid=01CRU&amp;lang=en_US&amp;offset=0&amp;query=any,contains,991002233729702656","Catalog Record")</f>
        <v/>
      </c>
      <c r="AT1098">
        <f>HYPERLINK("http://www.worldcat.org/oclc/28798885","WorldCat Record")</f>
        <v/>
      </c>
      <c r="AU1098" t="inlineStr">
        <is>
          <t>31633663:eng</t>
        </is>
      </c>
      <c r="AV1098" t="inlineStr">
        <is>
          <t>28798885</t>
        </is>
      </c>
      <c r="AW1098" t="inlineStr">
        <is>
          <t>991002233729702656</t>
        </is>
      </c>
      <c r="AX1098" t="inlineStr">
        <is>
          <t>991002233729702656</t>
        </is>
      </c>
      <c r="AY1098" t="inlineStr">
        <is>
          <t>2270018730002656</t>
        </is>
      </c>
      <c r="AZ1098" t="inlineStr">
        <is>
          <t>BOOK</t>
        </is>
      </c>
      <c r="BB1098" t="inlineStr">
        <is>
          <t>9780898621495</t>
        </is>
      </c>
      <c r="BC1098" t="inlineStr">
        <is>
          <t>32285001843639</t>
        </is>
      </c>
      <c r="BD1098" t="inlineStr">
        <is>
          <t>893886003</t>
        </is>
      </c>
    </row>
    <row r="1099">
      <c r="A1099" t="inlineStr">
        <is>
          <t>No</t>
        </is>
      </c>
      <c r="B1099" t="inlineStr">
        <is>
          <t>RC545 .S43 1989</t>
        </is>
      </c>
      <c r="C1099" t="inlineStr">
        <is>
          <t>0                      RC 0545000S  43          1989</t>
        </is>
      </c>
      <c r="D1099" t="inlineStr">
        <is>
          <t>Seasonal affective disorders and phototherapy / edited by Norman E. Rosenthal, Mary C. Blehar.</t>
        </is>
      </c>
      <c r="F1099" t="inlineStr">
        <is>
          <t>No</t>
        </is>
      </c>
      <c r="G1099" t="inlineStr">
        <is>
          <t>1</t>
        </is>
      </c>
      <c r="H1099" t="inlineStr">
        <is>
          <t>No</t>
        </is>
      </c>
      <c r="I1099" t="inlineStr">
        <is>
          <t>No</t>
        </is>
      </c>
      <c r="J1099" t="inlineStr">
        <is>
          <t>0</t>
        </is>
      </c>
      <c r="L1099" t="inlineStr">
        <is>
          <t>New York : Guilford Press, 1989.</t>
        </is>
      </c>
      <c r="M1099" t="inlineStr">
        <is>
          <t>1989</t>
        </is>
      </c>
      <c r="O1099" t="inlineStr">
        <is>
          <t>eng</t>
        </is>
      </c>
      <c r="P1099" t="inlineStr">
        <is>
          <t>nyu</t>
        </is>
      </c>
      <c r="R1099" t="inlineStr">
        <is>
          <t xml:space="preserve">RC </t>
        </is>
      </c>
      <c r="S1099" t="n">
        <v>36</v>
      </c>
      <c r="T1099" t="n">
        <v>36</v>
      </c>
      <c r="U1099" t="inlineStr">
        <is>
          <t>2006-11-28</t>
        </is>
      </c>
      <c r="V1099" t="inlineStr">
        <is>
          <t>2006-11-28</t>
        </is>
      </c>
      <c r="W1099" t="inlineStr">
        <is>
          <t>1990-05-08</t>
        </is>
      </c>
      <c r="X1099" t="inlineStr">
        <is>
          <t>1990-05-08</t>
        </is>
      </c>
      <c r="Y1099" t="n">
        <v>355</v>
      </c>
      <c r="Z1099" t="n">
        <v>288</v>
      </c>
      <c r="AA1099" t="n">
        <v>289</v>
      </c>
      <c r="AB1099" t="n">
        <v>3</v>
      </c>
      <c r="AC1099" t="n">
        <v>3</v>
      </c>
      <c r="AD1099" t="n">
        <v>15</v>
      </c>
      <c r="AE1099" t="n">
        <v>15</v>
      </c>
      <c r="AF1099" t="n">
        <v>4</v>
      </c>
      <c r="AG1099" t="n">
        <v>4</v>
      </c>
      <c r="AH1099" t="n">
        <v>4</v>
      </c>
      <c r="AI1099" t="n">
        <v>4</v>
      </c>
      <c r="AJ1099" t="n">
        <v>9</v>
      </c>
      <c r="AK1099" t="n">
        <v>9</v>
      </c>
      <c r="AL1099" t="n">
        <v>2</v>
      </c>
      <c r="AM1099" t="n">
        <v>2</v>
      </c>
      <c r="AN1099" t="n">
        <v>0</v>
      </c>
      <c r="AO1099" t="n">
        <v>0</v>
      </c>
      <c r="AP1099" t="inlineStr">
        <is>
          <t>No</t>
        </is>
      </c>
      <c r="AQ1099" t="inlineStr">
        <is>
          <t>No</t>
        </is>
      </c>
      <c r="AS1099">
        <f>HYPERLINK("https://creighton-primo.hosted.exlibrisgroup.com/primo-explore/search?tab=default_tab&amp;search_scope=EVERYTHING&amp;vid=01CRU&amp;lang=en_US&amp;offset=0&amp;query=any,contains,991001339249702656","Catalog Record")</f>
        <v/>
      </c>
      <c r="AT1099">
        <f>HYPERLINK("http://www.worldcat.org/oclc/18380633","WorldCat Record")</f>
        <v/>
      </c>
      <c r="AU1099" t="inlineStr">
        <is>
          <t>353939950:eng</t>
        </is>
      </c>
      <c r="AV1099" t="inlineStr">
        <is>
          <t>18380633</t>
        </is>
      </c>
      <c r="AW1099" t="inlineStr">
        <is>
          <t>991001339249702656</t>
        </is>
      </c>
      <c r="AX1099" t="inlineStr">
        <is>
          <t>991001339249702656</t>
        </is>
      </c>
      <c r="AY1099" t="inlineStr">
        <is>
          <t>2256009610002656</t>
        </is>
      </c>
      <c r="AZ1099" t="inlineStr">
        <is>
          <t>BOOK</t>
        </is>
      </c>
      <c r="BB1099" t="inlineStr">
        <is>
          <t>9780898627411</t>
        </is>
      </c>
      <c r="BC1099" t="inlineStr">
        <is>
          <t>32285000135268</t>
        </is>
      </c>
      <c r="BD1099" t="inlineStr">
        <is>
          <t>893690543</t>
        </is>
      </c>
    </row>
    <row r="1100">
      <c r="A1100" t="inlineStr">
        <is>
          <t>No</t>
        </is>
      </c>
      <c r="B1100" t="inlineStr">
        <is>
          <t>RC547 .E97 1972</t>
        </is>
      </c>
      <c r="C1100" t="inlineStr">
        <is>
          <t>0                      RC 0547000E  97          1972</t>
        </is>
      </c>
      <c r="D1100" t="inlineStr">
        <is>
          <t>Sleep : physiology, biochemistry, psychology, pharmacology, clinical implications : proceedings / editors: W. P. Koella and P. Levin.</t>
        </is>
      </c>
      <c r="F1100" t="inlineStr">
        <is>
          <t>No</t>
        </is>
      </c>
      <c r="G1100" t="inlineStr">
        <is>
          <t>1</t>
        </is>
      </c>
      <c r="H1100" t="inlineStr">
        <is>
          <t>No</t>
        </is>
      </c>
      <c r="I1100" t="inlineStr">
        <is>
          <t>No</t>
        </is>
      </c>
      <c r="J1100" t="inlineStr">
        <is>
          <t>0</t>
        </is>
      </c>
      <c r="K1100" t="inlineStr">
        <is>
          <t>European Congress on Sleep Research (1st : 1972 : Basel, Switzerland)</t>
        </is>
      </c>
      <c r="L1100" t="inlineStr">
        <is>
          <t>Basel, New York, S. Karger, 1973.</t>
        </is>
      </c>
      <c r="M1100" t="inlineStr">
        <is>
          <t>1973</t>
        </is>
      </c>
      <c r="O1100" t="inlineStr">
        <is>
          <t>eng</t>
        </is>
      </c>
      <c r="P1100" t="inlineStr">
        <is>
          <t xml:space="preserve">sz </t>
        </is>
      </c>
      <c r="R1100" t="inlineStr">
        <is>
          <t xml:space="preserve">RC </t>
        </is>
      </c>
      <c r="S1100" t="n">
        <v>19</v>
      </c>
      <c r="T1100" t="n">
        <v>19</v>
      </c>
      <c r="U1100" t="inlineStr">
        <is>
          <t>2007-09-18</t>
        </is>
      </c>
      <c r="V1100" t="inlineStr">
        <is>
          <t>2007-09-18</t>
        </is>
      </c>
      <c r="W1100" t="inlineStr">
        <is>
          <t>1994-04-20</t>
        </is>
      </c>
      <c r="X1100" t="inlineStr">
        <is>
          <t>1994-04-20</t>
        </is>
      </c>
      <c r="Y1100" t="n">
        <v>141</v>
      </c>
      <c r="Z1100" t="n">
        <v>101</v>
      </c>
      <c r="AA1100" t="n">
        <v>102</v>
      </c>
      <c r="AB1100" t="n">
        <v>1</v>
      </c>
      <c r="AC1100" t="n">
        <v>1</v>
      </c>
      <c r="AD1100" t="n">
        <v>3</v>
      </c>
      <c r="AE1100" t="n">
        <v>3</v>
      </c>
      <c r="AF1100" t="n">
        <v>0</v>
      </c>
      <c r="AG1100" t="n">
        <v>0</v>
      </c>
      <c r="AH1100" t="n">
        <v>0</v>
      </c>
      <c r="AI1100" t="n">
        <v>0</v>
      </c>
      <c r="AJ1100" t="n">
        <v>3</v>
      </c>
      <c r="AK1100" t="n">
        <v>3</v>
      </c>
      <c r="AL1100" t="n">
        <v>0</v>
      </c>
      <c r="AM1100" t="n">
        <v>0</v>
      </c>
      <c r="AN1100" t="n">
        <v>0</v>
      </c>
      <c r="AO1100" t="n">
        <v>0</v>
      </c>
      <c r="AP1100" t="inlineStr">
        <is>
          <t>No</t>
        </is>
      </c>
      <c r="AQ1100" t="inlineStr">
        <is>
          <t>Yes</t>
        </is>
      </c>
      <c r="AR1100">
        <f>HYPERLINK("http://catalog.hathitrust.org/Record/102014051","HathiTrust Record")</f>
        <v/>
      </c>
      <c r="AS1100">
        <f>HYPERLINK("https://creighton-primo.hosted.exlibrisgroup.com/primo-explore/search?tab=default_tab&amp;search_scope=EVERYTHING&amp;vid=01CRU&amp;lang=en_US&amp;offset=0&amp;query=any,contains,991003535219702656","Catalog Record")</f>
        <v/>
      </c>
      <c r="AT1100">
        <f>HYPERLINK("http://www.worldcat.org/oclc/1099439","WorldCat Record")</f>
        <v/>
      </c>
      <c r="AU1100" t="inlineStr">
        <is>
          <t>2080443:eng</t>
        </is>
      </c>
      <c r="AV1100" t="inlineStr">
        <is>
          <t>1099439</t>
        </is>
      </c>
      <c r="AW1100" t="inlineStr">
        <is>
          <t>991003535219702656</t>
        </is>
      </c>
      <c r="AX1100" t="inlineStr">
        <is>
          <t>991003535219702656</t>
        </is>
      </c>
      <c r="AY1100" t="inlineStr">
        <is>
          <t>2267378550002656</t>
        </is>
      </c>
      <c r="AZ1100" t="inlineStr">
        <is>
          <t>BOOK</t>
        </is>
      </c>
      <c r="BB1100" t="inlineStr">
        <is>
          <t>9783805516044</t>
        </is>
      </c>
      <c r="BC1100" t="inlineStr">
        <is>
          <t>32285001889871</t>
        </is>
      </c>
      <c r="BD1100" t="inlineStr">
        <is>
          <t>893893822</t>
        </is>
      </c>
    </row>
    <row r="1101">
      <c r="A1101" t="inlineStr">
        <is>
          <t>No</t>
        </is>
      </c>
      <c r="B1101" t="inlineStr">
        <is>
          <t>RC547 .P46</t>
        </is>
      </c>
      <c r="C1101" t="inlineStr">
        <is>
          <t>0                      RC 0547000P  46</t>
        </is>
      </c>
      <c r="D1101" t="inlineStr">
        <is>
          <t>Pharmacology of sleep / edited by Robert L. Williams, Ismet Karacan ; foreword by Jules H. Masserman.</t>
        </is>
      </c>
      <c r="F1101" t="inlineStr">
        <is>
          <t>No</t>
        </is>
      </c>
      <c r="G1101" t="inlineStr">
        <is>
          <t>1</t>
        </is>
      </c>
      <c r="H1101" t="inlineStr">
        <is>
          <t>No</t>
        </is>
      </c>
      <c r="I1101" t="inlineStr">
        <is>
          <t>No</t>
        </is>
      </c>
      <c r="J1101" t="inlineStr">
        <is>
          <t>0</t>
        </is>
      </c>
      <c r="L1101" t="inlineStr">
        <is>
          <t>New York : Wiley, c1976.</t>
        </is>
      </c>
      <c r="M1101" t="inlineStr">
        <is>
          <t>1976</t>
        </is>
      </c>
      <c r="O1101" t="inlineStr">
        <is>
          <t>eng</t>
        </is>
      </c>
      <c r="P1101" t="inlineStr">
        <is>
          <t>nyu</t>
        </is>
      </c>
      <c r="Q1101" t="inlineStr">
        <is>
          <t>A Wiley medical publication</t>
        </is>
      </c>
      <c r="R1101" t="inlineStr">
        <is>
          <t xml:space="preserve">RC </t>
        </is>
      </c>
      <c r="S1101" t="n">
        <v>10</v>
      </c>
      <c r="T1101" t="n">
        <v>10</v>
      </c>
      <c r="U1101" t="inlineStr">
        <is>
          <t>2002-07-25</t>
        </is>
      </c>
      <c r="V1101" t="inlineStr">
        <is>
          <t>2002-07-25</t>
        </is>
      </c>
      <c r="W1101" t="inlineStr">
        <is>
          <t>1993-03-17</t>
        </is>
      </c>
      <c r="X1101" t="inlineStr">
        <is>
          <t>1993-03-17</t>
        </is>
      </c>
      <c r="Y1101" t="n">
        <v>255</v>
      </c>
      <c r="Z1101" t="n">
        <v>203</v>
      </c>
      <c r="AA1101" t="n">
        <v>210</v>
      </c>
      <c r="AB1101" t="n">
        <v>2</v>
      </c>
      <c r="AC1101" t="n">
        <v>2</v>
      </c>
      <c r="AD1101" t="n">
        <v>9</v>
      </c>
      <c r="AE1101" t="n">
        <v>9</v>
      </c>
      <c r="AF1101" t="n">
        <v>3</v>
      </c>
      <c r="AG1101" t="n">
        <v>3</v>
      </c>
      <c r="AH1101" t="n">
        <v>3</v>
      </c>
      <c r="AI1101" t="n">
        <v>3</v>
      </c>
      <c r="AJ1101" t="n">
        <v>4</v>
      </c>
      <c r="AK1101" t="n">
        <v>4</v>
      </c>
      <c r="AL1101" t="n">
        <v>1</v>
      </c>
      <c r="AM1101" t="n">
        <v>1</v>
      </c>
      <c r="AN1101" t="n">
        <v>0</v>
      </c>
      <c r="AO1101" t="n">
        <v>0</v>
      </c>
      <c r="AP1101" t="inlineStr">
        <is>
          <t>No</t>
        </is>
      </c>
      <c r="AQ1101" t="inlineStr">
        <is>
          <t>Yes</t>
        </is>
      </c>
      <c r="AR1101">
        <f>HYPERLINK("http://catalog.hathitrust.org/Record/000739313","HathiTrust Record")</f>
        <v/>
      </c>
      <c r="AS1101">
        <f>HYPERLINK("https://creighton-primo.hosted.exlibrisgroup.com/primo-explore/search?tab=default_tab&amp;search_scope=EVERYTHING&amp;vid=01CRU&amp;lang=en_US&amp;offset=0&amp;query=any,contains,991004083769702656","Catalog Record")</f>
        <v/>
      </c>
      <c r="AT1101">
        <f>HYPERLINK("http://www.worldcat.org/oclc/2331456","WorldCat Record")</f>
        <v/>
      </c>
      <c r="AU1101" t="inlineStr">
        <is>
          <t>346857704:eng</t>
        </is>
      </c>
      <c r="AV1101" t="inlineStr">
        <is>
          <t>2331456</t>
        </is>
      </c>
      <c r="AW1101" t="inlineStr">
        <is>
          <t>991004083769702656</t>
        </is>
      </c>
      <c r="AX1101" t="inlineStr">
        <is>
          <t>991004083769702656</t>
        </is>
      </c>
      <c r="AY1101" t="inlineStr">
        <is>
          <t>2264283260002656</t>
        </is>
      </c>
      <c r="AZ1101" t="inlineStr">
        <is>
          <t>BOOK</t>
        </is>
      </c>
      <c r="BB1101" t="inlineStr">
        <is>
          <t>9780471948568</t>
        </is>
      </c>
      <c r="BC1101" t="inlineStr">
        <is>
          <t>32285001573939</t>
        </is>
      </c>
      <c r="BD1101" t="inlineStr">
        <is>
          <t>893712137</t>
        </is>
      </c>
    </row>
    <row r="1102">
      <c r="A1102" t="inlineStr">
        <is>
          <t>No</t>
        </is>
      </c>
      <c r="B1102" t="inlineStr">
        <is>
          <t>RC547 .S52</t>
        </is>
      </c>
      <c r="C1102" t="inlineStr">
        <is>
          <t>0                      RC 0547000S  52</t>
        </is>
      </c>
      <c r="D1102" t="inlineStr">
        <is>
          <t>Sleep disorders : diagnosis and treatment / edited by Robert L. Williams, Ismet Karacan ; foreword by Shervert H. Frazier.</t>
        </is>
      </c>
      <c r="F1102" t="inlineStr">
        <is>
          <t>No</t>
        </is>
      </c>
      <c r="G1102" t="inlineStr">
        <is>
          <t>1</t>
        </is>
      </c>
      <c r="H1102" t="inlineStr">
        <is>
          <t>No</t>
        </is>
      </c>
      <c r="I1102" t="inlineStr">
        <is>
          <t>Yes</t>
        </is>
      </c>
      <c r="J1102" t="inlineStr">
        <is>
          <t>0</t>
        </is>
      </c>
      <c r="L1102" t="inlineStr">
        <is>
          <t>New York : Wiley, c1978.</t>
        </is>
      </c>
      <c r="M1102" t="inlineStr">
        <is>
          <t>1978</t>
        </is>
      </c>
      <c r="O1102" t="inlineStr">
        <is>
          <t>eng</t>
        </is>
      </c>
      <c r="P1102" t="inlineStr">
        <is>
          <t>nyu</t>
        </is>
      </c>
      <c r="Q1102" t="inlineStr">
        <is>
          <t>A Wiley medical publication</t>
        </is>
      </c>
      <c r="R1102" t="inlineStr">
        <is>
          <t xml:space="preserve">RC </t>
        </is>
      </c>
      <c r="S1102" t="n">
        <v>58</v>
      </c>
      <c r="T1102" t="n">
        <v>58</v>
      </c>
      <c r="U1102" t="inlineStr">
        <is>
          <t>2010-08-25</t>
        </is>
      </c>
      <c r="V1102" t="inlineStr">
        <is>
          <t>2010-08-25</t>
        </is>
      </c>
      <c r="W1102" t="inlineStr">
        <is>
          <t>1990-03-01</t>
        </is>
      </c>
      <c r="X1102" t="inlineStr">
        <is>
          <t>1990-03-01</t>
        </is>
      </c>
      <c r="Y1102" t="n">
        <v>225</v>
      </c>
      <c r="Z1102" t="n">
        <v>168</v>
      </c>
      <c r="AA1102" t="n">
        <v>337</v>
      </c>
      <c r="AB1102" t="n">
        <v>2</v>
      </c>
      <c r="AC1102" t="n">
        <v>4</v>
      </c>
      <c r="AD1102" t="n">
        <v>4</v>
      </c>
      <c r="AE1102" t="n">
        <v>15</v>
      </c>
      <c r="AF1102" t="n">
        <v>0</v>
      </c>
      <c r="AG1102" t="n">
        <v>3</v>
      </c>
      <c r="AH1102" t="n">
        <v>1</v>
      </c>
      <c r="AI1102" t="n">
        <v>4</v>
      </c>
      <c r="AJ1102" t="n">
        <v>3</v>
      </c>
      <c r="AK1102" t="n">
        <v>9</v>
      </c>
      <c r="AL1102" t="n">
        <v>0</v>
      </c>
      <c r="AM1102" t="n">
        <v>1</v>
      </c>
      <c r="AN1102" t="n">
        <v>0</v>
      </c>
      <c r="AO1102" t="n">
        <v>0</v>
      </c>
      <c r="AP1102" t="inlineStr">
        <is>
          <t>No</t>
        </is>
      </c>
      <c r="AQ1102" t="inlineStr">
        <is>
          <t>Yes</t>
        </is>
      </c>
      <c r="AR1102">
        <f>HYPERLINK("http://catalog.hathitrust.org/Record/000017849","HathiTrust Record")</f>
        <v/>
      </c>
      <c r="AS1102">
        <f>HYPERLINK("https://creighton-primo.hosted.exlibrisgroup.com/primo-explore/search?tab=default_tab&amp;search_scope=EVERYTHING&amp;vid=01CRU&amp;lang=en_US&amp;offset=0&amp;query=any,contains,991004566619702656","Catalog Record")</f>
        <v/>
      </c>
      <c r="AT1102">
        <f>HYPERLINK("http://www.worldcat.org/oclc/4004644","WorldCat Record")</f>
        <v/>
      </c>
      <c r="AU1102" t="inlineStr">
        <is>
          <t>890252190:eng</t>
        </is>
      </c>
      <c r="AV1102" t="inlineStr">
        <is>
          <t>4004644</t>
        </is>
      </c>
      <c r="AW1102" t="inlineStr">
        <is>
          <t>991004566619702656</t>
        </is>
      </c>
      <c r="AX1102" t="inlineStr">
        <is>
          <t>991004566619702656</t>
        </is>
      </c>
      <c r="AY1102" t="inlineStr">
        <is>
          <t>2264861560002656</t>
        </is>
      </c>
      <c r="AZ1102" t="inlineStr">
        <is>
          <t>BOOK</t>
        </is>
      </c>
      <c r="BB1102" t="inlineStr">
        <is>
          <t>9780471946823</t>
        </is>
      </c>
      <c r="BC1102" t="inlineStr">
        <is>
          <t>32285000075449</t>
        </is>
      </c>
      <c r="BD1102" t="inlineStr">
        <is>
          <t>893253826</t>
        </is>
      </c>
    </row>
    <row r="1103">
      <c r="A1103" t="inlineStr">
        <is>
          <t>No</t>
        </is>
      </c>
      <c r="B1103" t="inlineStr">
        <is>
          <t>RC547 .S56</t>
        </is>
      </c>
      <c r="C1103" t="inlineStr">
        <is>
          <t>0                      RC 0547000S  56</t>
        </is>
      </c>
      <c r="D1103" t="inlineStr">
        <is>
          <t>Sleep research and clinical practice. Edited by Gene Usdin.</t>
        </is>
      </c>
      <c r="F1103" t="inlineStr">
        <is>
          <t>No</t>
        </is>
      </c>
      <c r="G1103" t="inlineStr">
        <is>
          <t>1</t>
        </is>
      </c>
      <c r="H1103" t="inlineStr">
        <is>
          <t>No</t>
        </is>
      </c>
      <c r="I1103" t="inlineStr">
        <is>
          <t>No</t>
        </is>
      </c>
      <c r="J1103" t="inlineStr">
        <is>
          <t>0</t>
        </is>
      </c>
      <c r="L1103" t="inlineStr">
        <is>
          <t>New York, Brunner/Mazel [1973]</t>
        </is>
      </c>
      <c r="M1103" t="inlineStr">
        <is>
          <t>1973</t>
        </is>
      </c>
      <c r="O1103" t="inlineStr">
        <is>
          <t>eng</t>
        </is>
      </c>
      <c r="P1103" t="inlineStr">
        <is>
          <t>nyu</t>
        </is>
      </c>
      <c r="R1103" t="inlineStr">
        <is>
          <t xml:space="preserve">RC </t>
        </is>
      </c>
      <c r="S1103" t="n">
        <v>11</v>
      </c>
      <c r="T1103" t="n">
        <v>11</v>
      </c>
      <c r="U1103" t="inlineStr">
        <is>
          <t>2007-09-18</t>
        </is>
      </c>
      <c r="V1103" t="inlineStr">
        <is>
          <t>2007-09-18</t>
        </is>
      </c>
      <c r="W1103" t="inlineStr">
        <is>
          <t>1997-08-12</t>
        </is>
      </c>
      <c r="X1103" t="inlineStr">
        <is>
          <t>1997-08-12</t>
        </is>
      </c>
      <c r="Y1103" t="n">
        <v>307</v>
      </c>
      <c r="Z1103" t="n">
        <v>254</v>
      </c>
      <c r="AA1103" t="n">
        <v>261</v>
      </c>
      <c r="AB1103" t="n">
        <v>3</v>
      </c>
      <c r="AC1103" t="n">
        <v>3</v>
      </c>
      <c r="AD1103" t="n">
        <v>6</v>
      </c>
      <c r="AE1103" t="n">
        <v>6</v>
      </c>
      <c r="AF1103" t="n">
        <v>0</v>
      </c>
      <c r="AG1103" t="n">
        <v>0</v>
      </c>
      <c r="AH1103" t="n">
        <v>0</v>
      </c>
      <c r="AI1103" t="n">
        <v>0</v>
      </c>
      <c r="AJ1103" t="n">
        <v>4</v>
      </c>
      <c r="AK1103" t="n">
        <v>4</v>
      </c>
      <c r="AL1103" t="n">
        <v>2</v>
      </c>
      <c r="AM1103" t="n">
        <v>2</v>
      </c>
      <c r="AN1103" t="n">
        <v>0</v>
      </c>
      <c r="AO1103" t="n">
        <v>0</v>
      </c>
      <c r="AP1103" t="inlineStr">
        <is>
          <t>No</t>
        </is>
      </c>
      <c r="AQ1103" t="inlineStr">
        <is>
          <t>Yes</t>
        </is>
      </c>
      <c r="AR1103">
        <f>HYPERLINK("http://catalog.hathitrust.org/Record/001565160","HathiTrust Record")</f>
        <v/>
      </c>
      <c r="AS1103">
        <f>HYPERLINK("https://creighton-primo.hosted.exlibrisgroup.com/primo-explore/search?tab=default_tab&amp;search_scope=EVERYTHING&amp;vid=01CRU&amp;lang=en_US&amp;offset=0&amp;query=any,contains,991003189389702656","Catalog Record")</f>
        <v/>
      </c>
      <c r="AT1103">
        <f>HYPERLINK("http://www.worldcat.org/oclc/714487","WorldCat Record")</f>
        <v/>
      </c>
      <c r="AU1103" t="inlineStr">
        <is>
          <t>1676301:eng</t>
        </is>
      </c>
      <c r="AV1103" t="inlineStr">
        <is>
          <t>714487</t>
        </is>
      </c>
      <c r="AW1103" t="inlineStr">
        <is>
          <t>991003189389702656</t>
        </is>
      </c>
      <c r="AX1103" t="inlineStr">
        <is>
          <t>991003189389702656</t>
        </is>
      </c>
      <c r="AY1103" t="inlineStr">
        <is>
          <t>2256028310002656</t>
        </is>
      </c>
      <c r="AZ1103" t="inlineStr">
        <is>
          <t>BOOK</t>
        </is>
      </c>
      <c r="BB1103" t="inlineStr">
        <is>
          <t>9780876300749</t>
        </is>
      </c>
      <c r="BC1103" t="inlineStr">
        <is>
          <t>32285003092441</t>
        </is>
      </c>
      <c r="BD1103" t="inlineStr">
        <is>
          <t>893416136</t>
        </is>
      </c>
    </row>
    <row r="1104">
      <c r="A1104" t="inlineStr">
        <is>
          <t>No</t>
        </is>
      </c>
      <c r="B1104" t="inlineStr">
        <is>
          <t>RC547 .W54</t>
        </is>
      </c>
      <c r="C1104" t="inlineStr">
        <is>
          <t>0                      RC 0547000W  54</t>
        </is>
      </c>
      <c r="D1104" t="inlineStr">
        <is>
          <t>Electroencephalography (EEG) of human sleep : clinical applications / [by] Robert L. Williams, Ismet Karacan [and] Carolyn J. Hursch.</t>
        </is>
      </c>
      <c r="F1104" t="inlineStr">
        <is>
          <t>No</t>
        </is>
      </c>
      <c r="G1104" t="inlineStr">
        <is>
          <t>1</t>
        </is>
      </c>
      <c r="H1104" t="inlineStr">
        <is>
          <t>No</t>
        </is>
      </c>
      <c r="I1104" t="inlineStr">
        <is>
          <t>No</t>
        </is>
      </c>
      <c r="J1104" t="inlineStr">
        <is>
          <t>0</t>
        </is>
      </c>
      <c r="K1104" t="inlineStr">
        <is>
          <t>Williams, Robert L. (Robert Leon), 1922-</t>
        </is>
      </c>
      <c r="L1104" t="inlineStr">
        <is>
          <t>New York : Wiley, [1974]</t>
        </is>
      </c>
      <c r="M1104" t="inlineStr">
        <is>
          <t>1974</t>
        </is>
      </c>
      <c r="O1104" t="inlineStr">
        <is>
          <t>eng</t>
        </is>
      </c>
      <c r="P1104" t="inlineStr">
        <is>
          <t>nyu</t>
        </is>
      </c>
      <c r="Q1104" t="inlineStr">
        <is>
          <t>A Wiley biomedical-health publication</t>
        </is>
      </c>
      <c r="R1104" t="inlineStr">
        <is>
          <t xml:space="preserve">RC </t>
        </is>
      </c>
      <c r="S1104" t="n">
        <v>4</v>
      </c>
      <c r="T1104" t="n">
        <v>4</v>
      </c>
      <c r="U1104" t="inlineStr">
        <is>
          <t>1993-11-22</t>
        </is>
      </c>
      <c r="V1104" t="inlineStr">
        <is>
          <t>1993-11-22</t>
        </is>
      </c>
      <c r="W1104" t="inlineStr">
        <is>
          <t>1993-03-17</t>
        </is>
      </c>
      <c r="X1104" t="inlineStr">
        <is>
          <t>1993-03-17</t>
        </is>
      </c>
      <c r="Y1104" t="n">
        <v>311</v>
      </c>
      <c r="Z1104" t="n">
        <v>237</v>
      </c>
      <c r="AA1104" t="n">
        <v>245</v>
      </c>
      <c r="AB1104" t="n">
        <v>2</v>
      </c>
      <c r="AC1104" t="n">
        <v>2</v>
      </c>
      <c r="AD1104" t="n">
        <v>11</v>
      </c>
      <c r="AE1104" t="n">
        <v>11</v>
      </c>
      <c r="AF1104" t="n">
        <v>3</v>
      </c>
      <c r="AG1104" t="n">
        <v>3</v>
      </c>
      <c r="AH1104" t="n">
        <v>2</v>
      </c>
      <c r="AI1104" t="n">
        <v>2</v>
      </c>
      <c r="AJ1104" t="n">
        <v>6</v>
      </c>
      <c r="AK1104" t="n">
        <v>6</v>
      </c>
      <c r="AL1104" t="n">
        <v>1</v>
      </c>
      <c r="AM1104" t="n">
        <v>1</v>
      </c>
      <c r="AN1104" t="n">
        <v>0</v>
      </c>
      <c r="AO1104" t="n">
        <v>0</v>
      </c>
      <c r="AP1104" t="inlineStr">
        <is>
          <t>No</t>
        </is>
      </c>
      <c r="AQ1104" t="inlineStr">
        <is>
          <t>Yes</t>
        </is>
      </c>
      <c r="AR1104">
        <f>HYPERLINK("http://catalog.hathitrust.org/Record/001565161","HathiTrust Record")</f>
        <v/>
      </c>
      <c r="AS1104">
        <f>HYPERLINK("https://creighton-primo.hosted.exlibrisgroup.com/primo-explore/search?tab=default_tab&amp;search_scope=EVERYTHING&amp;vid=01CRU&amp;lang=en_US&amp;offset=0&amp;query=any,contains,991003229589702656","Catalog Record")</f>
        <v/>
      </c>
      <c r="AT1104">
        <f>HYPERLINK("http://www.worldcat.org/oclc/754471","WorldCat Record")</f>
        <v/>
      </c>
      <c r="AU1104" t="inlineStr">
        <is>
          <t>906840730:eng</t>
        </is>
      </c>
      <c r="AV1104" t="inlineStr">
        <is>
          <t>754471</t>
        </is>
      </c>
      <c r="AW1104" t="inlineStr">
        <is>
          <t>991003229589702656</t>
        </is>
      </c>
      <c r="AX1104" t="inlineStr">
        <is>
          <t>991003229589702656</t>
        </is>
      </c>
      <c r="AY1104" t="inlineStr">
        <is>
          <t>2267543020002656</t>
        </is>
      </c>
      <c r="AZ1104" t="inlineStr">
        <is>
          <t>BOOK</t>
        </is>
      </c>
      <c r="BB1104" t="inlineStr">
        <is>
          <t>9780471946861</t>
        </is>
      </c>
      <c r="BC1104" t="inlineStr">
        <is>
          <t>32285001573921</t>
        </is>
      </c>
      <c r="BD1104" t="inlineStr">
        <is>
          <t>893410056</t>
        </is>
      </c>
    </row>
    <row r="1105">
      <c r="A1105" t="inlineStr">
        <is>
          <t>No</t>
        </is>
      </c>
      <c r="B1105" t="inlineStr">
        <is>
          <t>RC548 .D86 1994</t>
        </is>
      </c>
      <c r="C1105" t="inlineStr">
        <is>
          <t>0                      RC 0548000D  86          1994</t>
        </is>
      </c>
      <c r="D1105" t="inlineStr">
        <is>
          <t>Goodbye insomnia, hello sleep / Samuel Dunkell.</t>
        </is>
      </c>
      <c r="F1105" t="inlineStr">
        <is>
          <t>No</t>
        </is>
      </c>
      <c r="G1105" t="inlineStr">
        <is>
          <t>1</t>
        </is>
      </c>
      <c r="H1105" t="inlineStr">
        <is>
          <t>No</t>
        </is>
      </c>
      <c r="I1105" t="inlineStr">
        <is>
          <t>No</t>
        </is>
      </c>
      <c r="J1105" t="inlineStr">
        <is>
          <t>0</t>
        </is>
      </c>
      <c r="K1105" t="inlineStr">
        <is>
          <t>Dunkell, Samuel.</t>
        </is>
      </c>
      <c r="L1105" t="inlineStr">
        <is>
          <t>Secaucus, NJ : Carol Pub. Group, c1994.</t>
        </is>
      </c>
      <c r="M1105" t="inlineStr">
        <is>
          <t>1994</t>
        </is>
      </c>
      <c r="O1105" t="inlineStr">
        <is>
          <t>eng</t>
        </is>
      </c>
      <c r="P1105" t="inlineStr">
        <is>
          <t>nju</t>
        </is>
      </c>
      <c r="R1105" t="inlineStr">
        <is>
          <t xml:space="preserve">RC </t>
        </is>
      </c>
      <c r="S1105" t="n">
        <v>38</v>
      </c>
      <c r="T1105" t="n">
        <v>38</v>
      </c>
      <c r="U1105" t="inlineStr">
        <is>
          <t>2010-11-23</t>
        </is>
      </c>
      <c r="V1105" t="inlineStr">
        <is>
          <t>2010-11-23</t>
        </is>
      </c>
      <c r="W1105" t="inlineStr">
        <is>
          <t>1995-07-12</t>
        </is>
      </c>
      <c r="X1105" t="inlineStr">
        <is>
          <t>1995-07-12</t>
        </is>
      </c>
      <c r="Y1105" t="n">
        <v>309</v>
      </c>
      <c r="Z1105" t="n">
        <v>299</v>
      </c>
      <c r="AA1105" t="n">
        <v>312</v>
      </c>
      <c r="AB1105" t="n">
        <v>2</v>
      </c>
      <c r="AC1105" t="n">
        <v>2</v>
      </c>
      <c r="AD1105" t="n">
        <v>4</v>
      </c>
      <c r="AE1105" t="n">
        <v>4</v>
      </c>
      <c r="AF1105" t="n">
        <v>1</v>
      </c>
      <c r="AG1105" t="n">
        <v>1</v>
      </c>
      <c r="AH1105" t="n">
        <v>1</v>
      </c>
      <c r="AI1105" t="n">
        <v>1</v>
      </c>
      <c r="AJ1105" t="n">
        <v>1</v>
      </c>
      <c r="AK1105" t="n">
        <v>1</v>
      </c>
      <c r="AL1105" t="n">
        <v>1</v>
      </c>
      <c r="AM1105" t="n">
        <v>1</v>
      </c>
      <c r="AN1105" t="n">
        <v>0</v>
      </c>
      <c r="AO1105" t="n">
        <v>0</v>
      </c>
      <c r="AP1105" t="inlineStr">
        <is>
          <t>No</t>
        </is>
      </c>
      <c r="AQ1105" t="inlineStr">
        <is>
          <t>Yes</t>
        </is>
      </c>
      <c r="AR1105">
        <f>HYPERLINK("http://catalog.hathitrust.org/Record/004534132","HathiTrust Record")</f>
        <v/>
      </c>
      <c r="AS1105">
        <f>HYPERLINK("https://creighton-primo.hosted.exlibrisgroup.com/primo-explore/search?tab=default_tab&amp;search_scope=EVERYTHING&amp;vid=01CRU&amp;lang=en_US&amp;offset=0&amp;query=any,contains,991002340139702656","Catalog Record")</f>
        <v/>
      </c>
      <c r="AT1105">
        <f>HYPERLINK("http://www.worldcat.org/oclc/30473362","WorldCat Record")</f>
        <v/>
      </c>
      <c r="AU1105" t="inlineStr">
        <is>
          <t>32378128:eng</t>
        </is>
      </c>
      <c r="AV1105" t="inlineStr">
        <is>
          <t>30473362</t>
        </is>
      </c>
      <c r="AW1105" t="inlineStr">
        <is>
          <t>991002340139702656</t>
        </is>
      </c>
      <c r="AX1105" t="inlineStr">
        <is>
          <t>991002340139702656</t>
        </is>
      </c>
      <c r="AY1105" t="inlineStr">
        <is>
          <t>2262122750002656</t>
        </is>
      </c>
      <c r="AZ1105" t="inlineStr">
        <is>
          <t>BOOK</t>
        </is>
      </c>
      <c r="BB1105" t="inlineStr">
        <is>
          <t>9781559722476</t>
        </is>
      </c>
      <c r="BC1105" t="inlineStr">
        <is>
          <t>32285002058039</t>
        </is>
      </c>
      <c r="BD1105" t="inlineStr">
        <is>
          <t>893510617</t>
        </is>
      </c>
    </row>
    <row r="1106">
      <c r="A1106" t="inlineStr">
        <is>
          <t>No</t>
        </is>
      </c>
      <c r="B1106" t="inlineStr">
        <is>
          <t>RC550 .K43</t>
        </is>
      </c>
      <c r="C1106" t="inlineStr">
        <is>
          <t>0                      RC 0550000K  43</t>
        </is>
      </c>
      <c r="D1106" t="inlineStr">
        <is>
          <t>The traumatic neurosis.</t>
        </is>
      </c>
      <c r="F1106" t="inlineStr">
        <is>
          <t>No</t>
        </is>
      </c>
      <c r="G1106" t="inlineStr">
        <is>
          <t>1</t>
        </is>
      </c>
      <c r="H1106" t="inlineStr">
        <is>
          <t>No</t>
        </is>
      </c>
      <c r="I1106" t="inlineStr">
        <is>
          <t>No</t>
        </is>
      </c>
      <c r="J1106" t="inlineStr">
        <is>
          <t>0</t>
        </is>
      </c>
      <c r="K1106" t="inlineStr">
        <is>
          <t>Keiser, Lester.</t>
        </is>
      </c>
      <c r="L1106" t="inlineStr">
        <is>
          <t>Philadelphia, Lippincott [1968]</t>
        </is>
      </c>
      <c r="M1106" t="inlineStr">
        <is>
          <t>1968</t>
        </is>
      </c>
      <c r="O1106" t="inlineStr">
        <is>
          <t>eng</t>
        </is>
      </c>
      <c r="P1106" t="inlineStr">
        <is>
          <t>pau</t>
        </is>
      </c>
      <c r="R1106" t="inlineStr">
        <is>
          <t xml:space="preserve">RC </t>
        </is>
      </c>
      <c r="S1106" t="n">
        <v>16</v>
      </c>
      <c r="T1106" t="n">
        <v>16</v>
      </c>
      <c r="U1106" t="inlineStr">
        <is>
          <t>2010-10-12</t>
        </is>
      </c>
      <c r="V1106" t="inlineStr">
        <is>
          <t>2010-10-12</t>
        </is>
      </c>
      <c r="W1106" t="inlineStr">
        <is>
          <t>1997-08-12</t>
        </is>
      </c>
      <c r="X1106" t="inlineStr">
        <is>
          <t>1997-08-12</t>
        </is>
      </c>
      <c r="Y1106" t="n">
        <v>181</v>
      </c>
      <c r="Z1106" t="n">
        <v>147</v>
      </c>
      <c r="AA1106" t="n">
        <v>148</v>
      </c>
      <c r="AB1106" t="n">
        <v>2</v>
      </c>
      <c r="AC1106" t="n">
        <v>2</v>
      </c>
      <c r="AD1106" t="n">
        <v>5</v>
      </c>
      <c r="AE1106" t="n">
        <v>5</v>
      </c>
      <c r="AF1106" t="n">
        <v>0</v>
      </c>
      <c r="AG1106" t="n">
        <v>0</v>
      </c>
      <c r="AH1106" t="n">
        <v>0</v>
      </c>
      <c r="AI1106" t="n">
        <v>0</v>
      </c>
      <c r="AJ1106" t="n">
        <v>2</v>
      </c>
      <c r="AK1106" t="n">
        <v>2</v>
      </c>
      <c r="AL1106" t="n">
        <v>1</v>
      </c>
      <c r="AM1106" t="n">
        <v>1</v>
      </c>
      <c r="AN1106" t="n">
        <v>2</v>
      </c>
      <c r="AO1106" t="n">
        <v>2</v>
      </c>
      <c r="AP1106" t="inlineStr">
        <is>
          <t>No</t>
        </is>
      </c>
      <c r="AQ1106" t="inlineStr">
        <is>
          <t>Yes</t>
        </is>
      </c>
      <c r="AR1106">
        <f>HYPERLINK("http://catalog.hathitrust.org/Record/001565167","HathiTrust Record")</f>
        <v/>
      </c>
      <c r="AS1106">
        <f>HYPERLINK("https://creighton-primo.hosted.exlibrisgroup.com/primo-explore/search?tab=default_tab&amp;search_scope=EVERYTHING&amp;vid=01CRU&amp;lang=en_US&amp;offset=0&amp;query=any,contains,991002802669702656","Catalog Record")</f>
        <v/>
      </c>
      <c r="AT1106">
        <f>HYPERLINK("http://www.worldcat.org/oclc/448257","WorldCat Record")</f>
        <v/>
      </c>
      <c r="AU1106" t="inlineStr">
        <is>
          <t>1587571:eng</t>
        </is>
      </c>
      <c r="AV1106" t="inlineStr">
        <is>
          <t>448257</t>
        </is>
      </c>
      <c r="AW1106" t="inlineStr">
        <is>
          <t>991002802669702656</t>
        </is>
      </c>
      <c r="AX1106" t="inlineStr">
        <is>
          <t>991002802669702656</t>
        </is>
      </c>
      <c r="AY1106" t="inlineStr">
        <is>
          <t>2266641980002656</t>
        </is>
      </c>
      <c r="AZ1106" t="inlineStr">
        <is>
          <t>BOOK</t>
        </is>
      </c>
      <c r="BC1106" t="inlineStr">
        <is>
          <t>32285003092458</t>
        </is>
      </c>
      <c r="BD1106" t="inlineStr">
        <is>
          <t>893886744</t>
        </is>
      </c>
    </row>
    <row r="1107">
      <c r="A1107" t="inlineStr">
        <is>
          <t>No</t>
        </is>
      </c>
      <c r="B1107" t="inlineStr">
        <is>
          <t>RC552.A44 C63 1985</t>
        </is>
      </c>
      <c r="C1107" t="inlineStr">
        <is>
          <t>0                      RC 0552000A  44                 C  63          1985</t>
        </is>
      </c>
      <c r="D1107" t="inlineStr">
        <is>
          <t>Agoraphobia : a clinical and personal account / J. Christopher Clarke and Wayne Wardman.</t>
        </is>
      </c>
      <c r="F1107" t="inlineStr">
        <is>
          <t>No</t>
        </is>
      </c>
      <c r="G1107" t="inlineStr">
        <is>
          <t>1</t>
        </is>
      </c>
      <c r="H1107" t="inlineStr">
        <is>
          <t>No</t>
        </is>
      </c>
      <c r="I1107" t="inlineStr">
        <is>
          <t>No</t>
        </is>
      </c>
      <c r="J1107" t="inlineStr">
        <is>
          <t>0</t>
        </is>
      </c>
      <c r="K1107" t="inlineStr">
        <is>
          <t>Clarke, J. Christopher.</t>
        </is>
      </c>
      <c r="L1107" t="inlineStr">
        <is>
          <t>Sydney : Pergamon Press, 1985</t>
        </is>
      </c>
      <c r="M1107" t="inlineStr">
        <is>
          <t>1985</t>
        </is>
      </c>
      <c r="O1107" t="inlineStr">
        <is>
          <t>eng</t>
        </is>
      </c>
      <c r="P1107" t="inlineStr">
        <is>
          <t xml:space="preserve">at </t>
        </is>
      </c>
      <c r="R1107" t="inlineStr">
        <is>
          <t xml:space="preserve">RC </t>
        </is>
      </c>
      <c r="S1107" t="n">
        <v>18</v>
      </c>
      <c r="T1107" t="n">
        <v>18</v>
      </c>
      <c r="U1107" t="inlineStr">
        <is>
          <t>2007-02-28</t>
        </is>
      </c>
      <c r="V1107" t="inlineStr">
        <is>
          <t>2007-02-28</t>
        </is>
      </c>
      <c r="W1107" t="inlineStr">
        <is>
          <t>1991-11-06</t>
        </is>
      </c>
      <c r="X1107" t="inlineStr">
        <is>
          <t>1991-11-06</t>
        </is>
      </c>
      <c r="Y1107" t="n">
        <v>256</v>
      </c>
      <c r="Z1107" t="n">
        <v>177</v>
      </c>
      <c r="AA1107" t="n">
        <v>179</v>
      </c>
      <c r="AB1107" t="n">
        <v>2</v>
      </c>
      <c r="AC1107" t="n">
        <v>2</v>
      </c>
      <c r="AD1107" t="n">
        <v>9</v>
      </c>
      <c r="AE1107" t="n">
        <v>9</v>
      </c>
      <c r="AF1107" t="n">
        <v>3</v>
      </c>
      <c r="AG1107" t="n">
        <v>3</v>
      </c>
      <c r="AH1107" t="n">
        <v>2</v>
      </c>
      <c r="AI1107" t="n">
        <v>2</v>
      </c>
      <c r="AJ1107" t="n">
        <v>4</v>
      </c>
      <c r="AK1107" t="n">
        <v>4</v>
      </c>
      <c r="AL1107" t="n">
        <v>1</v>
      </c>
      <c r="AM1107" t="n">
        <v>1</v>
      </c>
      <c r="AN1107" t="n">
        <v>0</v>
      </c>
      <c r="AO1107" t="n">
        <v>0</v>
      </c>
      <c r="AP1107" t="inlineStr">
        <is>
          <t>No</t>
        </is>
      </c>
      <c r="AQ1107" t="inlineStr">
        <is>
          <t>Yes</t>
        </is>
      </c>
      <c r="AR1107">
        <f>HYPERLINK("http://catalog.hathitrust.org/Record/000351951","HathiTrust Record")</f>
        <v/>
      </c>
      <c r="AS1107">
        <f>HYPERLINK("https://creighton-primo.hosted.exlibrisgroup.com/primo-explore/search?tab=default_tab&amp;search_scope=EVERYTHING&amp;vid=01CRU&amp;lang=en_US&amp;offset=0&amp;query=any,contains,991000658779702656","Catalog Record")</f>
        <v/>
      </c>
      <c r="AT1107">
        <f>HYPERLINK("http://www.worldcat.org/oclc/12498572","WorldCat Record")</f>
        <v/>
      </c>
      <c r="AU1107" t="inlineStr">
        <is>
          <t>5208954:eng</t>
        </is>
      </c>
      <c r="AV1107" t="inlineStr">
        <is>
          <t>12498572</t>
        </is>
      </c>
      <c r="AW1107" t="inlineStr">
        <is>
          <t>991000658779702656</t>
        </is>
      </c>
      <c r="AX1107" t="inlineStr">
        <is>
          <t>991000658779702656</t>
        </is>
      </c>
      <c r="AY1107" t="inlineStr">
        <is>
          <t>2260817320002656</t>
        </is>
      </c>
      <c r="AZ1107" t="inlineStr">
        <is>
          <t>BOOK</t>
        </is>
      </c>
      <c r="BB1107" t="inlineStr">
        <is>
          <t>9780080298665</t>
        </is>
      </c>
      <c r="BC1107" t="inlineStr">
        <is>
          <t>32285000798354</t>
        </is>
      </c>
      <c r="BD1107" t="inlineStr">
        <is>
          <t>893413568</t>
        </is>
      </c>
    </row>
    <row r="1108">
      <c r="A1108" t="inlineStr">
        <is>
          <t>No</t>
        </is>
      </c>
      <c r="B1108" t="inlineStr">
        <is>
          <t>RC552.A5 A66 1998</t>
        </is>
      </c>
      <c r="C1108" t="inlineStr">
        <is>
          <t>0                      RC 0552000A  5                  A  66          1998</t>
        </is>
      </c>
      <c r="D1108" t="inlineStr">
        <is>
          <t>Inner hunger : a young woman's struggle through anorexia and bulimia / Marianne Apostolides.</t>
        </is>
      </c>
      <c r="F1108" t="inlineStr">
        <is>
          <t>No</t>
        </is>
      </c>
      <c r="G1108" t="inlineStr">
        <is>
          <t>1</t>
        </is>
      </c>
      <c r="H1108" t="inlineStr">
        <is>
          <t>No</t>
        </is>
      </c>
      <c r="I1108" t="inlineStr">
        <is>
          <t>No</t>
        </is>
      </c>
      <c r="J1108" t="inlineStr">
        <is>
          <t>0</t>
        </is>
      </c>
      <c r="K1108" t="inlineStr">
        <is>
          <t>Apostolides, Marianne.</t>
        </is>
      </c>
      <c r="L1108" t="inlineStr">
        <is>
          <t>New York : Norton, c1998.</t>
        </is>
      </c>
      <c r="M1108" t="inlineStr">
        <is>
          <t>1998</t>
        </is>
      </c>
      <c r="N1108" t="inlineStr">
        <is>
          <t>1st ed.</t>
        </is>
      </c>
      <c r="O1108" t="inlineStr">
        <is>
          <t>eng</t>
        </is>
      </c>
      <c r="P1108" t="inlineStr">
        <is>
          <t>nyu</t>
        </is>
      </c>
      <c r="R1108" t="inlineStr">
        <is>
          <t xml:space="preserve">RC </t>
        </is>
      </c>
      <c r="S1108" t="n">
        <v>30</v>
      </c>
      <c r="T1108" t="n">
        <v>30</v>
      </c>
      <c r="U1108" t="inlineStr">
        <is>
          <t>2008-11-16</t>
        </is>
      </c>
      <c r="V1108" t="inlineStr">
        <is>
          <t>2008-11-16</t>
        </is>
      </c>
      <c r="W1108" t="inlineStr">
        <is>
          <t>1998-10-27</t>
        </is>
      </c>
      <c r="X1108" t="inlineStr">
        <is>
          <t>1998-10-27</t>
        </is>
      </c>
      <c r="Y1108" t="n">
        <v>542</v>
      </c>
      <c r="Z1108" t="n">
        <v>509</v>
      </c>
      <c r="AA1108" t="n">
        <v>513</v>
      </c>
      <c r="AB1108" t="n">
        <v>4</v>
      </c>
      <c r="AC1108" t="n">
        <v>4</v>
      </c>
      <c r="AD1108" t="n">
        <v>13</v>
      </c>
      <c r="AE1108" t="n">
        <v>13</v>
      </c>
      <c r="AF1108" t="n">
        <v>6</v>
      </c>
      <c r="AG1108" t="n">
        <v>6</v>
      </c>
      <c r="AH1108" t="n">
        <v>1</v>
      </c>
      <c r="AI1108" t="n">
        <v>1</v>
      </c>
      <c r="AJ1108" t="n">
        <v>6</v>
      </c>
      <c r="AK1108" t="n">
        <v>6</v>
      </c>
      <c r="AL1108" t="n">
        <v>1</v>
      </c>
      <c r="AM1108" t="n">
        <v>1</v>
      </c>
      <c r="AN1108" t="n">
        <v>0</v>
      </c>
      <c r="AO1108" t="n">
        <v>0</v>
      </c>
      <c r="AP1108" t="inlineStr">
        <is>
          <t>No</t>
        </is>
      </c>
      <c r="AQ1108" t="inlineStr">
        <is>
          <t>No</t>
        </is>
      </c>
      <c r="AS1108">
        <f>HYPERLINK("https://creighton-primo.hosted.exlibrisgroup.com/primo-explore/search?tab=default_tab&amp;search_scope=EVERYTHING&amp;vid=01CRU&amp;lang=en_US&amp;offset=0&amp;query=any,contains,991002886999702656","Catalog Record")</f>
        <v/>
      </c>
      <c r="AT1108">
        <f>HYPERLINK("http://www.worldcat.org/oclc/38043060","WorldCat Record")</f>
        <v/>
      </c>
      <c r="AU1108" t="inlineStr">
        <is>
          <t>1151556597:eng</t>
        </is>
      </c>
      <c r="AV1108" t="inlineStr">
        <is>
          <t>38043060</t>
        </is>
      </c>
      <c r="AW1108" t="inlineStr">
        <is>
          <t>991002886999702656</t>
        </is>
      </c>
      <c r="AX1108" t="inlineStr">
        <is>
          <t>991002886999702656</t>
        </is>
      </c>
      <c r="AY1108" t="inlineStr">
        <is>
          <t>2259919640002656</t>
        </is>
      </c>
      <c r="AZ1108" t="inlineStr">
        <is>
          <t>BOOK</t>
        </is>
      </c>
      <c r="BB1108" t="inlineStr">
        <is>
          <t>9780393045901</t>
        </is>
      </c>
      <c r="BC1108" t="inlineStr">
        <is>
          <t>32285003477782</t>
        </is>
      </c>
      <c r="BD1108" t="inlineStr">
        <is>
          <t>893317396</t>
        </is>
      </c>
    </row>
    <row r="1109">
      <c r="A1109" t="inlineStr">
        <is>
          <t>No</t>
        </is>
      </c>
      <c r="B1109" t="inlineStr">
        <is>
          <t>RC552.A5 B78</t>
        </is>
      </c>
      <c r="C1109" t="inlineStr">
        <is>
          <t>0                      RC 0552000A  5                  B  78</t>
        </is>
      </c>
      <c r="D1109" t="inlineStr">
        <is>
          <t>The golden cage : the enigma of anorexia nervosa / Hilde Bruch.</t>
        </is>
      </c>
      <c r="F1109" t="inlineStr">
        <is>
          <t>No</t>
        </is>
      </c>
      <c r="G1109" t="inlineStr">
        <is>
          <t>1</t>
        </is>
      </c>
      <c r="H1109" t="inlineStr">
        <is>
          <t>Yes</t>
        </is>
      </c>
      <c r="I1109" t="inlineStr">
        <is>
          <t>No</t>
        </is>
      </c>
      <c r="J1109" t="inlineStr">
        <is>
          <t>0</t>
        </is>
      </c>
      <c r="K1109" t="inlineStr">
        <is>
          <t>Bruch, Hilde, 1904-1984.</t>
        </is>
      </c>
      <c r="L1109" t="inlineStr">
        <is>
          <t>Cambridge, Mass. : Harvard University Press, 1978.</t>
        </is>
      </c>
      <c r="M1109" t="inlineStr">
        <is>
          <t>1978</t>
        </is>
      </c>
      <c r="O1109" t="inlineStr">
        <is>
          <t>eng</t>
        </is>
      </c>
      <c r="P1109" t="inlineStr">
        <is>
          <t>mau</t>
        </is>
      </c>
      <c r="R1109" t="inlineStr">
        <is>
          <t xml:space="preserve">RC </t>
        </is>
      </c>
      <c r="S1109" t="n">
        <v>29</v>
      </c>
      <c r="T1109" t="n">
        <v>53</v>
      </c>
      <c r="U1109" t="inlineStr">
        <is>
          <t>2007-09-18</t>
        </is>
      </c>
      <c r="V1109" t="inlineStr">
        <is>
          <t>2007-09-18</t>
        </is>
      </c>
      <c r="W1109" t="inlineStr">
        <is>
          <t>1992-05-01</t>
        </is>
      </c>
      <c r="X1109" t="inlineStr">
        <is>
          <t>1992-05-01</t>
        </is>
      </c>
      <c r="Y1109" t="n">
        <v>1255</v>
      </c>
      <c r="Z1109" t="n">
        <v>1153</v>
      </c>
      <c r="AA1109" t="n">
        <v>1525</v>
      </c>
      <c r="AB1109" t="n">
        <v>8</v>
      </c>
      <c r="AC1109" t="n">
        <v>10</v>
      </c>
      <c r="AD1109" t="n">
        <v>29</v>
      </c>
      <c r="AE1109" t="n">
        <v>38</v>
      </c>
      <c r="AF1109" t="n">
        <v>13</v>
      </c>
      <c r="AG1109" t="n">
        <v>18</v>
      </c>
      <c r="AH1109" t="n">
        <v>6</v>
      </c>
      <c r="AI1109" t="n">
        <v>7</v>
      </c>
      <c r="AJ1109" t="n">
        <v>16</v>
      </c>
      <c r="AK1109" t="n">
        <v>20</v>
      </c>
      <c r="AL1109" t="n">
        <v>1</v>
      </c>
      <c r="AM1109" t="n">
        <v>3</v>
      </c>
      <c r="AN1109" t="n">
        <v>0</v>
      </c>
      <c r="AO1109" t="n">
        <v>0</v>
      </c>
      <c r="AP1109" t="inlineStr">
        <is>
          <t>No</t>
        </is>
      </c>
      <c r="AQ1109" t="inlineStr">
        <is>
          <t>Yes</t>
        </is>
      </c>
      <c r="AR1109">
        <f>HYPERLINK("http://catalog.hathitrust.org/Record/000129120","HathiTrust Record")</f>
        <v/>
      </c>
      <c r="AS1109">
        <f>HYPERLINK("https://creighton-primo.hosted.exlibrisgroup.com/primo-explore/search?tab=default_tab&amp;search_scope=EVERYTHING&amp;vid=01CRU&amp;lang=en_US&amp;offset=0&amp;query=any,contains,991001760819702656","Catalog Record")</f>
        <v/>
      </c>
      <c r="AT1109">
        <f>HYPERLINK("http://www.worldcat.org/oclc/3204261","WorldCat Record")</f>
        <v/>
      </c>
      <c r="AU1109" t="inlineStr">
        <is>
          <t>464416:eng</t>
        </is>
      </c>
      <c r="AV1109" t="inlineStr">
        <is>
          <t>3204261</t>
        </is>
      </c>
      <c r="AW1109" t="inlineStr">
        <is>
          <t>991001760819702656</t>
        </is>
      </c>
      <c r="AX1109" t="inlineStr">
        <is>
          <t>991001760819702656</t>
        </is>
      </c>
      <c r="AY1109" t="inlineStr">
        <is>
          <t>2270744460002656</t>
        </is>
      </c>
      <c r="AZ1109" t="inlineStr">
        <is>
          <t>BOOK</t>
        </is>
      </c>
      <c r="BB1109" t="inlineStr">
        <is>
          <t>9780674356504</t>
        </is>
      </c>
      <c r="BC1109" t="inlineStr">
        <is>
          <t>32285001091239</t>
        </is>
      </c>
      <c r="BD1109" t="inlineStr">
        <is>
          <t>893898034</t>
        </is>
      </c>
    </row>
    <row r="1110">
      <c r="A1110" t="inlineStr">
        <is>
          <t>No</t>
        </is>
      </c>
      <c r="B1110" t="inlineStr">
        <is>
          <t>RC552.A5 E65 1992</t>
        </is>
      </c>
      <c r="C1110" t="inlineStr">
        <is>
          <t>0                      RC 0552000A  5                  E  65          1992</t>
        </is>
      </c>
      <c r="D1110" t="inlineStr">
        <is>
          <t>Solving the anorexia puzzle : a scientific approach / W. Frank Epling, W. David Pierce ; foreword by P.J.V. Beumont.</t>
        </is>
      </c>
      <c r="F1110" t="inlineStr">
        <is>
          <t>No</t>
        </is>
      </c>
      <c r="G1110" t="inlineStr">
        <is>
          <t>1</t>
        </is>
      </c>
      <c r="H1110" t="inlineStr">
        <is>
          <t>No</t>
        </is>
      </c>
      <c r="I1110" t="inlineStr">
        <is>
          <t>No</t>
        </is>
      </c>
      <c r="J1110" t="inlineStr">
        <is>
          <t>0</t>
        </is>
      </c>
      <c r="K1110" t="inlineStr">
        <is>
          <t>Epling, W. Frank.</t>
        </is>
      </c>
      <c r="L1110" t="inlineStr">
        <is>
          <t>Toronto ; Lewiston, NY : Hogrefe &amp; Huber Publishers, c1992.</t>
        </is>
      </c>
      <c r="M1110" t="inlineStr">
        <is>
          <t>1992</t>
        </is>
      </c>
      <c r="O1110" t="inlineStr">
        <is>
          <t>eng</t>
        </is>
      </c>
      <c r="P1110" t="inlineStr">
        <is>
          <t>onc</t>
        </is>
      </c>
      <c r="R1110" t="inlineStr">
        <is>
          <t xml:space="preserve">RC </t>
        </is>
      </c>
      <c r="S1110" t="n">
        <v>96</v>
      </c>
      <c r="T1110" t="n">
        <v>96</v>
      </c>
      <c r="U1110" t="inlineStr">
        <is>
          <t>2008-12-04</t>
        </is>
      </c>
      <c r="V1110" t="inlineStr">
        <is>
          <t>2008-12-04</t>
        </is>
      </c>
      <c r="W1110" t="inlineStr">
        <is>
          <t>1997-09-04</t>
        </is>
      </c>
      <c r="X1110" t="inlineStr">
        <is>
          <t>1997-09-04</t>
        </is>
      </c>
      <c r="Y1110" t="n">
        <v>187</v>
      </c>
      <c r="Z1110" t="n">
        <v>140</v>
      </c>
      <c r="AA1110" t="n">
        <v>158</v>
      </c>
      <c r="AB1110" t="n">
        <v>1</v>
      </c>
      <c r="AC1110" t="n">
        <v>1</v>
      </c>
      <c r="AD1110" t="n">
        <v>5</v>
      </c>
      <c r="AE1110" t="n">
        <v>5</v>
      </c>
      <c r="AF1110" t="n">
        <v>2</v>
      </c>
      <c r="AG1110" t="n">
        <v>2</v>
      </c>
      <c r="AH1110" t="n">
        <v>0</v>
      </c>
      <c r="AI1110" t="n">
        <v>0</v>
      </c>
      <c r="AJ1110" t="n">
        <v>4</v>
      </c>
      <c r="AK1110" t="n">
        <v>4</v>
      </c>
      <c r="AL1110" t="n">
        <v>0</v>
      </c>
      <c r="AM1110" t="n">
        <v>0</v>
      </c>
      <c r="AN1110" t="n">
        <v>0</v>
      </c>
      <c r="AO1110" t="n">
        <v>0</v>
      </c>
      <c r="AP1110" t="inlineStr">
        <is>
          <t>No</t>
        </is>
      </c>
      <c r="AQ1110" t="inlineStr">
        <is>
          <t>Yes</t>
        </is>
      </c>
      <c r="AR1110">
        <f>HYPERLINK("http://catalog.hathitrust.org/Record/002811415","HathiTrust Record")</f>
        <v/>
      </c>
      <c r="AS1110">
        <f>HYPERLINK("https://creighton-primo.hosted.exlibrisgroup.com/primo-explore/search?tab=default_tab&amp;search_scope=EVERYTHING&amp;vid=01CRU&amp;lang=en_US&amp;offset=0&amp;query=any,contains,991001679259702656","Catalog Record")</f>
        <v/>
      </c>
      <c r="AT1110">
        <f>HYPERLINK("http://www.worldcat.org/oclc/21335953","WorldCat Record")</f>
        <v/>
      </c>
      <c r="AU1110" t="inlineStr">
        <is>
          <t>20828518:eng</t>
        </is>
      </c>
      <c r="AV1110" t="inlineStr">
        <is>
          <t>21335953</t>
        </is>
      </c>
      <c r="AW1110" t="inlineStr">
        <is>
          <t>991001679259702656</t>
        </is>
      </c>
      <c r="AX1110" t="inlineStr">
        <is>
          <t>991001679259702656</t>
        </is>
      </c>
      <c r="AY1110" t="inlineStr">
        <is>
          <t>2263855130002656</t>
        </is>
      </c>
      <c r="AZ1110" t="inlineStr">
        <is>
          <t>BOOK</t>
        </is>
      </c>
      <c r="BB1110" t="inlineStr">
        <is>
          <t>9780920887202</t>
        </is>
      </c>
      <c r="BC1110" t="inlineStr">
        <is>
          <t>32285003200077</t>
        </is>
      </c>
      <c r="BD1110" t="inlineStr">
        <is>
          <t>893903522</t>
        </is>
      </c>
    </row>
    <row r="1111">
      <c r="A1111" t="inlineStr">
        <is>
          <t>No</t>
        </is>
      </c>
      <c r="B1111" t="inlineStr">
        <is>
          <t>RC552.A5 G37 1982</t>
        </is>
      </c>
      <c r="C1111" t="inlineStr">
        <is>
          <t>0                      RC 0552000A  5                  G  37          1982</t>
        </is>
      </c>
      <c r="D1111" t="inlineStr">
        <is>
          <t>Anorexia nervosa : a multidimensional perspective / Paul E. Garfinkel and David M. Garner.</t>
        </is>
      </c>
      <c r="F1111" t="inlineStr">
        <is>
          <t>No</t>
        </is>
      </c>
      <c r="G1111" t="inlineStr">
        <is>
          <t>1</t>
        </is>
      </c>
      <c r="H1111" t="inlineStr">
        <is>
          <t>Yes</t>
        </is>
      </c>
      <c r="I1111" t="inlineStr">
        <is>
          <t>No</t>
        </is>
      </c>
      <c r="J1111" t="inlineStr">
        <is>
          <t>0</t>
        </is>
      </c>
      <c r="K1111" t="inlineStr">
        <is>
          <t>Garfinkel, Paul E., 1946-</t>
        </is>
      </c>
      <c r="L1111" t="inlineStr">
        <is>
          <t>New York : Brunner/Mazel ; Montreal : Book Center, c1982.</t>
        </is>
      </c>
      <c r="M1111" t="inlineStr">
        <is>
          <t>1982</t>
        </is>
      </c>
      <c r="O1111" t="inlineStr">
        <is>
          <t>eng</t>
        </is>
      </c>
      <c r="P1111" t="inlineStr">
        <is>
          <t>nyu</t>
        </is>
      </c>
      <c r="R1111" t="inlineStr">
        <is>
          <t xml:space="preserve">RC </t>
        </is>
      </c>
      <c r="S1111" t="n">
        <v>42</v>
      </c>
      <c r="T1111" t="n">
        <v>42</v>
      </c>
      <c r="U1111" t="inlineStr">
        <is>
          <t>2005-12-08</t>
        </is>
      </c>
      <c r="V1111" t="inlineStr">
        <is>
          <t>2005-12-08</t>
        </is>
      </c>
      <c r="W1111" t="inlineStr">
        <is>
          <t>1991-11-06</t>
        </is>
      </c>
      <c r="X1111" t="inlineStr">
        <is>
          <t>1991-11-06</t>
        </is>
      </c>
      <c r="Y1111" t="n">
        <v>890</v>
      </c>
      <c r="Z1111" t="n">
        <v>754</v>
      </c>
      <c r="AA1111" t="n">
        <v>761</v>
      </c>
      <c r="AB1111" t="n">
        <v>7</v>
      </c>
      <c r="AC1111" t="n">
        <v>7</v>
      </c>
      <c r="AD1111" t="n">
        <v>34</v>
      </c>
      <c r="AE1111" t="n">
        <v>34</v>
      </c>
      <c r="AF1111" t="n">
        <v>16</v>
      </c>
      <c r="AG1111" t="n">
        <v>16</v>
      </c>
      <c r="AH1111" t="n">
        <v>5</v>
      </c>
      <c r="AI1111" t="n">
        <v>5</v>
      </c>
      <c r="AJ1111" t="n">
        <v>15</v>
      </c>
      <c r="AK1111" t="n">
        <v>15</v>
      </c>
      <c r="AL1111" t="n">
        <v>5</v>
      </c>
      <c r="AM1111" t="n">
        <v>5</v>
      </c>
      <c r="AN1111" t="n">
        <v>0</v>
      </c>
      <c r="AO1111" t="n">
        <v>0</v>
      </c>
      <c r="AP1111" t="inlineStr">
        <is>
          <t>No</t>
        </is>
      </c>
      <c r="AQ1111" t="inlineStr">
        <is>
          <t>Yes</t>
        </is>
      </c>
      <c r="AR1111">
        <f>HYPERLINK("http://catalog.hathitrust.org/Record/000189777","HathiTrust Record")</f>
        <v/>
      </c>
      <c r="AS1111">
        <f>HYPERLINK("https://creighton-primo.hosted.exlibrisgroup.com/primo-explore/search?tab=default_tab&amp;search_scope=EVERYTHING&amp;vid=01CRU&amp;lang=en_US&amp;offset=0&amp;query=any,contains,991005219729702656","Catalog Record")</f>
        <v/>
      </c>
      <c r="AT1111">
        <f>HYPERLINK("http://www.worldcat.org/oclc/8219919","WorldCat Record")</f>
        <v/>
      </c>
      <c r="AU1111" t="inlineStr">
        <is>
          <t>533922:eng</t>
        </is>
      </c>
      <c r="AV1111" t="inlineStr">
        <is>
          <t>8219919</t>
        </is>
      </c>
      <c r="AW1111" t="inlineStr">
        <is>
          <t>991005219729702656</t>
        </is>
      </c>
      <c r="AX1111" t="inlineStr">
        <is>
          <t>991005219729702656</t>
        </is>
      </c>
      <c r="AY1111" t="inlineStr">
        <is>
          <t>2255683950002656</t>
        </is>
      </c>
      <c r="AZ1111" t="inlineStr">
        <is>
          <t>BOOK</t>
        </is>
      </c>
      <c r="BB1111" t="inlineStr">
        <is>
          <t>9780876302972</t>
        </is>
      </c>
      <c r="BC1111" t="inlineStr">
        <is>
          <t>32285000798347</t>
        </is>
      </c>
      <c r="BD1111" t="inlineStr">
        <is>
          <t>893600846</t>
        </is>
      </c>
    </row>
    <row r="1112">
      <c r="A1112" t="inlineStr">
        <is>
          <t>No</t>
        </is>
      </c>
      <c r="B1112" t="inlineStr">
        <is>
          <t>RC552.A5 H35 1999</t>
        </is>
      </c>
      <c r="C1112" t="inlineStr">
        <is>
          <t>0                      RC 0552000A  5                  H  35          1999</t>
        </is>
      </c>
      <c r="D1112" t="inlineStr">
        <is>
          <t>Anorexia nervosa : a guide to recovery / Lindsey Hall and Monika Ostroff.</t>
        </is>
      </c>
      <c r="F1112" t="inlineStr">
        <is>
          <t>No</t>
        </is>
      </c>
      <c r="G1112" t="inlineStr">
        <is>
          <t>1</t>
        </is>
      </c>
      <c r="H1112" t="inlineStr">
        <is>
          <t>No</t>
        </is>
      </c>
      <c r="I1112" t="inlineStr">
        <is>
          <t>No</t>
        </is>
      </c>
      <c r="J1112" t="inlineStr">
        <is>
          <t>0</t>
        </is>
      </c>
      <c r="K1112" t="inlineStr">
        <is>
          <t>Hall, Lindsey, 1949-</t>
        </is>
      </c>
      <c r="L1112" t="inlineStr">
        <is>
          <t>Carlsbad, Calif. : Gürze Books, c1999.</t>
        </is>
      </c>
      <c r="M1112" t="inlineStr">
        <is>
          <t>1999</t>
        </is>
      </c>
      <c r="N1112" t="inlineStr">
        <is>
          <t>[1st ed.]</t>
        </is>
      </c>
      <c r="O1112" t="inlineStr">
        <is>
          <t>eng</t>
        </is>
      </c>
      <c r="P1112" t="inlineStr">
        <is>
          <t>cau</t>
        </is>
      </c>
      <c r="R1112" t="inlineStr">
        <is>
          <t xml:space="preserve">RC </t>
        </is>
      </c>
      <c r="S1112" t="n">
        <v>16</v>
      </c>
      <c r="T1112" t="n">
        <v>16</v>
      </c>
      <c r="U1112" t="inlineStr">
        <is>
          <t>2008-02-12</t>
        </is>
      </c>
      <c r="V1112" t="inlineStr">
        <is>
          <t>2008-02-12</t>
        </is>
      </c>
      <c r="W1112" t="inlineStr">
        <is>
          <t>2002-12-05</t>
        </is>
      </c>
      <c r="X1112" t="inlineStr">
        <is>
          <t>2002-12-05</t>
        </is>
      </c>
      <c r="Y1112" t="n">
        <v>314</v>
      </c>
      <c r="Z1112" t="n">
        <v>281</v>
      </c>
      <c r="AA1112" t="n">
        <v>450</v>
      </c>
      <c r="AB1112" t="n">
        <v>7</v>
      </c>
      <c r="AC1112" t="n">
        <v>7</v>
      </c>
      <c r="AD1112" t="n">
        <v>6</v>
      </c>
      <c r="AE1112" t="n">
        <v>10</v>
      </c>
      <c r="AF1112" t="n">
        <v>3</v>
      </c>
      <c r="AG1112" t="n">
        <v>6</v>
      </c>
      <c r="AH1112" t="n">
        <v>0</v>
      </c>
      <c r="AI1112" t="n">
        <v>2</v>
      </c>
      <c r="AJ1112" t="n">
        <v>2</v>
      </c>
      <c r="AK1112" t="n">
        <v>2</v>
      </c>
      <c r="AL1112" t="n">
        <v>1</v>
      </c>
      <c r="AM1112" t="n">
        <v>1</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HYPERLINK("https://creighton-primo.hosted.exlibrisgroup.com/primo-explore/search?tab=default_tab&amp;search_scope=EVERYTHING&amp;vid=01CRU&amp;lang=en_US&amp;offset=0&amp;query=any,contains,991003933169702656","Catalog Record")</f>
        <v/>
      </c>
      <c r="AT1112">
        <f>HYPERLINK("http://www.worldcat.org/oclc/39485099","WorldCat Record")</f>
        <v/>
      </c>
      <c r="AU1112" t="inlineStr">
        <is>
          <t>35898916:eng</t>
        </is>
      </c>
      <c r="AV1112" t="inlineStr">
        <is>
          <t>39485099</t>
        </is>
      </c>
      <c r="AW1112" t="inlineStr">
        <is>
          <t>991003933169702656</t>
        </is>
      </c>
      <c r="AX1112" t="inlineStr">
        <is>
          <t>991003933169702656</t>
        </is>
      </c>
      <c r="AY1112" t="inlineStr">
        <is>
          <t>2259403560002656</t>
        </is>
      </c>
      <c r="AZ1112" t="inlineStr">
        <is>
          <t>BOOK</t>
        </is>
      </c>
      <c r="BB1112" t="inlineStr">
        <is>
          <t>9780936077321</t>
        </is>
      </c>
      <c r="BC1112" t="inlineStr">
        <is>
          <t>32285004668553</t>
        </is>
      </c>
      <c r="BD1112" t="inlineStr">
        <is>
          <t>893693340</t>
        </is>
      </c>
    </row>
    <row r="1113">
      <c r="A1113" t="inlineStr">
        <is>
          <t>No</t>
        </is>
      </c>
      <c r="B1113" t="inlineStr">
        <is>
          <t>RC552.A5 H36 1984</t>
        </is>
      </c>
      <c r="C1113" t="inlineStr">
        <is>
          <t>0                      RC 0552000A  5                  H  36          1984</t>
        </is>
      </c>
      <c r="D1113" t="inlineStr">
        <is>
          <t>Handbook of psychotherapy for anorexia nervosa and bulimia / edited by David M. Garner, Paul E. Garfinkel ; foreword by Gerald Russell.</t>
        </is>
      </c>
      <c r="F1113" t="inlineStr">
        <is>
          <t>No</t>
        </is>
      </c>
      <c r="G1113" t="inlineStr">
        <is>
          <t>1</t>
        </is>
      </c>
      <c r="H1113" t="inlineStr">
        <is>
          <t>Yes</t>
        </is>
      </c>
      <c r="I1113" t="inlineStr">
        <is>
          <t>No</t>
        </is>
      </c>
      <c r="J1113" t="inlineStr">
        <is>
          <t>0</t>
        </is>
      </c>
      <c r="L1113" t="inlineStr">
        <is>
          <t>New York : Guilford Press, c1984.</t>
        </is>
      </c>
      <c r="M1113" t="inlineStr">
        <is>
          <t>1985</t>
        </is>
      </c>
      <c r="O1113" t="inlineStr">
        <is>
          <t>eng</t>
        </is>
      </c>
      <c r="P1113" t="inlineStr">
        <is>
          <t>nyu</t>
        </is>
      </c>
      <c r="R1113" t="inlineStr">
        <is>
          <t xml:space="preserve">RC </t>
        </is>
      </c>
      <c r="S1113" t="n">
        <v>43</v>
      </c>
      <c r="T1113" t="n">
        <v>43</v>
      </c>
      <c r="U1113" t="inlineStr">
        <is>
          <t>2008-02-10</t>
        </is>
      </c>
      <c r="V1113" t="inlineStr">
        <is>
          <t>2008-02-10</t>
        </is>
      </c>
      <c r="W1113" t="inlineStr">
        <is>
          <t>1991-11-20</t>
        </is>
      </c>
      <c r="X1113" t="inlineStr">
        <is>
          <t>1991-11-20</t>
        </is>
      </c>
      <c r="Y1113" t="n">
        <v>743</v>
      </c>
      <c r="Z1113" t="n">
        <v>624</v>
      </c>
      <c r="AA1113" t="n">
        <v>638</v>
      </c>
      <c r="AB1113" t="n">
        <v>5</v>
      </c>
      <c r="AC1113" t="n">
        <v>5</v>
      </c>
      <c r="AD1113" t="n">
        <v>29</v>
      </c>
      <c r="AE1113" t="n">
        <v>31</v>
      </c>
      <c r="AF1113" t="n">
        <v>16</v>
      </c>
      <c r="AG1113" t="n">
        <v>17</v>
      </c>
      <c r="AH1113" t="n">
        <v>5</v>
      </c>
      <c r="AI1113" t="n">
        <v>6</v>
      </c>
      <c r="AJ1113" t="n">
        <v>14</v>
      </c>
      <c r="AK1113" t="n">
        <v>14</v>
      </c>
      <c r="AL1113" t="n">
        <v>3</v>
      </c>
      <c r="AM1113" t="n">
        <v>3</v>
      </c>
      <c r="AN1113" t="n">
        <v>0</v>
      </c>
      <c r="AO1113" t="n">
        <v>0</v>
      </c>
      <c r="AP1113" t="inlineStr">
        <is>
          <t>No</t>
        </is>
      </c>
      <c r="AQ1113" t="inlineStr">
        <is>
          <t>No</t>
        </is>
      </c>
      <c r="AS1113">
        <f>HYPERLINK("https://creighton-primo.hosted.exlibrisgroup.com/primo-explore/search?tab=default_tab&amp;search_scope=EVERYTHING&amp;vid=01CRU&amp;lang=en_US&amp;offset=0&amp;query=any,contains,991000514189702656","Catalog Record")</f>
        <v/>
      </c>
      <c r="AT1113">
        <f>HYPERLINK("http://www.worldcat.org/oclc/11262131","WorldCat Record")</f>
        <v/>
      </c>
      <c r="AU1113" t="inlineStr">
        <is>
          <t>3870040:eng</t>
        </is>
      </c>
      <c r="AV1113" t="inlineStr">
        <is>
          <t>11262131</t>
        </is>
      </c>
      <c r="AW1113" t="inlineStr">
        <is>
          <t>991000514189702656</t>
        </is>
      </c>
      <c r="AX1113" t="inlineStr">
        <is>
          <t>991000514189702656</t>
        </is>
      </c>
      <c r="AY1113" t="inlineStr">
        <is>
          <t>2265966150002656</t>
        </is>
      </c>
      <c r="AZ1113" t="inlineStr">
        <is>
          <t>BOOK</t>
        </is>
      </c>
      <c r="BB1113" t="inlineStr">
        <is>
          <t>9780898626421</t>
        </is>
      </c>
      <c r="BC1113" t="inlineStr">
        <is>
          <t>32285000841543</t>
        </is>
      </c>
      <c r="BD1113" t="inlineStr">
        <is>
          <t>893438327</t>
        </is>
      </c>
    </row>
    <row r="1114">
      <c r="A1114" t="inlineStr">
        <is>
          <t>No</t>
        </is>
      </c>
      <c r="B1114" t="inlineStr">
        <is>
          <t>RC552.A5 K636 2003</t>
        </is>
      </c>
      <c r="C1114" t="inlineStr">
        <is>
          <t>0                      RC 0552000A  5                  K  636         2003</t>
        </is>
      </c>
      <c r="D1114" t="inlineStr">
        <is>
          <t>Appetites : why women want / Caroline Knapp.</t>
        </is>
      </c>
      <c r="F1114" t="inlineStr">
        <is>
          <t>No</t>
        </is>
      </c>
      <c r="G1114" t="inlineStr">
        <is>
          <t>1</t>
        </is>
      </c>
      <c r="H1114" t="inlineStr">
        <is>
          <t>No</t>
        </is>
      </c>
      <c r="I1114" t="inlineStr">
        <is>
          <t>No</t>
        </is>
      </c>
      <c r="J1114" t="inlineStr">
        <is>
          <t>0</t>
        </is>
      </c>
      <c r="K1114" t="inlineStr">
        <is>
          <t>Knapp, Caroline, 1959-2002.</t>
        </is>
      </c>
      <c r="L1114" t="inlineStr">
        <is>
          <t>New York : Counterpoint, c2003.</t>
        </is>
      </c>
      <c r="M1114" t="inlineStr">
        <is>
          <t>2003</t>
        </is>
      </c>
      <c r="O1114" t="inlineStr">
        <is>
          <t>eng</t>
        </is>
      </c>
      <c r="P1114" t="inlineStr">
        <is>
          <t>nyu</t>
        </is>
      </c>
      <c r="R1114" t="inlineStr">
        <is>
          <t xml:space="preserve">RC </t>
        </is>
      </c>
      <c r="S1114" t="n">
        <v>23</v>
      </c>
      <c r="T1114" t="n">
        <v>23</v>
      </c>
      <c r="U1114" t="inlineStr">
        <is>
          <t>2008-04-05</t>
        </is>
      </c>
      <c r="V1114" t="inlineStr">
        <is>
          <t>2008-04-05</t>
        </is>
      </c>
      <c r="W1114" t="inlineStr">
        <is>
          <t>2003-07-15</t>
        </is>
      </c>
      <c r="X1114" t="inlineStr">
        <is>
          <t>2003-07-15</t>
        </is>
      </c>
      <c r="Y1114" t="n">
        <v>862</v>
      </c>
      <c r="Z1114" t="n">
        <v>796</v>
      </c>
      <c r="AA1114" t="n">
        <v>1357</v>
      </c>
      <c r="AB1114" t="n">
        <v>6</v>
      </c>
      <c r="AC1114" t="n">
        <v>15</v>
      </c>
      <c r="AD1114" t="n">
        <v>17</v>
      </c>
      <c r="AE1114" t="n">
        <v>23</v>
      </c>
      <c r="AF1114" t="n">
        <v>7</v>
      </c>
      <c r="AG1114" t="n">
        <v>10</v>
      </c>
      <c r="AH1114" t="n">
        <v>3</v>
      </c>
      <c r="AI1114" t="n">
        <v>5</v>
      </c>
      <c r="AJ1114" t="n">
        <v>10</v>
      </c>
      <c r="AK1114" t="n">
        <v>12</v>
      </c>
      <c r="AL1114" t="n">
        <v>3</v>
      </c>
      <c r="AM1114" t="n">
        <v>4</v>
      </c>
      <c r="AN1114" t="n">
        <v>0</v>
      </c>
      <c r="AO1114" t="n">
        <v>0</v>
      </c>
      <c r="AP1114" t="inlineStr">
        <is>
          <t>No</t>
        </is>
      </c>
      <c r="AQ1114" t="inlineStr">
        <is>
          <t>No</t>
        </is>
      </c>
      <c r="AS1114">
        <f>HYPERLINK("https://creighton-primo.hosted.exlibrisgroup.com/primo-explore/search?tab=default_tab&amp;search_scope=EVERYTHING&amp;vid=01CRU&amp;lang=en_US&amp;offset=0&amp;query=any,contains,991004078129702656","Catalog Record")</f>
        <v/>
      </c>
      <c r="AT1114">
        <f>HYPERLINK("http://www.worldcat.org/oclc/50868247","WorldCat Record")</f>
        <v/>
      </c>
      <c r="AU1114" t="inlineStr">
        <is>
          <t>800879780:eng</t>
        </is>
      </c>
      <c r="AV1114" t="inlineStr">
        <is>
          <t>50868247</t>
        </is>
      </c>
      <c r="AW1114" t="inlineStr">
        <is>
          <t>991004078129702656</t>
        </is>
      </c>
      <c r="AX1114" t="inlineStr">
        <is>
          <t>991004078129702656</t>
        </is>
      </c>
      <c r="AY1114" t="inlineStr">
        <is>
          <t>2265349550002656</t>
        </is>
      </c>
      <c r="AZ1114" t="inlineStr">
        <is>
          <t>BOOK</t>
        </is>
      </c>
      <c r="BB1114" t="inlineStr">
        <is>
          <t>9781582432250</t>
        </is>
      </c>
      <c r="BC1114" t="inlineStr">
        <is>
          <t>32285004755996</t>
        </is>
      </c>
      <c r="BD1114" t="inlineStr">
        <is>
          <t>893687340</t>
        </is>
      </c>
    </row>
    <row r="1115">
      <c r="A1115" t="inlineStr">
        <is>
          <t>No</t>
        </is>
      </c>
      <c r="B1115" t="inlineStr">
        <is>
          <t>RC552.A5 M56</t>
        </is>
      </c>
      <c r="C1115" t="inlineStr">
        <is>
          <t>0                      RC 0552000A  5                  M  56</t>
        </is>
      </c>
      <c r="D1115" t="inlineStr">
        <is>
          <t>Psychosomatic families : anorexia nervosa in context / Salvador Minuchin, Bernice L. Rosman, Lester Baker, with a contribution by Ronald Liebman. --</t>
        </is>
      </c>
      <c r="F1115" t="inlineStr">
        <is>
          <t>No</t>
        </is>
      </c>
      <c r="G1115" t="inlineStr">
        <is>
          <t>1</t>
        </is>
      </c>
      <c r="H1115" t="inlineStr">
        <is>
          <t>Yes</t>
        </is>
      </c>
      <c r="I1115" t="inlineStr">
        <is>
          <t>No</t>
        </is>
      </c>
      <c r="J1115" t="inlineStr">
        <is>
          <t>0</t>
        </is>
      </c>
      <c r="K1115" t="inlineStr">
        <is>
          <t>Minuchin, Salvador.</t>
        </is>
      </c>
      <c r="L1115" t="inlineStr">
        <is>
          <t>Cambridge, Mass. : Harvard University Press, 1978.</t>
        </is>
      </c>
      <c r="M1115" t="inlineStr">
        <is>
          <t>1978</t>
        </is>
      </c>
      <c r="O1115" t="inlineStr">
        <is>
          <t>eng</t>
        </is>
      </c>
      <c r="P1115" t="inlineStr">
        <is>
          <t>mau</t>
        </is>
      </c>
      <c r="R1115" t="inlineStr">
        <is>
          <t xml:space="preserve">RC </t>
        </is>
      </c>
      <c r="S1115" t="n">
        <v>34</v>
      </c>
      <c r="T1115" t="n">
        <v>43</v>
      </c>
      <c r="U1115" t="inlineStr">
        <is>
          <t>2005-02-20</t>
        </is>
      </c>
      <c r="V1115" t="inlineStr">
        <is>
          <t>2005-02-20</t>
        </is>
      </c>
      <c r="W1115" t="inlineStr">
        <is>
          <t>1990-04-17</t>
        </is>
      </c>
      <c r="X1115" t="inlineStr">
        <is>
          <t>1990-04-17</t>
        </is>
      </c>
      <c r="Y1115" t="n">
        <v>1122</v>
      </c>
      <c r="Z1115" t="n">
        <v>905</v>
      </c>
      <c r="AA1115" t="n">
        <v>1205</v>
      </c>
      <c r="AB1115" t="n">
        <v>8</v>
      </c>
      <c r="AC1115" t="n">
        <v>9</v>
      </c>
      <c r="AD1115" t="n">
        <v>37</v>
      </c>
      <c r="AE1115" t="n">
        <v>38</v>
      </c>
      <c r="AF1115" t="n">
        <v>20</v>
      </c>
      <c r="AG1115" t="n">
        <v>20</v>
      </c>
      <c r="AH1115" t="n">
        <v>5</v>
      </c>
      <c r="AI1115" t="n">
        <v>5</v>
      </c>
      <c r="AJ1115" t="n">
        <v>17</v>
      </c>
      <c r="AK1115" t="n">
        <v>17</v>
      </c>
      <c r="AL1115" t="n">
        <v>4</v>
      </c>
      <c r="AM1115" t="n">
        <v>5</v>
      </c>
      <c r="AN1115" t="n">
        <v>0</v>
      </c>
      <c r="AO1115" t="n">
        <v>0</v>
      </c>
      <c r="AP1115" t="inlineStr">
        <is>
          <t>No</t>
        </is>
      </c>
      <c r="AQ1115" t="inlineStr">
        <is>
          <t>Yes</t>
        </is>
      </c>
      <c r="AR1115">
        <f>HYPERLINK("http://catalog.hathitrust.org/Record/000017563","HathiTrust Record")</f>
        <v/>
      </c>
      <c r="AS1115">
        <f>HYPERLINK("https://creighton-primo.hosted.exlibrisgroup.com/primo-explore/search?tab=default_tab&amp;search_scope=EVERYTHING&amp;vid=01CRU&amp;lang=en_US&amp;offset=0&amp;query=any,contains,991001781869702656","Catalog Record")</f>
        <v/>
      </c>
      <c r="AT1115">
        <f>HYPERLINK("http://www.worldcat.org/oclc/3649730","WorldCat Record")</f>
        <v/>
      </c>
      <c r="AU1115" t="inlineStr">
        <is>
          <t>375859410:eng</t>
        </is>
      </c>
      <c r="AV1115" t="inlineStr">
        <is>
          <t>3649730</t>
        </is>
      </c>
      <c r="AW1115" t="inlineStr">
        <is>
          <t>991001781869702656</t>
        </is>
      </c>
      <c r="AX1115" t="inlineStr">
        <is>
          <t>991001781869702656</t>
        </is>
      </c>
      <c r="AY1115" t="inlineStr">
        <is>
          <t>2255887720002656</t>
        </is>
      </c>
      <c r="AZ1115" t="inlineStr">
        <is>
          <t>BOOK</t>
        </is>
      </c>
      <c r="BB1115" t="inlineStr">
        <is>
          <t>9780674722200</t>
        </is>
      </c>
      <c r="BC1115" t="inlineStr">
        <is>
          <t>32285000121540</t>
        </is>
      </c>
      <c r="BD1115" t="inlineStr">
        <is>
          <t>893690914</t>
        </is>
      </c>
    </row>
    <row r="1116">
      <c r="A1116" t="inlineStr">
        <is>
          <t>No</t>
        </is>
      </c>
      <c r="B1116" t="inlineStr">
        <is>
          <t>RC552.A5 N48 1983</t>
        </is>
      </c>
      <c r="C1116" t="inlineStr">
        <is>
          <t>0                      RC 0552000A  5                  N  48          1983</t>
        </is>
      </c>
      <c r="D1116" t="inlineStr">
        <is>
          <t>Anorexia nervosa and bulimia : a handbook for counselors and therapists / Patricia A. Neuman and Patricia A. Halvorson.</t>
        </is>
      </c>
      <c r="F1116" t="inlineStr">
        <is>
          <t>No</t>
        </is>
      </c>
      <c r="G1116" t="inlineStr">
        <is>
          <t>1</t>
        </is>
      </c>
      <c r="H1116" t="inlineStr">
        <is>
          <t>No</t>
        </is>
      </c>
      <c r="I1116" t="inlineStr">
        <is>
          <t>No</t>
        </is>
      </c>
      <c r="J1116" t="inlineStr">
        <is>
          <t>0</t>
        </is>
      </c>
      <c r="K1116" t="inlineStr">
        <is>
          <t>Neuman, Patricia A.</t>
        </is>
      </c>
      <c r="L1116" t="inlineStr">
        <is>
          <t>New York : Van Nostrand Reinhold, c1983.</t>
        </is>
      </c>
      <c r="M1116" t="inlineStr">
        <is>
          <t>1983</t>
        </is>
      </c>
      <c r="O1116" t="inlineStr">
        <is>
          <t>eng</t>
        </is>
      </c>
      <c r="P1116" t="inlineStr">
        <is>
          <t>nyu</t>
        </is>
      </c>
      <c r="R1116" t="inlineStr">
        <is>
          <t xml:space="preserve">RC </t>
        </is>
      </c>
      <c r="S1116" t="n">
        <v>65</v>
      </c>
      <c r="T1116" t="n">
        <v>65</v>
      </c>
      <c r="U1116" t="inlineStr">
        <is>
          <t>2008-02-10</t>
        </is>
      </c>
      <c r="V1116" t="inlineStr">
        <is>
          <t>2008-02-10</t>
        </is>
      </c>
      <c r="W1116" t="inlineStr">
        <is>
          <t>1990-04-17</t>
        </is>
      </c>
      <c r="X1116" t="inlineStr">
        <is>
          <t>1990-04-17</t>
        </is>
      </c>
      <c r="Y1116" t="n">
        <v>617</v>
      </c>
      <c r="Z1116" t="n">
        <v>546</v>
      </c>
      <c r="AA1116" t="n">
        <v>554</v>
      </c>
      <c r="AB1116" t="n">
        <v>8</v>
      </c>
      <c r="AC1116" t="n">
        <v>8</v>
      </c>
      <c r="AD1116" t="n">
        <v>30</v>
      </c>
      <c r="AE1116" t="n">
        <v>30</v>
      </c>
      <c r="AF1116" t="n">
        <v>10</v>
      </c>
      <c r="AG1116" t="n">
        <v>10</v>
      </c>
      <c r="AH1116" t="n">
        <v>6</v>
      </c>
      <c r="AI1116" t="n">
        <v>6</v>
      </c>
      <c r="AJ1116" t="n">
        <v>14</v>
      </c>
      <c r="AK1116" t="n">
        <v>14</v>
      </c>
      <c r="AL1116" t="n">
        <v>7</v>
      </c>
      <c r="AM1116" t="n">
        <v>7</v>
      </c>
      <c r="AN1116" t="n">
        <v>0</v>
      </c>
      <c r="AO1116" t="n">
        <v>0</v>
      </c>
      <c r="AP1116" t="inlineStr">
        <is>
          <t>No</t>
        </is>
      </c>
      <c r="AQ1116" t="inlineStr">
        <is>
          <t>Yes</t>
        </is>
      </c>
      <c r="AR1116">
        <f>HYPERLINK("http://catalog.hathitrust.org/Record/000205522","HathiTrust Record")</f>
        <v/>
      </c>
      <c r="AS1116">
        <f>HYPERLINK("https://creighton-primo.hosted.exlibrisgroup.com/primo-explore/search?tab=default_tab&amp;search_scope=EVERYTHING&amp;vid=01CRU&amp;lang=en_US&amp;offset=0&amp;query=any,contains,991000087669702656","Catalog Record")</f>
        <v/>
      </c>
      <c r="AT1116">
        <f>HYPERLINK("http://www.worldcat.org/oclc/8866696","WorldCat Record")</f>
        <v/>
      </c>
      <c r="AU1116" t="inlineStr">
        <is>
          <t>427599596:eng</t>
        </is>
      </c>
      <c r="AV1116" t="inlineStr">
        <is>
          <t>8866696</t>
        </is>
      </c>
      <c r="AW1116" t="inlineStr">
        <is>
          <t>991000087669702656</t>
        </is>
      </c>
      <c r="AX1116" t="inlineStr">
        <is>
          <t>991000087669702656</t>
        </is>
      </c>
      <c r="AY1116" t="inlineStr">
        <is>
          <t>2262375050002656</t>
        </is>
      </c>
      <c r="AZ1116" t="inlineStr">
        <is>
          <t>BOOK</t>
        </is>
      </c>
      <c r="BB1116" t="inlineStr">
        <is>
          <t>9780442268497</t>
        </is>
      </c>
      <c r="BC1116" t="inlineStr">
        <is>
          <t>32285000121557</t>
        </is>
      </c>
      <c r="BD1116" t="inlineStr">
        <is>
          <t>893419192</t>
        </is>
      </c>
    </row>
    <row r="1117">
      <c r="A1117" t="inlineStr">
        <is>
          <t>No</t>
        </is>
      </c>
      <c r="B1117" t="inlineStr">
        <is>
          <t>RC552.A5 P79 1984</t>
        </is>
      </c>
      <c r="C1117" t="inlineStr">
        <is>
          <t>0                      RC 0552000A  5                  P  79          1984</t>
        </is>
      </c>
      <c r="D1117" t="inlineStr">
        <is>
          <t>The Psychobiology of anorexia nervosa / edited by K.M. Pirke and D. Ploog.</t>
        </is>
      </c>
      <c r="F1117" t="inlineStr">
        <is>
          <t>No</t>
        </is>
      </c>
      <c r="G1117" t="inlineStr">
        <is>
          <t>1</t>
        </is>
      </c>
      <c r="H1117" t="inlineStr">
        <is>
          <t>No</t>
        </is>
      </c>
      <c r="I1117" t="inlineStr">
        <is>
          <t>No</t>
        </is>
      </c>
      <c r="J1117" t="inlineStr">
        <is>
          <t>0</t>
        </is>
      </c>
      <c r="L1117" t="inlineStr">
        <is>
          <t>Berlin ; New York : Springer-Verlag, 1984.</t>
        </is>
      </c>
      <c r="M1117" t="inlineStr">
        <is>
          <t>1984</t>
        </is>
      </c>
      <c r="O1117" t="inlineStr">
        <is>
          <t>eng</t>
        </is>
      </c>
      <c r="P1117" t="inlineStr">
        <is>
          <t xml:space="preserve">gw </t>
        </is>
      </c>
      <c r="R1117" t="inlineStr">
        <is>
          <t xml:space="preserve">RC </t>
        </is>
      </c>
      <c r="S1117" t="n">
        <v>60</v>
      </c>
      <c r="T1117" t="n">
        <v>60</v>
      </c>
      <c r="U1117" t="inlineStr">
        <is>
          <t>2009-02-17</t>
        </is>
      </c>
      <c r="V1117" t="inlineStr">
        <is>
          <t>2009-02-17</t>
        </is>
      </c>
      <c r="W1117" t="inlineStr">
        <is>
          <t>1990-02-13</t>
        </is>
      </c>
      <c r="X1117" t="inlineStr">
        <is>
          <t>1990-02-13</t>
        </is>
      </c>
      <c r="Y1117" t="n">
        <v>259</v>
      </c>
      <c r="Z1117" t="n">
        <v>187</v>
      </c>
      <c r="AA1117" t="n">
        <v>214</v>
      </c>
      <c r="AB1117" t="n">
        <v>2</v>
      </c>
      <c r="AC1117" t="n">
        <v>2</v>
      </c>
      <c r="AD1117" t="n">
        <v>3</v>
      </c>
      <c r="AE1117" t="n">
        <v>4</v>
      </c>
      <c r="AF1117" t="n">
        <v>0</v>
      </c>
      <c r="AG1117" t="n">
        <v>1</v>
      </c>
      <c r="AH1117" t="n">
        <v>1</v>
      </c>
      <c r="AI1117" t="n">
        <v>1</v>
      </c>
      <c r="AJ1117" t="n">
        <v>1</v>
      </c>
      <c r="AK1117" t="n">
        <v>2</v>
      </c>
      <c r="AL1117" t="n">
        <v>1</v>
      </c>
      <c r="AM1117" t="n">
        <v>1</v>
      </c>
      <c r="AN1117" t="n">
        <v>0</v>
      </c>
      <c r="AO1117" t="n">
        <v>0</v>
      </c>
      <c r="AP1117" t="inlineStr">
        <is>
          <t>No</t>
        </is>
      </c>
      <c r="AQ1117" t="inlineStr">
        <is>
          <t>Yes</t>
        </is>
      </c>
      <c r="AR1117">
        <f>HYPERLINK("http://catalog.hathitrust.org/Record/008580190","HathiTrust Record")</f>
        <v/>
      </c>
      <c r="AS1117">
        <f>HYPERLINK("https://creighton-primo.hosted.exlibrisgroup.com/primo-explore/search?tab=default_tab&amp;search_scope=EVERYTHING&amp;vid=01CRU&amp;lang=en_US&amp;offset=0&amp;query=any,contains,991000379429702656","Catalog Record")</f>
        <v/>
      </c>
      <c r="AT1117">
        <f>HYPERLINK("http://www.worldcat.org/oclc/10483895","WorldCat Record")</f>
        <v/>
      </c>
      <c r="AU1117" t="inlineStr">
        <is>
          <t>472750541:eng</t>
        </is>
      </c>
      <c r="AV1117" t="inlineStr">
        <is>
          <t>10483895</t>
        </is>
      </c>
      <c r="AW1117" t="inlineStr">
        <is>
          <t>991000379429702656</t>
        </is>
      </c>
      <c r="AX1117" t="inlineStr">
        <is>
          <t>991000379429702656</t>
        </is>
      </c>
      <c r="AY1117" t="inlineStr">
        <is>
          <t>2259949850002656</t>
        </is>
      </c>
      <c r="AZ1117" t="inlineStr">
        <is>
          <t>BOOK</t>
        </is>
      </c>
      <c r="BB1117" t="inlineStr">
        <is>
          <t>9780387131962</t>
        </is>
      </c>
      <c r="BC1117" t="inlineStr">
        <is>
          <t>32285004878624</t>
        </is>
      </c>
      <c r="BD1117" t="inlineStr">
        <is>
          <t>893896822</t>
        </is>
      </c>
    </row>
    <row r="1118">
      <c r="A1118" t="inlineStr">
        <is>
          <t>No</t>
        </is>
      </c>
      <c r="B1118" t="inlineStr">
        <is>
          <t>RC552.A5 R83 1984</t>
        </is>
      </c>
      <c r="C1118" t="inlineStr">
        <is>
          <t>0                      RC 0552000A  5                  R  83          1984</t>
        </is>
      </c>
      <c r="D1118" t="inlineStr">
        <is>
          <t>Readings in anorexia nervosa and eating disorders / Douglas H. Ruben.</t>
        </is>
      </c>
      <c r="F1118" t="inlineStr">
        <is>
          <t>No</t>
        </is>
      </c>
      <c r="G1118" t="inlineStr">
        <is>
          <t>1</t>
        </is>
      </c>
      <c r="H1118" t="inlineStr">
        <is>
          <t>No</t>
        </is>
      </c>
      <c r="I1118" t="inlineStr">
        <is>
          <t>No</t>
        </is>
      </c>
      <c r="J1118" t="inlineStr">
        <is>
          <t>0</t>
        </is>
      </c>
      <c r="K1118" t="inlineStr">
        <is>
          <t>Ruben, Douglas H.</t>
        </is>
      </c>
      <c r="L1118" t="inlineStr">
        <is>
          <t>Guilford, Conn. : Special Learning Corp., 1984.</t>
        </is>
      </c>
      <c r="M1118" t="inlineStr">
        <is>
          <t>1984</t>
        </is>
      </c>
      <c r="O1118" t="inlineStr">
        <is>
          <t>eng</t>
        </is>
      </c>
      <c r="P1118" t="inlineStr">
        <is>
          <t>ctu</t>
        </is>
      </c>
      <c r="R1118" t="inlineStr">
        <is>
          <t xml:space="preserve">RC </t>
        </is>
      </c>
      <c r="S1118" t="n">
        <v>82</v>
      </c>
      <c r="T1118" t="n">
        <v>82</v>
      </c>
      <c r="U1118" t="inlineStr">
        <is>
          <t>2007-12-05</t>
        </is>
      </c>
      <c r="V1118" t="inlineStr">
        <is>
          <t>2007-12-05</t>
        </is>
      </c>
      <c r="W1118" t="inlineStr">
        <is>
          <t>1990-02-21</t>
        </is>
      </c>
      <c r="X1118" t="inlineStr">
        <is>
          <t>1990-02-21</t>
        </is>
      </c>
      <c r="Y1118" t="n">
        <v>77</v>
      </c>
      <c r="Z1118" t="n">
        <v>76</v>
      </c>
      <c r="AA1118" t="n">
        <v>77</v>
      </c>
      <c r="AB1118" t="n">
        <v>2</v>
      </c>
      <c r="AC1118" t="n">
        <v>2</v>
      </c>
      <c r="AD1118" t="n">
        <v>2</v>
      </c>
      <c r="AE1118" t="n">
        <v>2</v>
      </c>
      <c r="AF1118" t="n">
        <v>1</v>
      </c>
      <c r="AG1118" t="n">
        <v>1</v>
      </c>
      <c r="AH1118" t="n">
        <v>0</v>
      </c>
      <c r="AI1118" t="n">
        <v>0</v>
      </c>
      <c r="AJ1118" t="n">
        <v>1</v>
      </c>
      <c r="AK1118" t="n">
        <v>1</v>
      </c>
      <c r="AL1118" t="n">
        <v>1</v>
      </c>
      <c r="AM1118" t="n">
        <v>1</v>
      </c>
      <c r="AN1118" t="n">
        <v>0</v>
      </c>
      <c r="AO1118" t="n">
        <v>0</v>
      </c>
      <c r="AP1118" t="inlineStr">
        <is>
          <t>No</t>
        </is>
      </c>
      <c r="AQ1118" t="inlineStr">
        <is>
          <t>Yes</t>
        </is>
      </c>
      <c r="AR1118">
        <f>HYPERLINK("http://catalog.hathitrust.org/Record/101884106","HathiTrust Record")</f>
        <v/>
      </c>
      <c r="AS1118">
        <f>HYPERLINK("https://creighton-primo.hosted.exlibrisgroup.com/primo-explore/search?tab=default_tab&amp;search_scope=EVERYTHING&amp;vid=01CRU&amp;lang=en_US&amp;offset=0&amp;query=any,contains,991000508059702656","Catalog Record")</f>
        <v/>
      </c>
      <c r="AT1118">
        <f>HYPERLINK("http://www.worldcat.org/oclc/11225070","WorldCat Record")</f>
        <v/>
      </c>
      <c r="AU1118" t="inlineStr">
        <is>
          <t>4224463198:eng</t>
        </is>
      </c>
      <c r="AV1118" t="inlineStr">
        <is>
          <t>11225070</t>
        </is>
      </c>
      <c r="AW1118" t="inlineStr">
        <is>
          <t>991000508059702656</t>
        </is>
      </c>
      <c r="AX1118" t="inlineStr">
        <is>
          <t>991000508059702656</t>
        </is>
      </c>
      <c r="AY1118" t="inlineStr">
        <is>
          <t>2254909230002656</t>
        </is>
      </c>
      <c r="AZ1118" t="inlineStr">
        <is>
          <t>BOOK</t>
        </is>
      </c>
      <c r="BB1118" t="inlineStr">
        <is>
          <t>9780895684103</t>
        </is>
      </c>
      <c r="BC1118" t="inlineStr">
        <is>
          <t>32285000058643</t>
        </is>
      </c>
      <c r="BD1118" t="inlineStr">
        <is>
          <t>893601807</t>
        </is>
      </c>
    </row>
    <row r="1119">
      <c r="A1119" t="inlineStr">
        <is>
          <t>No</t>
        </is>
      </c>
      <c r="B1119" t="inlineStr">
        <is>
          <t>RC552.A5 S74 1983</t>
        </is>
      </c>
      <c r="C1119" t="inlineStr">
        <is>
          <t>0                      RC 0552000A  5                  S  74          1983</t>
        </is>
      </c>
      <c r="D1119" t="inlineStr">
        <is>
          <t>Starving women : a psychology of anorexia nervosa / Angelyn Spignesi.</t>
        </is>
      </c>
      <c r="F1119" t="inlineStr">
        <is>
          <t>No</t>
        </is>
      </c>
      <c r="G1119" t="inlineStr">
        <is>
          <t>1</t>
        </is>
      </c>
      <c r="H1119" t="inlineStr">
        <is>
          <t>No</t>
        </is>
      </c>
      <c r="I1119" t="inlineStr">
        <is>
          <t>No</t>
        </is>
      </c>
      <c r="J1119" t="inlineStr">
        <is>
          <t>0</t>
        </is>
      </c>
      <c r="K1119" t="inlineStr">
        <is>
          <t>Spignesi, Angelyn.</t>
        </is>
      </c>
      <c r="L1119" t="inlineStr">
        <is>
          <t>Dallas, Tex. : Spring Publications, c1983.</t>
        </is>
      </c>
      <c r="M1119" t="inlineStr">
        <is>
          <t>1983</t>
        </is>
      </c>
      <c r="O1119" t="inlineStr">
        <is>
          <t>eng</t>
        </is>
      </c>
      <c r="P1119" t="inlineStr">
        <is>
          <t>txu</t>
        </is>
      </c>
      <c r="R1119" t="inlineStr">
        <is>
          <t xml:space="preserve">RC </t>
        </is>
      </c>
      <c r="S1119" t="n">
        <v>54</v>
      </c>
      <c r="T1119" t="n">
        <v>54</v>
      </c>
      <c r="U1119" t="inlineStr">
        <is>
          <t>2008-04-22</t>
        </is>
      </c>
      <c r="V1119" t="inlineStr">
        <is>
          <t>2008-04-22</t>
        </is>
      </c>
      <c r="W1119" t="inlineStr">
        <is>
          <t>1990-02-08</t>
        </is>
      </c>
      <c r="X1119" t="inlineStr">
        <is>
          <t>1990-02-08</t>
        </is>
      </c>
      <c r="Y1119" t="n">
        <v>249</v>
      </c>
      <c r="Z1119" t="n">
        <v>210</v>
      </c>
      <c r="AA1119" t="n">
        <v>217</v>
      </c>
      <c r="AB1119" t="n">
        <v>3</v>
      </c>
      <c r="AC1119" t="n">
        <v>3</v>
      </c>
      <c r="AD1119" t="n">
        <v>10</v>
      </c>
      <c r="AE1119" t="n">
        <v>10</v>
      </c>
      <c r="AF1119" t="n">
        <v>5</v>
      </c>
      <c r="AG1119" t="n">
        <v>5</v>
      </c>
      <c r="AH1119" t="n">
        <v>1</v>
      </c>
      <c r="AI1119" t="n">
        <v>1</v>
      </c>
      <c r="AJ1119" t="n">
        <v>5</v>
      </c>
      <c r="AK1119" t="n">
        <v>5</v>
      </c>
      <c r="AL1119" t="n">
        <v>2</v>
      </c>
      <c r="AM1119" t="n">
        <v>2</v>
      </c>
      <c r="AN1119" t="n">
        <v>0</v>
      </c>
      <c r="AO1119" t="n">
        <v>0</v>
      </c>
      <c r="AP1119" t="inlineStr">
        <is>
          <t>No</t>
        </is>
      </c>
      <c r="AQ1119" t="inlineStr">
        <is>
          <t>Yes</t>
        </is>
      </c>
      <c r="AR1119">
        <f>HYPERLINK("http://catalog.hathitrust.org/Record/000121906","HathiTrust Record")</f>
        <v/>
      </c>
      <c r="AS1119">
        <f>HYPERLINK("https://creighton-primo.hosted.exlibrisgroup.com/primo-explore/search?tab=default_tab&amp;search_scope=EVERYTHING&amp;vid=01CRU&amp;lang=en_US&amp;offset=0&amp;query=any,contains,991000301019702656","Catalog Record")</f>
        <v/>
      </c>
      <c r="AT1119">
        <f>HYPERLINK("http://www.worldcat.org/oclc/10022275","WorldCat Record")</f>
        <v/>
      </c>
      <c r="AU1119" t="inlineStr">
        <is>
          <t>198552429:eng</t>
        </is>
      </c>
      <c r="AV1119" t="inlineStr">
        <is>
          <t>10022275</t>
        </is>
      </c>
      <c r="AW1119" t="inlineStr">
        <is>
          <t>991000301019702656</t>
        </is>
      </c>
      <c r="AX1119" t="inlineStr">
        <is>
          <t>991000301019702656</t>
        </is>
      </c>
      <c r="AY1119" t="inlineStr">
        <is>
          <t>2268494460002656</t>
        </is>
      </c>
      <c r="AZ1119" t="inlineStr">
        <is>
          <t>BOOK</t>
        </is>
      </c>
      <c r="BB1119" t="inlineStr">
        <is>
          <t>9780882143255</t>
        </is>
      </c>
      <c r="BC1119" t="inlineStr">
        <is>
          <t>32285000008689</t>
        </is>
      </c>
      <c r="BD1119" t="inlineStr">
        <is>
          <t>893689600</t>
        </is>
      </c>
    </row>
    <row r="1120">
      <c r="A1120" t="inlineStr">
        <is>
          <t>No</t>
        </is>
      </c>
      <c r="B1120" t="inlineStr">
        <is>
          <t>RC552.A5 S79 1989</t>
        </is>
      </c>
      <c r="C1120" t="inlineStr">
        <is>
          <t>0                      RC 0552000A  5                  S  79          1989</t>
        </is>
      </c>
      <c r="D1120" t="inlineStr">
        <is>
          <t>Unlocking the family door : a systemic approach to the understanding and treatment of anorexia nervosa / by Helm Stierlin &amp; Gunthard Weber.</t>
        </is>
      </c>
      <c r="F1120" t="inlineStr">
        <is>
          <t>No</t>
        </is>
      </c>
      <c r="G1120" t="inlineStr">
        <is>
          <t>1</t>
        </is>
      </c>
      <c r="H1120" t="inlineStr">
        <is>
          <t>No</t>
        </is>
      </c>
      <c r="I1120" t="inlineStr">
        <is>
          <t>No</t>
        </is>
      </c>
      <c r="J1120" t="inlineStr">
        <is>
          <t>0</t>
        </is>
      </c>
      <c r="K1120" t="inlineStr">
        <is>
          <t>Stierlin, Helm.</t>
        </is>
      </c>
      <c r="L1120" t="inlineStr">
        <is>
          <t>New York : Brunner/Mazel, c1989.</t>
        </is>
      </c>
      <c r="M1120" t="inlineStr">
        <is>
          <t>1989</t>
        </is>
      </c>
      <c r="O1120" t="inlineStr">
        <is>
          <t>eng</t>
        </is>
      </c>
      <c r="P1120" t="inlineStr">
        <is>
          <t>nyu</t>
        </is>
      </c>
      <c r="R1120" t="inlineStr">
        <is>
          <t xml:space="preserve">RC </t>
        </is>
      </c>
      <c r="S1120" t="n">
        <v>34</v>
      </c>
      <c r="T1120" t="n">
        <v>34</v>
      </c>
      <c r="U1120" t="inlineStr">
        <is>
          <t>1999-03-06</t>
        </is>
      </c>
      <c r="V1120" t="inlineStr">
        <is>
          <t>1999-03-06</t>
        </is>
      </c>
      <c r="W1120" t="inlineStr">
        <is>
          <t>1991-07-25</t>
        </is>
      </c>
      <c r="X1120" t="inlineStr">
        <is>
          <t>1991-07-25</t>
        </is>
      </c>
      <c r="Y1120" t="n">
        <v>468</v>
      </c>
      <c r="Z1120" t="n">
        <v>409</v>
      </c>
      <c r="AA1120" t="n">
        <v>416</v>
      </c>
      <c r="AB1120" t="n">
        <v>5</v>
      </c>
      <c r="AC1120" t="n">
        <v>5</v>
      </c>
      <c r="AD1120" t="n">
        <v>19</v>
      </c>
      <c r="AE1120" t="n">
        <v>19</v>
      </c>
      <c r="AF1120" t="n">
        <v>6</v>
      </c>
      <c r="AG1120" t="n">
        <v>6</v>
      </c>
      <c r="AH1120" t="n">
        <v>5</v>
      </c>
      <c r="AI1120" t="n">
        <v>5</v>
      </c>
      <c r="AJ1120" t="n">
        <v>8</v>
      </c>
      <c r="AK1120" t="n">
        <v>8</v>
      </c>
      <c r="AL1120" t="n">
        <v>4</v>
      </c>
      <c r="AM1120" t="n">
        <v>4</v>
      </c>
      <c r="AN1120" t="n">
        <v>0</v>
      </c>
      <c r="AO1120" t="n">
        <v>0</v>
      </c>
      <c r="AP1120" t="inlineStr">
        <is>
          <t>No</t>
        </is>
      </c>
      <c r="AQ1120" t="inlineStr">
        <is>
          <t>Yes</t>
        </is>
      </c>
      <c r="AR1120">
        <f>HYPERLINK("http://catalog.hathitrust.org/Record/001536519","HathiTrust Record")</f>
        <v/>
      </c>
      <c r="AS1120">
        <f>HYPERLINK("https://creighton-primo.hosted.exlibrisgroup.com/primo-explore/search?tab=default_tab&amp;search_scope=EVERYTHING&amp;vid=01CRU&amp;lang=en_US&amp;offset=0&amp;query=any,contains,991001345839702656","Catalog Record")</f>
        <v/>
      </c>
      <c r="AT1120">
        <f>HYPERLINK("http://www.worldcat.org/oclc/18413841","WorldCat Record")</f>
        <v/>
      </c>
      <c r="AU1120" t="inlineStr">
        <is>
          <t>196510200:eng</t>
        </is>
      </c>
      <c r="AV1120" t="inlineStr">
        <is>
          <t>18413841</t>
        </is>
      </c>
      <c r="AW1120" t="inlineStr">
        <is>
          <t>991001345839702656</t>
        </is>
      </c>
      <c r="AX1120" t="inlineStr">
        <is>
          <t>991001345839702656</t>
        </is>
      </c>
      <c r="AY1120" t="inlineStr">
        <is>
          <t>2255577150002656</t>
        </is>
      </c>
      <c r="AZ1120" t="inlineStr">
        <is>
          <t>BOOK</t>
        </is>
      </c>
      <c r="BB1120" t="inlineStr">
        <is>
          <t>9780876305416</t>
        </is>
      </c>
      <c r="BC1120" t="inlineStr">
        <is>
          <t>32285000662915</t>
        </is>
      </c>
      <c r="BD1120" t="inlineStr">
        <is>
          <t>893408051</t>
        </is>
      </c>
    </row>
    <row r="1121">
      <c r="A1121" t="inlineStr">
        <is>
          <t>No</t>
        </is>
      </c>
      <c r="B1121" t="inlineStr">
        <is>
          <t>RC552.A72 A37 1987</t>
        </is>
      </c>
      <c r="C1121" t="inlineStr">
        <is>
          <t>0                      RC 0552000A  72                 A  37          1987</t>
        </is>
      </c>
      <c r="D1121" t="inlineStr">
        <is>
          <t>Eating disorders : management of obesity, bulimia, and anorexia nervosa / W. Stewart Agras.</t>
        </is>
      </c>
      <c r="F1121" t="inlineStr">
        <is>
          <t>No</t>
        </is>
      </c>
      <c r="G1121" t="inlineStr">
        <is>
          <t>1</t>
        </is>
      </c>
      <c r="H1121" t="inlineStr">
        <is>
          <t>Yes</t>
        </is>
      </c>
      <c r="I1121" t="inlineStr">
        <is>
          <t>No</t>
        </is>
      </c>
      <c r="J1121" t="inlineStr">
        <is>
          <t>0</t>
        </is>
      </c>
      <c r="K1121" t="inlineStr">
        <is>
          <t>Agras, W. Stewart.</t>
        </is>
      </c>
      <c r="L1121" t="inlineStr">
        <is>
          <t>New York : Pergamon Press, 1987.</t>
        </is>
      </c>
      <c r="M1121" t="inlineStr">
        <is>
          <t>1987</t>
        </is>
      </c>
      <c r="O1121" t="inlineStr">
        <is>
          <t>eng</t>
        </is>
      </c>
      <c r="P1121" t="inlineStr">
        <is>
          <t>nyu</t>
        </is>
      </c>
      <c r="Q1121" t="inlineStr">
        <is>
          <t>Psychology practitioner guidebooks</t>
        </is>
      </c>
      <c r="R1121" t="inlineStr">
        <is>
          <t xml:space="preserve">RC </t>
        </is>
      </c>
      <c r="S1121" t="n">
        <v>98</v>
      </c>
      <c r="T1121" t="n">
        <v>98</v>
      </c>
      <c r="U1121" t="inlineStr">
        <is>
          <t>2007-07-22</t>
        </is>
      </c>
      <c r="V1121" t="inlineStr">
        <is>
          <t>2007-07-22</t>
        </is>
      </c>
      <c r="W1121" t="inlineStr">
        <is>
          <t>1991-10-28</t>
        </is>
      </c>
      <c r="X1121" t="inlineStr">
        <is>
          <t>1991-10-28</t>
        </is>
      </c>
      <c r="Y1121" t="n">
        <v>455</v>
      </c>
      <c r="Z1121" t="n">
        <v>359</v>
      </c>
      <c r="AA1121" t="n">
        <v>366</v>
      </c>
      <c r="AB1121" t="n">
        <v>5</v>
      </c>
      <c r="AC1121" t="n">
        <v>5</v>
      </c>
      <c r="AD1121" t="n">
        <v>20</v>
      </c>
      <c r="AE1121" t="n">
        <v>20</v>
      </c>
      <c r="AF1121" t="n">
        <v>5</v>
      </c>
      <c r="AG1121" t="n">
        <v>5</v>
      </c>
      <c r="AH1121" t="n">
        <v>4</v>
      </c>
      <c r="AI1121" t="n">
        <v>4</v>
      </c>
      <c r="AJ1121" t="n">
        <v>13</v>
      </c>
      <c r="AK1121" t="n">
        <v>13</v>
      </c>
      <c r="AL1121" t="n">
        <v>3</v>
      </c>
      <c r="AM1121" t="n">
        <v>3</v>
      </c>
      <c r="AN1121" t="n">
        <v>0</v>
      </c>
      <c r="AO1121" t="n">
        <v>0</v>
      </c>
      <c r="AP1121" t="inlineStr">
        <is>
          <t>No</t>
        </is>
      </c>
      <c r="AQ1121" t="inlineStr">
        <is>
          <t>Yes</t>
        </is>
      </c>
      <c r="AR1121">
        <f>HYPERLINK("http://catalog.hathitrust.org/Record/000834921","HathiTrust Record")</f>
        <v/>
      </c>
      <c r="AS1121">
        <f>HYPERLINK("https://creighton-primo.hosted.exlibrisgroup.com/primo-explore/search?tab=default_tab&amp;search_scope=EVERYTHING&amp;vid=01CRU&amp;lang=en_US&amp;offset=0&amp;query=any,contains,991000927909702656","Catalog Record")</f>
        <v/>
      </c>
      <c r="AT1121">
        <f>HYPERLINK("http://www.worldcat.org/oclc/14242002","WorldCat Record")</f>
        <v/>
      </c>
      <c r="AU1121" t="inlineStr">
        <is>
          <t>9059532:eng</t>
        </is>
      </c>
      <c r="AV1121" t="inlineStr">
        <is>
          <t>14242002</t>
        </is>
      </c>
      <c r="AW1121" t="inlineStr">
        <is>
          <t>991000927909702656</t>
        </is>
      </c>
      <c r="AX1121" t="inlineStr">
        <is>
          <t>991000927909702656</t>
        </is>
      </c>
      <c r="AY1121" t="inlineStr">
        <is>
          <t>2270085190002656</t>
        </is>
      </c>
      <c r="AZ1121" t="inlineStr">
        <is>
          <t>BOOK</t>
        </is>
      </c>
      <c r="BB1121" t="inlineStr">
        <is>
          <t>9780080336459</t>
        </is>
      </c>
      <c r="BC1121" t="inlineStr">
        <is>
          <t>32285000802016</t>
        </is>
      </c>
      <c r="BD1121" t="inlineStr">
        <is>
          <t>893696296</t>
        </is>
      </c>
    </row>
    <row r="1122">
      <c r="A1122" t="inlineStr">
        <is>
          <t>No</t>
        </is>
      </c>
      <c r="B1122" t="inlineStr">
        <is>
          <t>RC552.A72 C58 1985</t>
        </is>
      </c>
      <c r="C1122" t="inlineStr">
        <is>
          <t>0                      RC 0552000A  72                 C  58          1985</t>
        </is>
      </c>
      <c r="D1122" t="inlineStr">
        <is>
          <t>Modern clinical hypnosis for habit control / Charles M. Citrenbaum, Mark E. King, William I. Cohen.</t>
        </is>
      </c>
      <c r="F1122" t="inlineStr">
        <is>
          <t>No</t>
        </is>
      </c>
      <c r="G1122" t="inlineStr">
        <is>
          <t>1</t>
        </is>
      </c>
      <c r="H1122" t="inlineStr">
        <is>
          <t>No</t>
        </is>
      </c>
      <c r="I1122" t="inlineStr">
        <is>
          <t>No</t>
        </is>
      </c>
      <c r="J1122" t="inlineStr">
        <is>
          <t>0</t>
        </is>
      </c>
      <c r="K1122" t="inlineStr">
        <is>
          <t>Citrenbaum, Charles.</t>
        </is>
      </c>
      <c r="L1122" t="inlineStr">
        <is>
          <t>New York : Norton, c1985.</t>
        </is>
      </c>
      <c r="M1122" t="inlineStr">
        <is>
          <t>1985</t>
        </is>
      </c>
      <c r="N1122" t="inlineStr">
        <is>
          <t>1st ed.</t>
        </is>
      </c>
      <c r="O1122" t="inlineStr">
        <is>
          <t>eng</t>
        </is>
      </c>
      <c r="P1122" t="inlineStr">
        <is>
          <t>nyu</t>
        </is>
      </c>
      <c r="R1122" t="inlineStr">
        <is>
          <t xml:space="preserve">RC </t>
        </is>
      </c>
      <c r="S1122" t="n">
        <v>19</v>
      </c>
      <c r="T1122" t="n">
        <v>19</v>
      </c>
      <c r="U1122" t="inlineStr">
        <is>
          <t>2002-02-11</t>
        </is>
      </c>
      <c r="V1122" t="inlineStr">
        <is>
          <t>2002-02-11</t>
        </is>
      </c>
      <c r="W1122" t="inlineStr">
        <is>
          <t>1992-03-09</t>
        </is>
      </c>
      <c r="X1122" t="inlineStr">
        <is>
          <t>1992-03-09</t>
        </is>
      </c>
      <c r="Y1122" t="n">
        <v>272</v>
      </c>
      <c r="Z1122" t="n">
        <v>227</v>
      </c>
      <c r="AA1122" t="n">
        <v>227</v>
      </c>
      <c r="AB1122" t="n">
        <v>2</v>
      </c>
      <c r="AC1122" t="n">
        <v>2</v>
      </c>
      <c r="AD1122" t="n">
        <v>8</v>
      </c>
      <c r="AE1122" t="n">
        <v>8</v>
      </c>
      <c r="AF1122" t="n">
        <v>3</v>
      </c>
      <c r="AG1122" t="n">
        <v>3</v>
      </c>
      <c r="AH1122" t="n">
        <v>2</v>
      </c>
      <c r="AI1122" t="n">
        <v>2</v>
      </c>
      <c r="AJ1122" t="n">
        <v>4</v>
      </c>
      <c r="AK1122" t="n">
        <v>4</v>
      </c>
      <c r="AL1122" t="n">
        <v>0</v>
      </c>
      <c r="AM1122" t="n">
        <v>0</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HYPERLINK("https://creighton-primo.hosted.exlibrisgroup.com/primo-explore/search?tab=default_tab&amp;search_scope=EVERYTHING&amp;vid=01CRU&amp;lang=en_US&amp;offset=0&amp;query=any,contains,991000585739702656","Catalog Record")</f>
        <v/>
      </c>
      <c r="AT1122">
        <f>HYPERLINK("http://www.worldcat.org/oclc/11756336","WorldCat Record")</f>
        <v/>
      </c>
      <c r="AU1122" t="inlineStr">
        <is>
          <t>148850022:eng</t>
        </is>
      </c>
      <c r="AV1122" t="inlineStr">
        <is>
          <t>11756336</t>
        </is>
      </c>
      <c r="AW1122" t="inlineStr">
        <is>
          <t>991000585739702656</t>
        </is>
      </c>
      <c r="AX1122" t="inlineStr">
        <is>
          <t>991000585739702656</t>
        </is>
      </c>
      <c r="AY1122" t="inlineStr">
        <is>
          <t>2269050850002656</t>
        </is>
      </c>
      <c r="AZ1122" t="inlineStr">
        <is>
          <t>BOOK</t>
        </is>
      </c>
      <c r="BB1122" t="inlineStr">
        <is>
          <t>9780393700039</t>
        </is>
      </c>
      <c r="BC1122" t="inlineStr">
        <is>
          <t>32285000993773</t>
        </is>
      </c>
      <c r="BD1122" t="inlineStr">
        <is>
          <t>893897027</t>
        </is>
      </c>
    </row>
    <row r="1123">
      <c r="A1123" t="inlineStr">
        <is>
          <t>No</t>
        </is>
      </c>
      <c r="B1123" t="inlineStr">
        <is>
          <t>RC552.A72 H36 1986</t>
        </is>
      </c>
      <c r="C1123" t="inlineStr">
        <is>
          <t>0                      RC 0552000A  72                 H  36          1986</t>
        </is>
      </c>
      <c r="D1123" t="inlineStr">
        <is>
          <t>Handbook of eating disorders : physiology, psychology, and treatment of obesity, anorexia, and bulimia / edited by Kelly D. Brownell and John P. Foreyt.</t>
        </is>
      </c>
      <c r="F1123" t="inlineStr">
        <is>
          <t>No</t>
        </is>
      </c>
      <c r="G1123" t="inlineStr">
        <is>
          <t>1</t>
        </is>
      </c>
      <c r="H1123" t="inlineStr">
        <is>
          <t>No</t>
        </is>
      </c>
      <c r="I1123" t="inlineStr">
        <is>
          <t>No</t>
        </is>
      </c>
      <c r="J1123" t="inlineStr">
        <is>
          <t>0</t>
        </is>
      </c>
      <c r="L1123" t="inlineStr">
        <is>
          <t>New York : Basic Books, 1986.</t>
        </is>
      </c>
      <c r="M1123" t="inlineStr">
        <is>
          <t>1986</t>
        </is>
      </c>
      <c r="O1123" t="inlineStr">
        <is>
          <t>eng</t>
        </is>
      </c>
      <c r="P1123" t="inlineStr">
        <is>
          <t>nyu</t>
        </is>
      </c>
      <c r="R1123" t="inlineStr">
        <is>
          <t xml:space="preserve">RC </t>
        </is>
      </c>
      <c r="S1123" t="n">
        <v>75</v>
      </c>
      <c r="T1123" t="n">
        <v>75</v>
      </c>
      <c r="U1123" t="inlineStr">
        <is>
          <t>2006-04-26</t>
        </is>
      </c>
      <c r="V1123" t="inlineStr">
        <is>
          <t>2006-04-26</t>
        </is>
      </c>
      <c r="W1123" t="inlineStr">
        <is>
          <t>1990-03-20</t>
        </is>
      </c>
      <c r="X1123" t="inlineStr">
        <is>
          <t>1990-03-20</t>
        </is>
      </c>
      <c r="Y1123" t="n">
        <v>763</v>
      </c>
      <c r="Z1123" t="n">
        <v>658</v>
      </c>
      <c r="AA1123" t="n">
        <v>664</v>
      </c>
      <c r="AB1123" t="n">
        <v>2</v>
      </c>
      <c r="AC1123" t="n">
        <v>2</v>
      </c>
      <c r="AD1123" t="n">
        <v>24</v>
      </c>
      <c r="AE1123" t="n">
        <v>24</v>
      </c>
      <c r="AF1123" t="n">
        <v>11</v>
      </c>
      <c r="AG1123" t="n">
        <v>11</v>
      </c>
      <c r="AH1123" t="n">
        <v>5</v>
      </c>
      <c r="AI1123" t="n">
        <v>5</v>
      </c>
      <c r="AJ1123" t="n">
        <v>13</v>
      </c>
      <c r="AK1123" t="n">
        <v>13</v>
      </c>
      <c r="AL1123" t="n">
        <v>1</v>
      </c>
      <c r="AM1123" t="n">
        <v>1</v>
      </c>
      <c r="AN1123" t="n">
        <v>0</v>
      </c>
      <c r="AO1123" t="n">
        <v>0</v>
      </c>
      <c r="AP1123" t="inlineStr">
        <is>
          <t>No</t>
        </is>
      </c>
      <c r="AQ1123" t="inlineStr">
        <is>
          <t>Yes</t>
        </is>
      </c>
      <c r="AR1123">
        <f>HYPERLINK("http://catalog.hathitrust.org/Record/000807301","HathiTrust Record")</f>
        <v/>
      </c>
      <c r="AS1123">
        <f>HYPERLINK("https://creighton-primo.hosted.exlibrisgroup.com/primo-explore/search?tab=default_tab&amp;search_scope=EVERYTHING&amp;vid=01CRU&amp;lang=en_US&amp;offset=0&amp;query=any,contains,991000796459702656","Catalog Record")</f>
        <v/>
      </c>
      <c r="AT1123">
        <f>HYPERLINK("http://www.worldcat.org/oclc/13186548","WorldCat Record")</f>
        <v/>
      </c>
      <c r="AU1123" t="inlineStr">
        <is>
          <t>889774404:eng</t>
        </is>
      </c>
      <c r="AV1123" t="inlineStr">
        <is>
          <t>13186548</t>
        </is>
      </c>
      <c r="AW1123" t="inlineStr">
        <is>
          <t>991000796459702656</t>
        </is>
      </c>
      <c r="AX1123" t="inlineStr">
        <is>
          <t>991000796459702656</t>
        </is>
      </c>
      <c r="AY1123" t="inlineStr">
        <is>
          <t>2255672150002656</t>
        </is>
      </c>
      <c r="AZ1123" t="inlineStr">
        <is>
          <t>BOOK</t>
        </is>
      </c>
      <c r="BB1123" t="inlineStr">
        <is>
          <t>9780465028627</t>
        </is>
      </c>
      <c r="BC1123" t="inlineStr">
        <is>
          <t>32285000088566</t>
        </is>
      </c>
      <c r="BD1123" t="inlineStr">
        <is>
          <t>893683760</t>
        </is>
      </c>
    </row>
    <row r="1124">
      <c r="A1124" t="inlineStr">
        <is>
          <t>No</t>
        </is>
      </c>
      <c r="B1124" t="inlineStr">
        <is>
          <t>RC552.A72 L46 1983</t>
        </is>
      </c>
      <c r="C1124" t="inlineStr">
        <is>
          <t>0                      RC 0552000A  72                 L  46          1983</t>
        </is>
      </c>
      <c r="D1124" t="inlineStr">
        <is>
          <t>Treating eating disorders : obesity, anorexia nervosa, and bulimia / Gloria Rakita Leon, with a chapter on general nutritional considerations by Arthur S. Leon ; edited by James Butcher.</t>
        </is>
      </c>
      <c r="F1124" t="inlineStr">
        <is>
          <t>No</t>
        </is>
      </c>
      <c r="G1124" t="inlineStr">
        <is>
          <t>1</t>
        </is>
      </c>
      <c r="H1124" t="inlineStr">
        <is>
          <t>No</t>
        </is>
      </c>
      <c r="I1124" t="inlineStr">
        <is>
          <t>No</t>
        </is>
      </c>
      <c r="J1124" t="inlineStr">
        <is>
          <t>0</t>
        </is>
      </c>
      <c r="K1124" t="inlineStr">
        <is>
          <t>Leon, Gloria Rakita.</t>
        </is>
      </c>
      <c r="L1124" t="inlineStr">
        <is>
          <t>Brattleboro, Vt. : Lewis Pub. Co., c1983.</t>
        </is>
      </c>
      <c r="M1124" t="inlineStr">
        <is>
          <t>1983</t>
        </is>
      </c>
      <c r="N1124" t="inlineStr">
        <is>
          <t>1st ed.</t>
        </is>
      </c>
      <c r="O1124" t="inlineStr">
        <is>
          <t>eng</t>
        </is>
      </c>
      <c r="P1124" t="inlineStr">
        <is>
          <t>vtu</t>
        </is>
      </c>
      <c r="Q1124" t="inlineStr">
        <is>
          <t>The Lewis series in applied clinical psychology</t>
        </is>
      </c>
      <c r="R1124" t="inlineStr">
        <is>
          <t xml:space="preserve">RC </t>
        </is>
      </c>
      <c r="S1124" t="n">
        <v>83</v>
      </c>
      <c r="T1124" t="n">
        <v>83</v>
      </c>
      <c r="U1124" t="inlineStr">
        <is>
          <t>2008-02-12</t>
        </is>
      </c>
      <c r="V1124" t="inlineStr">
        <is>
          <t>2008-02-12</t>
        </is>
      </c>
      <c r="W1124" t="inlineStr">
        <is>
          <t>1992-01-28</t>
        </is>
      </c>
      <c r="X1124" t="inlineStr">
        <is>
          <t>1992-01-28</t>
        </is>
      </c>
      <c r="Y1124" t="n">
        <v>113</v>
      </c>
      <c r="Z1124" t="n">
        <v>102</v>
      </c>
      <c r="AA1124" t="n">
        <v>104</v>
      </c>
      <c r="AB1124" t="n">
        <v>3</v>
      </c>
      <c r="AC1124" t="n">
        <v>3</v>
      </c>
      <c r="AD1124" t="n">
        <v>4</v>
      </c>
      <c r="AE1124" t="n">
        <v>4</v>
      </c>
      <c r="AF1124" t="n">
        <v>1</v>
      </c>
      <c r="AG1124" t="n">
        <v>1</v>
      </c>
      <c r="AH1124" t="n">
        <v>1</v>
      </c>
      <c r="AI1124" t="n">
        <v>1</v>
      </c>
      <c r="AJ1124" t="n">
        <v>2</v>
      </c>
      <c r="AK1124" t="n">
        <v>2</v>
      </c>
      <c r="AL1124" t="n">
        <v>1</v>
      </c>
      <c r="AM1124" t="n">
        <v>1</v>
      </c>
      <c r="AN1124" t="n">
        <v>0</v>
      </c>
      <c r="AO1124" t="n">
        <v>0</v>
      </c>
      <c r="AP1124" t="inlineStr">
        <is>
          <t>No</t>
        </is>
      </c>
      <c r="AQ1124" t="inlineStr">
        <is>
          <t>Yes</t>
        </is>
      </c>
      <c r="AR1124">
        <f>HYPERLINK("http://catalog.hathitrust.org/Record/008580193","HathiTrust Record")</f>
        <v/>
      </c>
      <c r="AS1124">
        <f>HYPERLINK("https://creighton-primo.hosted.exlibrisgroup.com/primo-explore/search?tab=default_tab&amp;search_scope=EVERYTHING&amp;vid=01CRU&amp;lang=en_US&amp;offset=0&amp;query=any,contains,991000268359702656","Catalog Record")</f>
        <v/>
      </c>
      <c r="AT1124">
        <f>HYPERLINK("http://www.worldcat.org/oclc/9851842","WorldCat Record")</f>
        <v/>
      </c>
      <c r="AU1124" t="inlineStr">
        <is>
          <t>815135655:eng</t>
        </is>
      </c>
      <c r="AV1124" t="inlineStr">
        <is>
          <t>9851842</t>
        </is>
      </c>
      <c r="AW1124" t="inlineStr">
        <is>
          <t>991000268359702656</t>
        </is>
      </c>
      <c r="AX1124" t="inlineStr">
        <is>
          <t>991000268359702656</t>
        </is>
      </c>
      <c r="AY1124" t="inlineStr">
        <is>
          <t>2262390140002656</t>
        </is>
      </c>
      <c r="AZ1124" t="inlineStr">
        <is>
          <t>BOOK</t>
        </is>
      </c>
      <c r="BB1124" t="inlineStr">
        <is>
          <t>9780866160261</t>
        </is>
      </c>
      <c r="BC1124" t="inlineStr">
        <is>
          <t>32285000899319</t>
        </is>
      </c>
      <c r="BD1124" t="inlineStr">
        <is>
          <t>893345518</t>
        </is>
      </c>
    </row>
    <row r="1125">
      <c r="A1125" t="inlineStr">
        <is>
          <t>No</t>
        </is>
      </c>
      <c r="B1125" t="inlineStr">
        <is>
          <t>RC552.B84 B38 1986</t>
        </is>
      </c>
      <c r="C1125" t="inlineStr">
        <is>
          <t>0                      RC 0552000B  84                 B  38          1986</t>
        </is>
      </c>
      <c r="D1125" t="inlineStr">
        <is>
          <t>Bulimia : book for therapist and client / Barbara G. Bauer, Wayne P. Anderson, Robert W. Hyatt ; contributions by Margaret Flynn.</t>
        </is>
      </c>
      <c r="F1125" t="inlineStr">
        <is>
          <t>No</t>
        </is>
      </c>
      <c r="G1125" t="inlineStr">
        <is>
          <t>1</t>
        </is>
      </c>
      <c r="H1125" t="inlineStr">
        <is>
          <t>No</t>
        </is>
      </c>
      <c r="I1125" t="inlineStr">
        <is>
          <t>No</t>
        </is>
      </c>
      <c r="J1125" t="inlineStr">
        <is>
          <t>0</t>
        </is>
      </c>
      <c r="K1125" t="inlineStr">
        <is>
          <t>Bauer, Barbara G.</t>
        </is>
      </c>
      <c r="L1125" t="inlineStr">
        <is>
          <t>Muncie, Ind. : Accelerated Development, c1986.</t>
        </is>
      </c>
      <c r="M1125" t="inlineStr">
        <is>
          <t>1986</t>
        </is>
      </c>
      <c r="O1125" t="inlineStr">
        <is>
          <t>eng</t>
        </is>
      </c>
      <c r="P1125" t="inlineStr">
        <is>
          <t>inu</t>
        </is>
      </c>
      <c r="R1125" t="inlineStr">
        <is>
          <t xml:space="preserve">RC </t>
        </is>
      </c>
      <c r="S1125" t="n">
        <v>53</v>
      </c>
      <c r="T1125" t="n">
        <v>53</v>
      </c>
      <c r="U1125" t="inlineStr">
        <is>
          <t>2006-02-20</t>
        </is>
      </c>
      <c r="V1125" t="inlineStr">
        <is>
          <t>2006-02-20</t>
        </is>
      </c>
      <c r="W1125" t="inlineStr">
        <is>
          <t>1995-06-30</t>
        </is>
      </c>
      <c r="X1125" t="inlineStr">
        <is>
          <t>1995-06-30</t>
        </is>
      </c>
      <c r="Y1125" t="n">
        <v>278</v>
      </c>
      <c r="Z1125" t="n">
        <v>260</v>
      </c>
      <c r="AA1125" t="n">
        <v>279</v>
      </c>
      <c r="AB1125" t="n">
        <v>3</v>
      </c>
      <c r="AC1125" t="n">
        <v>3</v>
      </c>
      <c r="AD1125" t="n">
        <v>7</v>
      </c>
      <c r="AE1125" t="n">
        <v>7</v>
      </c>
      <c r="AF1125" t="n">
        <v>2</v>
      </c>
      <c r="AG1125" t="n">
        <v>2</v>
      </c>
      <c r="AH1125" t="n">
        <v>0</v>
      </c>
      <c r="AI1125" t="n">
        <v>0</v>
      </c>
      <c r="AJ1125" t="n">
        <v>5</v>
      </c>
      <c r="AK1125" t="n">
        <v>5</v>
      </c>
      <c r="AL1125" t="n">
        <v>2</v>
      </c>
      <c r="AM1125" t="n">
        <v>2</v>
      </c>
      <c r="AN1125" t="n">
        <v>0</v>
      </c>
      <c r="AO1125" t="n">
        <v>0</v>
      </c>
      <c r="AP1125" t="inlineStr">
        <is>
          <t>No</t>
        </is>
      </c>
      <c r="AQ1125" t="inlineStr">
        <is>
          <t>No</t>
        </is>
      </c>
      <c r="AS1125">
        <f>HYPERLINK("https://creighton-primo.hosted.exlibrisgroup.com/primo-explore/search?tab=default_tab&amp;search_scope=EVERYTHING&amp;vid=01CRU&amp;lang=en_US&amp;offset=0&amp;query=any,contains,991001213369702656","Catalog Record")</f>
        <v/>
      </c>
      <c r="AT1125">
        <f>HYPERLINK("http://www.worldcat.org/oclc/17412346","WorldCat Record")</f>
        <v/>
      </c>
      <c r="AU1125" t="inlineStr">
        <is>
          <t>2940469:eng</t>
        </is>
      </c>
      <c r="AV1125" t="inlineStr">
        <is>
          <t>17412346</t>
        </is>
      </c>
      <c r="AW1125" t="inlineStr">
        <is>
          <t>991001213369702656</t>
        </is>
      </c>
      <c r="AX1125" t="inlineStr">
        <is>
          <t>991001213369702656</t>
        </is>
      </c>
      <c r="AY1125" t="inlineStr">
        <is>
          <t>2264414540002656</t>
        </is>
      </c>
      <c r="AZ1125" t="inlineStr">
        <is>
          <t>BOOK</t>
        </is>
      </c>
      <c r="BB1125" t="inlineStr">
        <is>
          <t>9780915202560</t>
        </is>
      </c>
      <c r="BC1125" t="inlineStr">
        <is>
          <t>32285002021573</t>
        </is>
      </c>
      <c r="BD1125" t="inlineStr">
        <is>
          <t>893621159</t>
        </is>
      </c>
    </row>
    <row r="1126">
      <c r="A1126" t="inlineStr">
        <is>
          <t>No</t>
        </is>
      </c>
      <c r="B1126" t="inlineStr">
        <is>
          <t>RC552.B84 B56 1984</t>
        </is>
      </c>
      <c r="C1126" t="inlineStr">
        <is>
          <t>0                      RC 0552000B  84                 B  56          1984</t>
        </is>
      </c>
      <c r="D1126" t="inlineStr">
        <is>
          <t>The Binge-purge syndrome : diagnosis, treatment, and research / Raymond C. Hawkins II, William J. Fremouw, Pamelia F. Clement, editors.</t>
        </is>
      </c>
      <c r="F1126" t="inlineStr">
        <is>
          <t>No</t>
        </is>
      </c>
      <c r="G1126" t="inlineStr">
        <is>
          <t>1</t>
        </is>
      </c>
      <c r="H1126" t="inlineStr">
        <is>
          <t>No</t>
        </is>
      </c>
      <c r="I1126" t="inlineStr">
        <is>
          <t>No</t>
        </is>
      </c>
      <c r="J1126" t="inlineStr">
        <is>
          <t>0</t>
        </is>
      </c>
      <c r="L1126" t="inlineStr">
        <is>
          <t>New York : Springer Pub. Co., c1984.</t>
        </is>
      </c>
      <c r="M1126" t="inlineStr">
        <is>
          <t>1984</t>
        </is>
      </c>
      <c r="O1126" t="inlineStr">
        <is>
          <t>eng</t>
        </is>
      </c>
      <c r="P1126" t="inlineStr">
        <is>
          <t>nyu</t>
        </is>
      </c>
      <c r="Q1126" t="inlineStr">
        <is>
          <t>Springer series on behavior therapy and behavioral medicine ; v. 14</t>
        </is>
      </c>
      <c r="R1126" t="inlineStr">
        <is>
          <t xml:space="preserve">RC </t>
        </is>
      </c>
      <c r="S1126" t="n">
        <v>53</v>
      </c>
      <c r="T1126" t="n">
        <v>53</v>
      </c>
      <c r="U1126" t="inlineStr">
        <is>
          <t>2000-02-22</t>
        </is>
      </c>
      <c r="V1126" t="inlineStr">
        <is>
          <t>2000-02-22</t>
        </is>
      </c>
      <c r="W1126" t="inlineStr">
        <is>
          <t>1990-06-01</t>
        </is>
      </c>
      <c r="X1126" t="inlineStr">
        <is>
          <t>1990-06-01</t>
        </is>
      </c>
      <c r="Y1126" t="n">
        <v>440</v>
      </c>
      <c r="Z1126" t="n">
        <v>385</v>
      </c>
      <c r="AA1126" t="n">
        <v>394</v>
      </c>
      <c r="AB1126" t="n">
        <v>3</v>
      </c>
      <c r="AC1126" t="n">
        <v>3</v>
      </c>
      <c r="AD1126" t="n">
        <v>18</v>
      </c>
      <c r="AE1126" t="n">
        <v>18</v>
      </c>
      <c r="AF1126" t="n">
        <v>8</v>
      </c>
      <c r="AG1126" t="n">
        <v>8</v>
      </c>
      <c r="AH1126" t="n">
        <v>4</v>
      </c>
      <c r="AI1126" t="n">
        <v>4</v>
      </c>
      <c r="AJ1126" t="n">
        <v>8</v>
      </c>
      <c r="AK1126" t="n">
        <v>8</v>
      </c>
      <c r="AL1126" t="n">
        <v>2</v>
      </c>
      <c r="AM1126" t="n">
        <v>2</v>
      </c>
      <c r="AN1126" t="n">
        <v>0</v>
      </c>
      <c r="AO1126" t="n">
        <v>0</v>
      </c>
      <c r="AP1126" t="inlineStr">
        <is>
          <t>No</t>
        </is>
      </c>
      <c r="AQ1126" t="inlineStr">
        <is>
          <t>Yes</t>
        </is>
      </c>
      <c r="AR1126">
        <f>HYPERLINK("http://catalog.hathitrust.org/Record/000326347","HathiTrust Record")</f>
        <v/>
      </c>
      <c r="AS1126">
        <f>HYPERLINK("https://creighton-primo.hosted.exlibrisgroup.com/primo-explore/search?tab=default_tab&amp;search_scope=EVERYTHING&amp;vid=01CRU&amp;lang=en_US&amp;offset=0&amp;query=any,contains,991000312519702656","Catalog Record")</f>
        <v/>
      </c>
      <c r="AT1126">
        <f>HYPERLINK("http://www.worldcat.org/oclc/10100684","WorldCat Record")</f>
        <v/>
      </c>
      <c r="AU1126" t="inlineStr">
        <is>
          <t>902191902:eng</t>
        </is>
      </c>
      <c r="AV1126" t="inlineStr">
        <is>
          <t>10100684</t>
        </is>
      </c>
      <c r="AW1126" t="inlineStr">
        <is>
          <t>991000312519702656</t>
        </is>
      </c>
      <c r="AX1126" t="inlineStr">
        <is>
          <t>991000312519702656</t>
        </is>
      </c>
      <c r="AY1126" t="inlineStr">
        <is>
          <t>2256225530002656</t>
        </is>
      </c>
      <c r="AZ1126" t="inlineStr">
        <is>
          <t>BOOK</t>
        </is>
      </c>
      <c r="BB1126" t="inlineStr">
        <is>
          <t>9780826140203</t>
        </is>
      </c>
      <c r="BC1126" t="inlineStr">
        <is>
          <t>32285000180140</t>
        </is>
      </c>
      <c r="BD1126" t="inlineStr">
        <is>
          <t>893496120</t>
        </is>
      </c>
    </row>
    <row r="1127">
      <c r="A1127" t="inlineStr">
        <is>
          <t>No</t>
        </is>
      </c>
      <c r="B1127" t="inlineStr">
        <is>
          <t>RC552.B84 B8412 2008</t>
        </is>
      </c>
      <c r="C1127" t="inlineStr">
        <is>
          <t>0                      RC 0552000B  84                 B  8412        2008</t>
        </is>
      </c>
      <c r="D1127" t="inlineStr">
        <is>
          <t>Bulimia / Adriane Ruggiero, book editor.</t>
        </is>
      </c>
      <c r="F1127" t="inlineStr">
        <is>
          <t>No</t>
        </is>
      </c>
      <c r="G1127" t="inlineStr">
        <is>
          <t>1</t>
        </is>
      </c>
      <c r="H1127" t="inlineStr">
        <is>
          <t>No</t>
        </is>
      </c>
      <c r="I1127" t="inlineStr">
        <is>
          <t>No</t>
        </is>
      </c>
      <c r="J1127" t="inlineStr">
        <is>
          <t>0</t>
        </is>
      </c>
      <c r="L1127" t="inlineStr">
        <is>
          <t>Detroit : Greenhaven Press, c2008.</t>
        </is>
      </c>
      <c r="M1127" t="inlineStr">
        <is>
          <t>2008</t>
        </is>
      </c>
      <c r="O1127" t="inlineStr">
        <is>
          <t>eng</t>
        </is>
      </c>
      <c r="P1127" t="inlineStr">
        <is>
          <t>miu</t>
        </is>
      </c>
      <c r="Q1127" t="inlineStr">
        <is>
          <t>At issue. Health</t>
        </is>
      </c>
      <c r="R1127" t="inlineStr">
        <is>
          <t xml:space="preserve">RC </t>
        </is>
      </c>
      <c r="S1127" t="n">
        <v>2</v>
      </c>
      <c r="T1127" t="n">
        <v>2</v>
      </c>
      <c r="U1127" t="inlineStr">
        <is>
          <t>2008-09-17</t>
        </is>
      </c>
      <c r="V1127" t="inlineStr">
        <is>
          <t>2008-09-17</t>
        </is>
      </c>
      <c r="W1127" t="inlineStr">
        <is>
          <t>2008-01-14</t>
        </is>
      </c>
      <c r="X1127" t="inlineStr">
        <is>
          <t>2008-01-14</t>
        </is>
      </c>
      <c r="Y1127" t="n">
        <v>379</v>
      </c>
      <c r="Z1127" t="n">
        <v>359</v>
      </c>
      <c r="AA1127" t="n">
        <v>611</v>
      </c>
      <c r="AB1127" t="n">
        <v>6</v>
      </c>
      <c r="AC1127" t="n">
        <v>7</v>
      </c>
      <c r="AD1127" t="n">
        <v>3</v>
      </c>
      <c r="AE1127" t="n">
        <v>12</v>
      </c>
      <c r="AF1127" t="n">
        <v>0</v>
      </c>
      <c r="AG1127" t="n">
        <v>5</v>
      </c>
      <c r="AH1127" t="n">
        <v>0</v>
      </c>
      <c r="AI1127" t="n">
        <v>2</v>
      </c>
      <c r="AJ1127" t="n">
        <v>0</v>
      </c>
      <c r="AK1127" t="n">
        <v>2</v>
      </c>
      <c r="AL1127" t="n">
        <v>3</v>
      </c>
      <c r="AM1127" t="n">
        <v>4</v>
      </c>
      <c r="AN1127" t="n">
        <v>0</v>
      </c>
      <c r="AO1127" t="n">
        <v>0</v>
      </c>
      <c r="AP1127" t="inlineStr">
        <is>
          <t>No</t>
        </is>
      </c>
      <c r="AQ1127" t="inlineStr">
        <is>
          <t>No</t>
        </is>
      </c>
      <c r="AS1127">
        <f>HYPERLINK("https://creighton-primo.hosted.exlibrisgroup.com/primo-explore/search?tab=default_tab&amp;search_scope=EVERYTHING&amp;vid=01CRU&amp;lang=en_US&amp;offset=0&amp;query=any,contains,991005166839702656","Catalog Record")</f>
        <v/>
      </c>
      <c r="AT1127">
        <f>HYPERLINK("http://www.worldcat.org/oclc/155756734","WorldCat Record")</f>
        <v/>
      </c>
      <c r="AU1127" t="inlineStr">
        <is>
          <t>2297164172:eng</t>
        </is>
      </c>
      <c r="AV1127" t="inlineStr">
        <is>
          <t>155756734</t>
        </is>
      </c>
      <c r="AW1127" t="inlineStr">
        <is>
          <t>991005166839702656</t>
        </is>
      </c>
      <c r="AX1127" t="inlineStr">
        <is>
          <t>991005166839702656</t>
        </is>
      </c>
      <c r="AY1127" t="inlineStr">
        <is>
          <t>2270597600002656</t>
        </is>
      </c>
      <c r="AZ1127" t="inlineStr">
        <is>
          <t>BOOK</t>
        </is>
      </c>
      <c r="BB1127" t="inlineStr">
        <is>
          <t>9780737736731</t>
        </is>
      </c>
      <c r="BC1127" t="inlineStr">
        <is>
          <t>32285005377428</t>
        </is>
      </c>
      <c r="BD1127" t="inlineStr">
        <is>
          <t>893338635</t>
        </is>
      </c>
    </row>
    <row r="1128">
      <c r="A1128" t="inlineStr">
        <is>
          <t>No</t>
        </is>
      </c>
      <c r="B1128" t="inlineStr">
        <is>
          <t>RC552.B84 E84 1992</t>
        </is>
      </c>
      <c r="C1128" t="inlineStr">
        <is>
          <t>0                      RC 0552000B  84                 E  84          1992</t>
        </is>
      </c>
      <c r="D1128" t="inlineStr">
        <is>
          <t>The Etiology of bulimia nervosa : the individual and familial context / edited by Janis H. Crowther ... [et al.].</t>
        </is>
      </c>
      <c r="F1128" t="inlineStr">
        <is>
          <t>No</t>
        </is>
      </c>
      <c r="G1128" t="inlineStr">
        <is>
          <t>1</t>
        </is>
      </c>
      <c r="H1128" t="inlineStr">
        <is>
          <t>No</t>
        </is>
      </c>
      <c r="I1128" t="inlineStr">
        <is>
          <t>No</t>
        </is>
      </c>
      <c r="J1128" t="inlineStr">
        <is>
          <t>0</t>
        </is>
      </c>
      <c r="L1128" t="inlineStr">
        <is>
          <t>Washington : Hemisphere Pub. Corp., c1992.</t>
        </is>
      </c>
      <c r="M1128" t="inlineStr">
        <is>
          <t>1992</t>
        </is>
      </c>
      <c r="O1128" t="inlineStr">
        <is>
          <t>eng</t>
        </is>
      </c>
      <c r="P1128" t="inlineStr">
        <is>
          <t>dcu</t>
        </is>
      </c>
      <c r="Q1128" t="inlineStr">
        <is>
          <t>Series in applied psychology</t>
        </is>
      </c>
      <c r="R1128" t="inlineStr">
        <is>
          <t xml:space="preserve">RC </t>
        </is>
      </c>
      <c r="S1128" t="n">
        <v>40</v>
      </c>
      <c r="T1128" t="n">
        <v>40</v>
      </c>
      <c r="U1128" t="inlineStr">
        <is>
          <t>2008-02-10</t>
        </is>
      </c>
      <c r="V1128" t="inlineStr">
        <is>
          <t>2008-02-10</t>
        </is>
      </c>
      <c r="W1128" t="inlineStr">
        <is>
          <t>1996-07-01</t>
        </is>
      </c>
      <c r="X1128" t="inlineStr">
        <is>
          <t>1996-07-01</t>
        </is>
      </c>
      <c r="Y1128" t="n">
        <v>309</v>
      </c>
      <c r="Z1128" t="n">
        <v>245</v>
      </c>
      <c r="AA1128" t="n">
        <v>267</v>
      </c>
      <c r="AB1128" t="n">
        <v>3</v>
      </c>
      <c r="AC1128" t="n">
        <v>3</v>
      </c>
      <c r="AD1128" t="n">
        <v>13</v>
      </c>
      <c r="AE1128" t="n">
        <v>13</v>
      </c>
      <c r="AF1128" t="n">
        <v>3</v>
      </c>
      <c r="AG1128" t="n">
        <v>3</v>
      </c>
      <c r="AH1128" t="n">
        <v>2</v>
      </c>
      <c r="AI1128" t="n">
        <v>2</v>
      </c>
      <c r="AJ1128" t="n">
        <v>8</v>
      </c>
      <c r="AK1128" t="n">
        <v>8</v>
      </c>
      <c r="AL1128" t="n">
        <v>2</v>
      </c>
      <c r="AM1128" t="n">
        <v>2</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HYPERLINK("https://creighton-primo.hosted.exlibrisgroup.com/primo-explore/search?tab=default_tab&amp;search_scope=EVERYTHING&amp;vid=01CRU&amp;lang=en_US&amp;offset=0&amp;query=any,contains,991001940319702656","Catalog Record")</f>
        <v/>
      </c>
      <c r="AT1128">
        <f>HYPERLINK("http://www.worldcat.org/oclc/24504420","WorldCat Record")</f>
        <v/>
      </c>
      <c r="AU1128" t="inlineStr">
        <is>
          <t>836911436:eng</t>
        </is>
      </c>
      <c r="AV1128" t="inlineStr">
        <is>
          <t>24504420</t>
        </is>
      </c>
      <c r="AW1128" t="inlineStr">
        <is>
          <t>991001940319702656</t>
        </is>
      </c>
      <c r="AX1128" t="inlineStr">
        <is>
          <t>991001940319702656</t>
        </is>
      </c>
      <c r="AY1128" t="inlineStr">
        <is>
          <t>2261192810002656</t>
        </is>
      </c>
      <c r="AZ1128" t="inlineStr">
        <is>
          <t>BOOK</t>
        </is>
      </c>
      <c r="BB1128" t="inlineStr">
        <is>
          <t>9781560322061</t>
        </is>
      </c>
      <c r="BC1128" t="inlineStr">
        <is>
          <t>32285002205531</t>
        </is>
      </c>
      <c r="BD1128" t="inlineStr">
        <is>
          <t>893503836</t>
        </is>
      </c>
    </row>
    <row r="1129">
      <c r="A1129" t="inlineStr">
        <is>
          <t>No</t>
        </is>
      </c>
      <c r="B1129" t="inlineStr">
        <is>
          <t>RC552.B84 J64 1987</t>
        </is>
      </c>
      <c r="C1129" t="inlineStr">
        <is>
          <t>0                      RC 0552000B  84                 J  64          1987</t>
        </is>
      </c>
      <c r="D1129" t="inlineStr">
        <is>
          <t>The etiology and treatment of bulimia nervosa : a biopsychosocial perspective / Craig Johnson, Mary E. Connors.</t>
        </is>
      </c>
      <c r="F1129" t="inlineStr">
        <is>
          <t>No</t>
        </is>
      </c>
      <c r="G1129" t="inlineStr">
        <is>
          <t>1</t>
        </is>
      </c>
      <c r="H1129" t="inlineStr">
        <is>
          <t>Yes</t>
        </is>
      </c>
      <c r="I1129" t="inlineStr">
        <is>
          <t>No</t>
        </is>
      </c>
      <c r="J1129" t="inlineStr">
        <is>
          <t>0</t>
        </is>
      </c>
      <c r="K1129" t="inlineStr">
        <is>
          <t>Johnson, Craig, 1950-</t>
        </is>
      </c>
      <c r="L1129" t="inlineStr">
        <is>
          <t>New York : Basic Books, c1987.</t>
        </is>
      </c>
      <c r="M1129" t="inlineStr">
        <is>
          <t>1987</t>
        </is>
      </c>
      <c r="O1129" t="inlineStr">
        <is>
          <t>eng</t>
        </is>
      </c>
      <c r="P1129" t="inlineStr">
        <is>
          <t>nyu</t>
        </is>
      </c>
      <c r="R1129" t="inlineStr">
        <is>
          <t xml:space="preserve">RC </t>
        </is>
      </c>
      <c r="S1129" t="n">
        <v>37</v>
      </c>
      <c r="T1129" t="n">
        <v>37</v>
      </c>
      <c r="U1129" t="inlineStr">
        <is>
          <t>2006-10-29</t>
        </is>
      </c>
      <c r="V1129" t="inlineStr">
        <is>
          <t>2006-10-29</t>
        </is>
      </c>
      <c r="W1129" t="inlineStr">
        <is>
          <t>1991-12-13</t>
        </is>
      </c>
      <c r="X1129" t="inlineStr">
        <is>
          <t>1991-12-13</t>
        </is>
      </c>
      <c r="Y1129" t="n">
        <v>382</v>
      </c>
      <c r="Z1129" t="n">
        <v>334</v>
      </c>
      <c r="AA1129" t="n">
        <v>365</v>
      </c>
      <c r="AB1129" t="n">
        <v>3</v>
      </c>
      <c r="AC1129" t="n">
        <v>3</v>
      </c>
      <c r="AD1129" t="n">
        <v>15</v>
      </c>
      <c r="AE1129" t="n">
        <v>20</v>
      </c>
      <c r="AF1129" t="n">
        <v>6</v>
      </c>
      <c r="AG1129" t="n">
        <v>9</v>
      </c>
      <c r="AH1129" t="n">
        <v>3</v>
      </c>
      <c r="AI1129" t="n">
        <v>3</v>
      </c>
      <c r="AJ1129" t="n">
        <v>9</v>
      </c>
      <c r="AK1129" t="n">
        <v>13</v>
      </c>
      <c r="AL1129" t="n">
        <v>1</v>
      </c>
      <c r="AM1129" t="n">
        <v>1</v>
      </c>
      <c r="AN1129" t="n">
        <v>0</v>
      </c>
      <c r="AO1129" t="n">
        <v>0</v>
      </c>
      <c r="AP1129" t="inlineStr">
        <is>
          <t>No</t>
        </is>
      </c>
      <c r="AQ1129" t="inlineStr">
        <is>
          <t>Yes</t>
        </is>
      </c>
      <c r="AR1129">
        <f>HYPERLINK("http://catalog.hathitrust.org/Record/000834686","HathiTrust Record")</f>
        <v/>
      </c>
      <c r="AS1129">
        <f>HYPERLINK("https://creighton-primo.hosted.exlibrisgroup.com/primo-explore/search?tab=default_tab&amp;search_scope=EVERYTHING&amp;vid=01CRU&amp;lang=en_US&amp;offset=0&amp;query=any,contains,991000992479702656","Catalog Record")</f>
        <v/>
      </c>
      <c r="AT1129">
        <f>HYPERLINK("http://www.worldcat.org/oclc/15108875","WorldCat Record")</f>
        <v/>
      </c>
      <c r="AU1129" t="inlineStr">
        <is>
          <t>8387194:eng</t>
        </is>
      </c>
      <c r="AV1129" t="inlineStr">
        <is>
          <t>15108875</t>
        </is>
      </c>
      <c r="AW1129" t="inlineStr">
        <is>
          <t>991000992479702656</t>
        </is>
      </c>
      <c r="AX1129" t="inlineStr">
        <is>
          <t>991000992479702656</t>
        </is>
      </c>
      <c r="AY1129" t="inlineStr">
        <is>
          <t>2267331540002656</t>
        </is>
      </c>
      <c r="AZ1129" t="inlineStr">
        <is>
          <t>BOOK</t>
        </is>
      </c>
      <c r="BB1129" t="inlineStr">
        <is>
          <t>9780465020928</t>
        </is>
      </c>
      <c r="BC1129" t="inlineStr">
        <is>
          <t>32285000895937</t>
        </is>
      </c>
      <c r="BD1129" t="inlineStr">
        <is>
          <t>893720896</t>
        </is>
      </c>
    </row>
    <row r="1130">
      <c r="A1130" t="inlineStr">
        <is>
          <t>No</t>
        </is>
      </c>
      <c r="B1130" t="inlineStr">
        <is>
          <t>RC552.B84 P66 1984</t>
        </is>
      </c>
      <c r="C1130" t="inlineStr">
        <is>
          <t>0                      RC 0552000B  84                 P  66          1984</t>
        </is>
      </c>
      <c r="D1130" t="inlineStr">
        <is>
          <t>New hope for binge eaters : advances in the understanding and treatment of bulimia / Harrison G. Pope, Jr. and James I. Hudson.</t>
        </is>
      </c>
      <c r="F1130" t="inlineStr">
        <is>
          <t>No</t>
        </is>
      </c>
      <c r="G1130" t="inlineStr">
        <is>
          <t>1</t>
        </is>
      </c>
      <c r="H1130" t="inlineStr">
        <is>
          <t>Yes</t>
        </is>
      </c>
      <c r="I1130" t="inlineStr">
        <is>
          <t>No</t>
        </is>
      </c>
      <c r="J1130" t="inlineStr">
        <is>
          <t>0</t>
        </is>
      </c>
      <c r="K1130" t="inlineStr">
        <is>
          <t>Pope, Harrison.</t>
        </is>
      </c>
      <c r="L1130" t="inlineStr">
        <is>
          <t>New York : Harper &amp; Row, c1984.</t>
        </is>
      </c>
      <c r="M1130" t="inlineStr">
        <is>
          <t>1984</t>
        </is>
      </c>
      <c r="N1130" t="inlineStr">
        <is>
          <t>1st ed.</t>
        </is>
      </c>
      <c r="O1130" t="inlineStr">
        <is>
          <t>eng</t>
        </is>
      </c>
      <c r="P1130" t="inlineStr">
        <is>
          <t>nyu</t>
        </is>
      </c>
      <c r="R1130" t="inlineStr">
        <is>
          <t xml:space="preserve">RC </t>
        </is>
      </c>
      <c r="S1130" t="n">
        <v>24</v>
      </c>
      <c r="T1130" t="n">
        <v>48</v>
      </c>
      <c r="U1130" t="inlineStr">
        <is>
          <t>2002-04-25</t>
        </is>
      </c>
      <c r="V1130" t="inlineStr">
        <is>
          <t>2006-02-20</t>
        </is>
      </c>
      <c r="W1130" t="inlineStr">
        <is>
          <t>1993-04-28</t>
        </is>
      </c>
      <c r="X1130" t="inlineStr">
        <is>
          <t>1993-04-28</t>
        </is>
      </c>
      <c r="Y1130" t="n">
        <v>695</v>
      </c>
      <c r="Z1130" t="n">
        <v>655</v>
      </c>
      <c r="AA1130" t="n">
        <v>714</v>
      </c>
      <c r="AB1130" t="n">
        <v>3</v>
      </c>
      <c r="AC1130" t="n">
        <v>3</v>
      </c>
      <c r="AD1130" t="n">
        <v>11</v>
      </c>
      <c r="AE1130" t="n">
        <v>14</v>
      </c>
      <c r="AF1130" t="n">
        <v>4</v>
      </c>
      <c r="AG1130" t="n">
        <v>5</v>
      </c>
      <c r="AH1130" t="n">
        <v>3</v>
      </c>
      <c r="AI1130" t="n">
        <v>4</v>
      </c>
      <c r="AJ1130" t="n">
        <v>7</v>
      </c>
      <c r="AK1130" t="n">
        <v>9</v>
      </c>
      <c r="AL1130" t="n">
        <v>0</v>
      </c>
      <c r="AM1130" t="n">
        <v>0</v>
      </c>
      <c r="AN1130" t="n">
        <v>0</v>
      </c>
      <c r="AO1130" t="n">
        <v>0</v>
      </c>
      <c r="AP1130" t="inlineStr">
        <is>
          <t>No</t>
        </is>
      </c>
      <c r="AQ1130" t="inlineStr">
        <is>
          <t>Yes</t>
        </is>
      </c>
      <c r="AR1130">
        <f>HYPERLINK("http://catalog.hathitrust.org/Record/000780927","HathiTrust Record")</f>
        <v/>
      </c>
      <c r="AS1130">
        <f>HYPERLINK("https://creighton-primo.hosted.exlibrisgroup.com/primo-explore/search?tab=default_tab&amp;search_scope=EVERYTHING&amp;vid=01CRU&amp;lang=en_US&amp;offset=0&amp;query=any,contains,991000222329702656","Catalog Record")</f>
        <v/>
      </c>
      <c r="AT1130">
        <f>HYPERLINK("http://www.worldcat.org/oclc/9576900","WorldCat Record")</f>
        <v/>
      </c>
      <c r="AU1130" t="inlineStr">
        <is>
          <t>836620393:eng</t>
        </is>
      </c>
      <c r="AV1130" t="inlineStr">
        <is>
          <t>9576900</t>
        </is>
      </c>
      <c r="AW1130" t="inlineStr">
        <is>
          <t>991000222329702656</t>
        </is>
      </c>
      <c r="AX1130" t="inlineStr">
        <is>
          <t>991000222329702656</t>
        </is>
      </c>
      <c r="AY1130" t="inlineStr">
        <is>
          <t>2269177800002656</t>
        </is>
      </c>
      <c r="AZ1130" t="inlineStr">
        <is>
          <t>BOOK</t>
        </is>
      </c>
      <c r="BB1130" t="inlineStr">
        <is>
          <t>9780060152338</t>
        </is>
      </c>
      <c r="BC1130" t="inlineStr">
        <is>
          <t>32285000895945</t>
        </is>
      </c>
      <c r="BD1130" t="inlineStr">
        <is>
          <t>893802615</t>
        </is>
      </c>
    </row>
    <row r="1131">
      <c r="A1131" t="inlineStr">
        <is>
          <t>No</t>
        </is>
      </c>
      <c r="B1131" t="inlineStr">
        <is>
          <t>RC552.B84 P66 1984</t>
        </is>
      </c>
      <c r="C1131" t="inlineStr">
        <is>
          <t>0                      RC 0552000B  84                 P  66          1984</t>
        </is>
      </c>
      <c r="D1131" t="inlineStr">
        <is>
          <t>New hope for binge eaters : advances in the understanding and treatment of bulimia / Harrison G. Pope, Jr. and James I. Hudson.</t>
        </is>
      </c>
      <c r="F1131" t="inlineStr">
        <is>
          <t>No</t>
        </is>
      </c>
      <c r="G1131" t="inlineStr">
        <is>
          <t>1</t>
        </is>
      </c>
      <c r="H1131" t="inlineStr">
        <is>
          <t>Yes</t>
        </is>
      </c>
      <c r="I1131" t="inlineStr">
        <is>
          <t>No</t>
        </is>
      </c>
      <c r="J1131" t="inlineStr">
        <is>
          <t>0</t>
        </is>
      </c>
      <c r="K1131" t="inlineStr">
        <is>
          <t>Pope, Harrison.</t>
        </is>
      </c>
      <c r="L1131" t="inlineStr">
        <is>
          <t>New York : Harper &amp; Row, c1984.</t>
        </is>
      </c>
      <c r="M1131" t="inlineStr">
        <is>
          <t>1984</t>
        </is>
      </c>
      <c r="N1131" t="inlineStr">
        <is>
          <t>1st ed.</t>
        </is>
      </c>
      <c r="O1131" t="inlineStr">
        <is>
          <t>eng</t>
        </is>
      </c>
      <c r="P1131" t="inlineStr">
        <is>
          <t>nyu</t>
        </is>
      </c>
      <c r="R1131" t="inlineStr">
        <is>
          <t xml:space="preserve">RC </t>
        </is>
      </c>
      <c r="S1131" t="n">
        <v>24</v>
      </c>
      <c r="T1131" t="n">
        <v>48</v>
      </c>
      <c r="U1131" t="inlineStr">
        <is>
          <t>2006-02-20</t>
        </is>
      </c>
      <c r="V1131" t="inlineStr">
        <is>
          <t>2006-02-20</t>
        </is>
      </c>
      <c r="W1131" t="inlineStr">
        <is>
          <t>1990-02-21</t>
        </is>
      </c>
      <c r="X1131" t="inlineStr">
        <is>
          <t>1993-04-28</t>
        </is>
      </c>
      <c r="Y1131" t="n">
        <v>695</v>
      </c>
      <c r="Z1131" t="n">
        <v>655</v>
      </c>
      <c r="AA1131" t="n">
        <v>714</v>
      </c>
      <c r="AB1131" t="n">
        <v>3</v>
      </c>
      <c r="AC1131" t="n">
        <v>3</v>
      </c>
      <c r="AD1131" t="n">
        <v>11</v>
      </c>
      <c r="AE1131" t="n">
        <v>14</v>
      </c>
      <c r="AF1131" t="n">
        <v>4</v>
      </c>
      <c r="AG1131" t="n">
        <v>5</v>
      </c>
      <c r="AH1131" t="n">
        <v>3</v>
      </c>
      <c r="AI1131" t="n">
        <v>4</v>
      </c>
      <c r="AJ1131" t="n">
        <v>7</v>
      </c>
      <c r="AK1131" t="n">
        <v>9</v>
      </c>
      <c r="AL1131" t="n">
        <v>0</v>
      </c>
      <c r="AM1131" t="n">
        <v>0</v>
      </c>
      <c r="AN1131" t="n">
        <v>0</v>
      </c>
      <c r="AO1131" t="n">
        <v>0</v>
      </c>
      <c r="AP1131" t="inlineStr">
        <is>
          <t>No</t>
        </is>
      </c>
      <c r="AQ1131" t="inlineStr">
        <is>
          <t>Yes</t>
        </is>
      </c>
      <c r="AR1131">
        <f>HYPERLINK("http://catalog.hathitrust.org/Record/000780927","HathiTrust Record")</f>
        <v/>
      </c>
      <c r="AS1131">
        <f>HYPERLINK("https://creighton-primo.hosted.exlibrisgroup.com/primo-explore/search?tab=default_tab&amp;search_scope=EVERYTHING&amp;vid=01CRU&amp;lang=en_US&amp;offset=0&amp;query=any,contains,991000222329702656","Catalog Record")</f>
        <v/>
      </c>
      <c r="AT1131">
        <f>HYPERLINK("http://www.worldcat.org/oclc/9576900","WorldCat Record")</f>
        <v/>
      </c>
      <c r="AU1131" t="inlineStr">
        <is>
          <t>836620393:eng</t>
        </is>
      </c>
      <c r="AV1131" t="inlineStr">
        <is>
          <t>9576900</t>
        </is>
      </c>
      <c r="AW1131" t="inlineStr">
        <is>
          <t>991000222329702656</t>
        </is>
      </c>
      <c r="AX1131" t="inlineStr">
        <is>
          <t>991000222329702656</t>
        </is>
      </c>
      <c r="AY1131" t="inlineStr">
        <is>
          <t>2269177800002656</t>
        </is>
      </c>
      <c r="AZ1131" t="inlineStr">
        <is>
          <t>BOOK</t>
        </is>
      </c>
      <c r="BB1131" t="inlineStr">
        <is>
          <t>9780060152338</t>
        </is>
      </c>
      <c r="BC1131" t="inlineStr">
        <is>
          <t>32285000056647</t>
        </is>
      </c>
      <c r="BD1131" t="inlineStr">
        <is>
          <t>893790353</t>
        </is>
      </c>
    </row>
    <row r="1132">
      <c r="A1132" t="inlineStr">
        <is>
          <t>No</t>
        </is>
      </c>
      <c r="B1132" t="inlineStr">
        <is>
          <t>RC552.B84 R66 1986</t>
        </is>
      </c>
      <c r="C1132" t="inlineStr">
        <is>
          <t>0                      RC 0552000B  84                 R  66          1986</t>
        </is>
      </c>
      <c r="D1132" t="inlineStr">
        <is>
          <t>Bulimia : a systems approach to treatment / Maria P.P. Root, Patricia Fallon, William N. Friedrich.</t>
        </is>
      </c>
      <c r="F1132" t="inlineStr">
        <is>
          <t>No</t>
        </is>
      </c>
      <c r="G1132" t="inlineStr">
        <is>
          <t>1</t>
        </is>
      </c>
      <c r="H1132" t="inlineStr">
        <is>
          <t>No</t>
        </is>
      </c>
      <c r="I1132" t="inlineStr">
        <is>
          <t>No</t>
        </is>
      </c>
      <c r="J1132" t="inlineStr">
        <is>
          <t>0</t>
        </is>
      </c>
      <c r="K1132" t="inlineStr">
        <is>
          <t>Root, Maria P. P.</t>
        </is>
      </c>
      <c r="L1132" t="inlineStr">
        <is>
          <t>New York : W.W. Norton &amp; Co., c1986.</t>
        </is>
      </c>
      <c r="M1132" t="inlineStr">
        <is>
          <t>1986</t>
        </is>
      </c>
      <c r="N1132" t="inlineStr">
        <is>
          <t>1st ed.</t>
        </is>
      </c>
      <c r="O1132" t="inlineStr">
        <is>
          <t>eng</t>
        </is>
      </c>
      <c r="P1132" t="inlineStr">
        <is>
          <t>nyu</t>
        </is>
      </c>
      <c r="R1132" t="inlineStr">
        <is>
          <t xml:space="preserve">RC </t>
        </is>
      </c>
      <c r="S1132" t="n">
        <v>31</v>
      </c>
      <c r="T1132" t="n">
        <v>31</v>
      </c>
      <c r="U1132" t="inlineStr">
        <is>
          <t>2000-04-02</t>
        </is>
      </c>
      <c r="V1132" t="inlineStr">
        <is>
          <t>2000-04-02</t>
        </is>
      </c>
      <c r="W1132" t="inlineStr">
        <is>
          <t>1992-01-06</t>
        </is>
      </c>
      <c r="X1132" t="inlineStr">
        <is>
          <t>1992-01-06</t>
        </is>
      </c>
      <c r="Y1132" t="n">
        <v>366</v>
      </c>
      <c r="Z1132" t="n">
        <v>317</v>
      </c>
      <c r="AA1132" t="n">
        <v>318</v>
      </c>
      <c r="AB1132" t="n">
        <v>2</v>
      </c>
      <c r="AC1132" t="n">
        <v>2</v>
      </c>
      <c r="AD1132" t="n">
        <v>11</v>
      </c>
      <c r="AE1132" t="n">
        <v>11</v>
      </c>
      <c r="AF1132" t="n">
        <v>4</v>
      </c>
      <c r="AG1132" t="n">
        <v>4</v>
      </c>
      <c r="AH1132" t="n">
        <v>1</v>
      </c>
      <c r="AI1132" t="n">
        <v>1</v>
      </c>
      <c r="AJ1132" t="n">
        <v>8</v>
      </c>
      <c r="AK1132" t="n">
        <v>8</v>
      </c>
      <c r="AL1132" t="n">
        <v>1</v>
      </c>
      <c r="AM1132" t="n">
        <v>1</v>
      </c>
      <c r="AN1132" t="n">
        <v>0</v>
      </c>
      <c r="AO1132" t="n">
        <v>0</v>
      </c>
      <c r="AP1132" t="inlineStr">
        <is>
          <t>No</t>
        </is>
      </c>
      <c r="AQ1132" t="inlineStr">
        <is>
          <t>No</t>
        </is>
      </c>
      <c r="AS1132">
        <f>HYPERLINK("https://creighton-primo.hosted.exlibrisgroup.com/primo-explore/search?tab=default_tab&amp;search_scope=EVERYTHING&amp;vid=01CRU&amp;lang=en_US&amp;offset=0&amp;query=any,contains,991000785399702656","Catalog Record")</f>
        <v/>
      </c>
      <c r="AT1132">
        <f>HYPERLINK("http://www.worldcat.org/oclc/13124021","WorldCat Record")</f>
        <v/>
      </c>
      <c r="AU1132" t="inlineStr">
        <is>
          <t>836618865:eng</t>
        </is>
      </c>
      <c r="AV1132" t="inlineStr">
        <is>
          <t>13124021</t>
        </is>
      </c>
      <c r="AW1132" t="inlineStr">
        <is>
          <t>991000785399702656</t>
        </is>
      </c>
      <c r="AX1132" t="inlineStr">
        <is>
          <t>991000785399702656</t>
        </is>
      </c>
      <c r="AY1132" t="inlineStr">
        <is>
          <t>2255318670002656</t>
        </is>
      </c>
      <c r="AZ1132" t="inlineStr">
        <is>
          <t>BOOK</t>
        </is>
      </c>
      <c r="BB1132" t="inlineStr">
        <is>
          <t>9780393700244</t>
        </is>
      </c>
      <c r="BC1132" t="inlineStr">
        <is>
          <t>32285000892439</t>
        </is>
      </c>
      <c r="BD1132" t="inlineStr">
        <is>
          <t>893432293</t>
        </is>
      </c>
    </row>
    <row r="1133">
      <c r="A1133" t="inlineStr">
        <is>
          <t>No</t>
        </is>
      </c>
      <c r="B1133" t="inlineStr">
        <is>
          <t>RC552.B84 R69 2002</t>
        </is>
      </c>
      <c r="C1133" t="inlineStr">
        <is>
          <t>0                      RC 0552000B  84                 R  69          2002</t>
        </is>
      </c>
      <c r="D1133" t="inlineStr">
        <is>
          <t>The monster within : facing an eating disorder / Cynthia Rowland McClure.</t>
        </is>
      </c>
      <c r="F1133" t="inlineStr">
        <is>
          <t>No</t>
        </is>
      </c>
      <c r="G1133" t="inlineStr">
        <is>
          <t>1</t>
        </is>
      </c>
      <c r="H1133" t="inlineStr">
        <is>
          <t>No</t>
        </is>
      </c>
      <c r="I1133" t="inlineStr">
        <is>
          <t>No</t>
        </is>
      </c>
      <c r="J1133" t="inlineStr">
        <is>
          <t>0</t>
        </is>
      </c>
      <c r="K1133" t="inlineStr">
        <is>
          <t>McClure, Cynthia Rowland.</t>
        </is>
      </c>
      <c r="L1133" t="inlineStr">
        <is>
          <t>Grand Rapids, Mich. : Fleming H. Revell, c2002.</t>
        </is>
      </c>
      <c r="M1133" t="inlineStr">
        <is>
          <t>2002</t>
        </is>
      </c>
      <c r="O1133" t="inlineStr">
        <is>
          <t>eng</t>
        </is>
      </c>
      <c r="P1133" t="inlineStr">
        <is>
          <t>miu</t>
        </is>
      </c>
      <c r="R1133" t="inlineStr">
        <is>
          <t xml:space="preserve">RC </t>
        </is>
      </c>
      <c r="S1133" t="n">
        <v>9</v>
      </c>
      <c r="T1133" t="n">
        <v>9</v>
      </c>
      <c r="U1133" t="inlineStr">
        <is>
          <t>2009-02-19</t>
        </is>
      </c>
      <c r="V1133" t="inlineStr">
        <is>
          <t>2009-02-19</t>
        </is>
      </c>
      <c r="W1133" t="inlineStr">
        <is>
          <t>2002-11-14</t>
        </is>
      </c>
      <c r="X1133" t="inlineStr">
        <is>
          <t>2002-11-14</t>
        </is>
      </c>
      <c r="Y1133" t="n">
        <v>81</v>
      </c>
      <c r="Z1133" t="n">
        <v>77</v>
      </c>
      <c r="AA1133" t="n">
        <v>83</v>
      </c>
      <c r="AB1133" t="n">
        <v>2</v>
      </c>
      <c r="AC1133" t="n">
        <v>2</v>
      </c>
      <c r="AD1133" t="n">
        <v>2</v>
      </c>
      <c r="AE1133" t="n">
        <v>3</v>
      </c>
      <c r="AF1133" t="n">
        <v>1</v>
      </c>
      <c r="AG1133" t="n">
        <v>2</v>
      </c>
      <c r="AH1133" t="n">
        <v>0</v>
      </c>
      <c r="AI1133" t="n">
        <v>1</v>
      </c>
      <c r="AJ1133" t="n">
        <v>1</v>
      </c>
      <c r="AK1133" t="n">
        <v>1</v>
      </c>
      <c r="AL1133" t="n">
        <v>0</v>
      </c>
      <c r="AM1133" t="n">
        <v>0</v>
      </c>
      <c r="AN1133" t="n">
        <v>0</v>
      </c>
      <c r="AO1133" t="n">
        <v>0</v>
      </c>
      <c r="AP1133" t="inlineStr">
        <is>
          <t>No</t>
        </is>
      </c>
      <c r="AQ1133" t="inlineStr">
        <is>
          <t>No</t>
        </is>
      </c>
      <c r="AS1133">
        <f>HYPERLINK("https://creighton-primo.hosted.exlibrisgroup.com/primo-explore/search?tab=default_tab&amp;search_scope=EVERYTHING&amp;vid=01CRU&amp;lang=en_US&amp;offset=0&amp;query=any,contains,991003933539702656","Catalog Record")</f>
        <v/>
      </c>
      <c r="AT1133">
        <f>HYPERLINK("http://www.worldcat.org/oclc/49284360","WorldCat Record")</f>
        <v/>
      </c>
      <c r="AU1133" t="inlineStr">
        <is>
          <t>3859120938:eng</t>
        </is>
      </c>
      <c r="AV1133" t="inlineStr">
        <is>
          <t>49284360</t>
        </is>
      </c>
      <c r="AW1133" t="inlineStr">
        <is>
          <t>991003933539702656</t>
        </is>
      </c>
      <c r="AX1133" t="inlineStr">
        <is>
          <t>991003933539702656</t>
        </is>
      </c>
      <c r="AY1133" t="inlineStr">
        <is>
          <t>2255256540002656</t>
        </is>
      </c>
      <c r="AZ1133" t="inlineStr">
        <is>
          <t>BOOK</t>
        </is>
      </c>
      <c r="BB1133" t="inlineStr">
        <is>
          <t>9780800758028</t>
        </is>
      </c>
      <c r="BC1133" t="inlineStr">
        <is>
          <t>32285004663729</t>
        </is>
      </c>
      <c r="BD1133" t="inlineStr">
        <is>
          <t>893259103</t>
        </is>
      </c>
    </row>
    <row r="1134">
      <c r="A1134" t="inlineStr">
        <is>
          <t>No</t>
        </is>
      </c>
      <c r="B1134" t="inlineStr">
        <is>
          <t>RC552.B84 W47 1983</t>
        </is>
      </c>
      <c r="C1134" t="inlineStr">
        <is>
          <t>0                      RC 0552000B  84                 W  47          1983</t>
        </is>
      </c>
      <c r="D1134" t="inlineStr">
        <is>
          <t>Bulimarexia : the binge/purge cycle / Marlene Boskind-White, William C. White, Jr.</t>
        </is>
      </c>
      <c r="F1134" t="inlineStr">
        <is>
          <t>No</t>
        </is>
      </c>
      <c r="G1134" t="inlineStr">
        <is>
          <t>1</t>
        </is>
      </c>
      <c r="H1134" t="inlineStr">
        <is>
          <t>No</t>
        </is>
      </c>
      <c r="I1134" t="inlineStr">
        <is>
          <t>No</t>
        </is>
      </c>
      <c r="J1134" t="inlineStr">
        <is>
          <t>0</t>
        </is>
      </c>
      <c r="K1134" t="inlineStr">
        <is>
          <t>Boskind-White, Marlene.</t>
        </is>
      </c>
      <c r="L1134" t="inlineStr">
        <is>
          <t>New York : Norton, c1983.</t>
        </is>
      </c>
      <c r="M1134" t="inlineStr">
        <is>
          <t>1983</t>
        </is>
      </c>
      <c r="N1134" t="inlineStr">
        <is>
          <t>1st ed.</t>
        </is>
      </c>
      <c r="O1134" t="inlineStr">
        <is>
          <t>eng</t>
        </is>
      </c>
      <c r="P1134" t="inlineStr">
        <is>
          <t>nyu</t>
        </is>
      </c>
      <c r="R1134" t="inlineStr">
        <is>
          <t xml:space="preserve">RC </t>
        </is>
      </c>
      <c r="S1134" t="n">
        <v>30</v>
      </c>
      <c r="T1134" t="n">
        <v>30</v>
      </c>
      <c r="U1134" t="inlineStr">
        <is>
          <t>2006-03-17</t>
        </is>
      </c>
      <c r="V1134" t="inlineStr">
        <is>
          <t>2006-03-17</t>
        </is>
      </c>
      <c r="W1134" t="inlineStr">
        <is>
          <t>1990-06-01</t>
        </is>
      </c>
      <c r="X1134" t="inlineStr">
        <is>
          <t>1990-06-01</t>
        </is>
      </c>
      <c r="Y1134" t="n">
        <v>876</v>
      </c>
      <c r="Z1134" t="n">
        <v>811</v>
      </c>
      <c r="AA1134" t="n">
        <v>1222</v>
      </c>
      <c r="AB1134" t="n">
        <v>9</v>
      </c>
      <c r="AC1134" t="n">
        <v>11</v>
      </c>
      <c r="AD1134" t="n">
        <v>20</v>
      </c>
      <c r="AE1134" t="n">
        <v>29</v>
      </c>
      <c r="AF1134" t="n">
        <v>8</v>
      </c>
      <c r="AG1134" t="n">
        <v>11</v>
      </c>
      <c r="AH1134" t="n">
        <v>3</v>
      </c>
      <c r="AI1134" t="n">
        <v>5</v>
      </c>
      <c r="AJ1134" t="n">
        <v>9</v>
      </c>
      <c r="AK1134" t="n">
        <v>13</v>
      </c>
      <c r="AL1134" t="n">
        <v>4</v>
      </c>
      <c r="AM1134" t="n">
        <v>6</v>
      </c>
      <c r="AN1134" t="n">
        <v>0</v>
      </c>
      <c r="AO1134" t="n">
        <v>0</v>
      </c>
      <c r="AP1134" t="inlineStr">
        <is>
          <t>No</t>
        </is>
      </c>
      <c r="AQ1134" t="inlineStr">
        <is>
          <t>No</t>
        </is>
      </c>
      <c r="AS1134">
        <f>HYPERLINK("https://creighton-primo.hosted.exlibrisgroup.com/primo-explore/search?tab=default_tab&amp;search_scope=EVERYTHING&amp;vid=01CRU&amp;lang=en_US&amp;offset=0&amp;query=any,contains,991000065899702656","Catalog Record")</f>
        <v/>
      </c>
      <c r="AT1134">
        <f>HYPERLINK("http://www.worldcat.org/oclc/8763610","WorldCat Record")</f>
        <v/>
      </c>
      <c r="AU1134" t="inlineStr">
        <is>
          <t>8758027:eng</t>
        </is>
      </c>
      <c r="AV1134" t="inlineStr">
        <is>
          <t>8763610</t>
        </is>
      </c>
      <c r="AW1134" t="inlineStr">
        <is>
          <t>991000065899702656</t>
        </is>
      </c>
      <c r="AX1134" t="inlineStr">
        <is>
          <t>991000065899702656</t>
        </is>
      </c>
      <c r="AY1134" t="inlineStr">
        <is>
          <t>2267714410002656</t>
        </is>
      </c>
      <c r="AZ1134" t="inlineStr">
        <is>
          <t>BOOK</t>
        </is>
      </c>
      <c r="BB1134" t="inlineStr">
        <is>
          <t>9780393016505</t>
        </is>
      </c>
      <c r="BC1134" t="inlineStr">
        <is>
          <t>32285000180157</t>
        </is>
      </c>
      <c r="BD1134" t="inlineStr">
        <is>
          <t>893871380</t>
        </is>
      </c>
    </row>
    <row r="1135">
      <c r="A1135" t="inlineStr">
        <is>
          <t>No</t>
        </is>
      </c>
      <c r="B1135" t="inlineStr">
        <is>
          <t>RC552.C65 R657 1993</t>
        </is>
      </c>
      <c r="C1135" t="inlineStr">
        <is>
          <t>0                      RC 0552000C  65                 R  657         1993</t>
        </is>
      </c>
      <c r="D1135" t="inlineStr">
        <is>
          <t>Feeding the hungry heart : the experience of compulsive eating / by Geneen Roth.</t>
        </is>
      </c>
      <c r="F1135" t="inlineStr">
        <is>
          <t>No</t>
        </is>
      </c>
      <c r="G1135" t="inlineStr">
        <is>
          <t>1</t>
        </is>
      </c>
      <c r="H1135" t="inlineStr">
        <is>
          <t>No</t>
        </is>
      </c>
      <c r="I1135" t="inlineStr">
        <is>
          <t>No</t>
        </is>
      </c>
      <c r="J1135" t="inlineStr">
        <is>
          <t>0</t>
        </is>
      </c>
      <c r="K1135" t="inlineStr">
        <is>
          <t>Roth, Geneen.</t>
        </is>
      </c>
      <c r="L1135" t="inlineStr">
        <is>
          <t>New York, N.Y., U.S.A. : Plume, 1993.</t>
        </is>
      </c>
      <c r="M1135" t="inlineStr">
        <is>
          <t>1993</t>
        </is>
      </c>
      <c r="O1135" t="inlineStr">
        <is>
          <t>eng</t>
        </is>
      </c>
      <c r="P1135" t="inlineStr">
        <is>
          <t>nyu</t>
        </is>
      </c>
      <c r="R1135" t="inlineStr">
        <is>
          <t xml:space="preserve">RC </t>
        </is>
      </c>
      <c r="S1135" t="n">
        <v>55</v>
      </c>
      <c r="T1135" t="n">
        <v>55</v>
      </c>
      <c r="U1135" t="inlineStr">
        <is>
          <t>2010-07-15</t>
        </is>
      </c>
      <c r="V1135" t="inlineStr">
        <is>
          <t>2010-07-15</t>
        </is>
      </c>
      <c r="W1135" t="inlineStr">
        <is>
          <t>1993-10-28</t>
        </is>
      </c>
      <c r="X1135" t="inlineStr">
        <is>
          <t>1993-10-28</t>
        </is>
      </c>
      <c r="Y1135" t="n">
        <v>249</v>
      </c>
      <c r="Z1135" t="n">
        <v>226</v>
      </c>
      <c r="AA1135" t="n">
        <v>645</v>
      </c>
      <c r="AB1135" t="n">
        <v>2</v>
      </c>
      <c r="AC1135" t="n">
        <v>7</v>
      </c>
      <c r="AD1135" t="n">
        <v>3</v>
      </c>
      <c r="AE1135" t="n">
        <v>7</v>
      </c>
      <c r="AF1135" t="n">
        <v>1</v>
      </c>
      <c r="AG1135" t="n">
        <v>2</v>
      </c>
      <c r="AH1135" t="n">
        <v>0</v>
      </c>
      <c r="AI1135" t="n">
        <v>1</v>
      </c>
      <c r="AJ1135" t="n">
        <v>1</v>
      </c>
      <c r="AK1135" t="n">
        <v>2</v>
      </c>
      <c r="AL1135" t="n">
        <v>1</v>
      </c>
      <c r="AM1135" t="n">
        <v>3</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HYPERLINK("https://creighton-primo.hosted.exlibrisgroup.com/primo-explore/search?tab=default_tab&amp;search_scope=EVERYTHING&amp;vid=01CRU&amp;lang=en_US&amp;offset=0&amp;query=any,contains,991002167899702656","Catalog Record")</f>
        <v/>
      </c>
      <c r="AT1135">
        <f>HYPERLINK("http://www.worldcat.org/oclc/27897616","WorldCat Record")</f>
        <v/>
      </c>
      <c r="AU1135" t="inlineStr">
        <is>
          <t>2991495:eng</t>
        </is>
      </c>
      <c r="AV1135" t="inlineStr">
        <is>
          <t>27897616</t>
        </is>
      </c>
      <c r="AW1135" t="inlineStr">
        <is>
          <t>991002167899702656</t>
        </is>
      </c>
      <c r="AX1135" t="inlineStr">
        <is>
          <t>991002167899702656</t>
        </is>
      </c>
      <c r="AY1135" t="inlineStr">
        <is>
          <t>2260815830002656</t>
        </is>
      </c>
      <c r="AZ1135" t="inlineStr">
        <is>
          <t>BOOK</t>
        </is>
      </c>
      <c r="BB1135" t="inlineStr">
        <is>
          <t>9780452270831</t>
        </is>
      </c>
      <c r="BC1135" t="inlineStr">
        <is>
          <t>32285001789139</t>
        </is>
      </c>
      <c r="BD1135" t="inlineStr">
        <is>
          <t>893516962</t>
        </is>
      </c>
    </row>
    <row r="1136">
      <c r="A1136" t="inlineStr">
        <is>
          <t>No</t>
        </is>
      </c>
      <c r="B1136" t="inlineStr">
        <is>
          <t>RC552.C65 W55 1993</t>
        </is>
      </c>
      <c r="C1136" t="inlineStr">
        <is>
          <t>0                      RC 0552000C  65                 W  55          1993</t>
        </is>
      </c>
      <c r="D1136" t="inlineStr">
        <is>
          <t>Am I hungry...or am I hurting? : healing from food addiction with the Twelve Steps / Carla Wills-Brandon.</t>
        </is>
      </c>
      <c r="F1136" t="inlineStr">
        <is>
          <t>No</t>
        </is>
      </c>
      <c r="G1136" t="inlineStr">
        <is>
          <t>1</t>
        </is>
      </c>
      <c r="H1136" t="inlineStr">
        <is>
          <t>No</t>
        </is>
      </c>
      <c r="I1136" t="inlineStr">
        <is>
          <t>No</t>
        </is>
      </c>
      <c r="J1136" t="inlineStr">
        <is>
          <t>0</t>
        </is>
      </c>
      <c r="K1136" t="inlineStr">
        <is>
          <t>Wills-Brandon, Carla, 1956-</t>
        </is>
      </c>
      <c r="L1136" t="inlineStr">
        <is>
          <t>San Diego : Recovery Publications, c1993.</t>
        </is>
      </c>
      <c r="M1136" t="inlineStr">
        <is>
          <t>1993</t>
        </is>
      </c>
      <c r="N1136" t="inlineStr">
        <is>
          <t>1st ed.</t>
        </is>
      </c>
      <c r="O1136" t="inlineStr">
        <is>
          <t>eng</t>
        </is>
      </c>
      <c r="P1136" t="inlineStr">
        <is>
          <t>cau</t>
        </is>
      </c>
      <c r="R1136" t="inlineStr">
        <is>
          <t xml:space="preserve">RC </t>
        </is>
      </c>
      <c r="S1136" t="n">
        <v>52</v>
      </c>
      <c r="T1136" t="n">
        <v>52</v>
      </c>
      <c r="U1136" t="inlineStr">
        <is>
          <t>2008-03-25</t>
        </is>
      </c>
      <c r="V1136" t="inlineStr">
        <is>
          <t>2008-03-25</t>
        </is>
      </c>
      <c r="W1136" t="inlineStr">
        <is>
          <t>1993-10-04</t>
        </is>
      </c>
      <c r="X1136" t="inlineStr">
        <is>
          <t>1993-10-04</t>
        </is>
      </c>
      <c r="Y1136" t="n">
        <v>31</v>
      </c>
      <c r="Z1136" t="n">
        <v>28</v>
      </c>
      <c r="AA1136" t="n">
        <v>28</v>
      </c>
      <c r="AB1136" t="n">
        <v>1</v>
      </c>
      <c r="AC1136" t="n">
        <v>1</v>
      </c>
      <c r="AD1136" t="n">
        <v>0</v>
      </c>
      <c r="AE1136" t="n">
        <v>0</v>
      </c>
      <c r="AF1136" t="n">
        <v>0</v>
      </c>
      <c r="AG1136" t="n">
        <v>0</v>
      </c>
      <c r="AH1136" t="n">
        <v>0</v>
      </c>
      <c r="AI1136" t="n">
        <v>0</v>
      </c>
      <c r="AJ1136" t="n">
        <v>0</v>
      </c>
      <c r="AK1136" t="n">
        <v>0</v>
      </c>
      <c r="AL1136" t="n">
        <v>0</v>
      </c>
      <c r="AM1136" t="n">
        <v>0</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HYPERLINK("https://creighton-primo.hosted.exlibrisgroup.com/primo-explore/search?tab=default_tab&amp;search_scope=EVERYTHING&amp;vid=01CRU&amp;lang=en_US&amp;offset=0&amp;query=any,contains,991002158379702656","Catalog Record")</f>
        <v/>
      </c>
      <c r="AT1136">
        <f>HYPERLINK("http://www.worldcat.org/oclc/27811459","WorldCat Record")</f>
        <v/>
      </c>
      <c r="AU1136" t="inlineStr">
        <is>
          <t>383555:eng</t>
        </is>
      </c>
      <c r="AV1136" t="inlineStr">
        <is>
          <t>27811459</t>
        </is>
      </c>
      <c r="AW1136" t="inlineStr">
        <is>
          <t>991002158379702656</t>
        </is>
      </c>
      <c r="AX1136" t="inlineStr">
        <is>
          <t>991002158379702656</t>
        </is>
      </c>
      <c r="AY1136" t="inlineStr">
        <is>
          <t>2258850180002656</t>
        </is>
      </c>
      <c r="AZ1136" t="inlineStr">
        <is>
          <t>BOOK</t>
        </is>
      </c>
      <c r="BB1136" t="inlineStr">
        <is>
          <t>9780941405171</t>
        </is>
      </c>
      <c r="BC1136" t="inlineStr">
        <is>
          <t>32285001769776</t>
        </is>
      </c>
      <c r="BD1136" t="inlineStr">
        <is>
          <t>893879561</t>
        </is>
      </c>
    </row>
    <row r="1137">
      <c r="A1137" t="inlineStr">
        <is>
          <t>No</t>
        </is>
      </c>
      <c r="B1137" t="inlineStr">
        <is>
          <t>RC552.E18 B63 1996</t>
        </is>
      </c>
      <c r="C1137" t="inlineStr">
        <is>
          <t>0                      RC 0552000E  18                 B  63          1996</t>
        </is>
      </c>
      <c r="D1137" t="inlineStr">
        <is>
          <t>Body image, eating disorders, and obesity : an integrative guide for assessment and treatment / edited by J. Kevin Thompson.</t>
        </is>
      </c>
      <c r="F1137" t="inlineStr">
        <is>
          <t>No</t>
        </is>
      </c>
      <c r="G1137" t="inlineStr">
        <is>
          <t>1</t>
        </is>
      </c>
      <c r="H1137" t="inlineStr">
        <is>
          <t>No</t>
        </is>
      </c>
      <c r="I1137" t="inlineStr">
        <is>
          <t>No</t>
        </is>
      </c>
      <c r="J1137" t="inlineStr">
        <is>
          <t>0</t>
        </is>
      </c>
      <c r="L1137" t="inlineStr">
        <is>
          <t>Washington, DC : American Psychological Association, c1996.</t>
        </is>
      </c>
      <c r="M1137" t="inlineStr">
        <is>
          <t>1996</t>
        </is>
      </c>
      <c r="N1137" t="inlineStr">
        <is>
          <t>1st ed.</t>
        </is>
      </c>
      <c r="O1137" t="inlineStr">
        <is>
          <t>eng</t>
        </is>
      </c>
      <c r="P1137" t="inlineStr">
        <is>
          <t>dcu</t>
        </is>
      </c>
      <c r="R1137" t="inlineStr">
        <is>
          <t xml:space="preserve">RC </t>
        </is>
      </c>
      <c r="S1137" t="n">
        <v>54</v>
      </c>
      <c r="T1137" t="n">
        <v>54</v>
      </c>
      <c r="U1137" t="inlineStr">
        <is>
          <t>2008-12-07</t>
        </is>
      </c>
      <c r="V1137" t="inlineStr">
        <is>
          <t>2008-12-07</t>
        </is>
      </c>
      <c r="W1137" t="inlineStr">
        <is>
          <t>1996-06-13</t>
        </is>
      </c>
      <c r="X1137" t="inlineStr">
        <is>
          <t>1996-06-13</t>
        </is>
      </c>
      <c r="Y1137" t="n">
        <v>579</v>
      </c>
      <c r="Z1137" t="n">
        <v>489</v>
      </c>
      <c r="AA1137" t="n">
        <v>551</v>
      </c>
      <c r="AB1137" t="n">
        <v>4</v>
      </c>
      <c r="AC1137" t="n">
        <v>5</v>
      </c>
      <c r="AD1137" t="n">
        <v>23</v>
      </c>
      <c r="AE1137" t="n">
        <v>28</v>
      </c>
      <c r="AF1137" t="n">
        <v>11</v>
      </c>
      <c r="AG1137" t="n">
        <v>13</v>
      </c>
      <c r="AH1137" t="n">
        <v>5</v>
      </c>
      <c r="AI1137" t="n">
        <v>5</v>
      </c>
      <c r="AJ1137" t="n">
        <v>10</v>
      </c>
      <c r="AK1137" t="n">
        <v>12</v>
      </c>
      <c r="AL1137" t="n">
        <v>3</v>
      </c>
      <c r="AM1137" t="n">
        <v>4</v>
      </c>
      <c r="AN1137" t="n">
        <v>0</v>
      </c>
      <c r="AO1137" t="n">
        <v>0</v>
      </c>
      <c r="AP1137" t="inlineStr">
        <is>
          <t>No</t>
        </is>
      </c>
      <c r="AQ1137" t="inlineStr">
        <is>
          <t>No</t>
        </is>
      </c>
      <c r="AS1137">
        <f>HYPERLINK("https://creighton-primo.hosted.exlibrisgroup.com/primo-explore/search?tab=default_tab&amp;search_scope=EVERYTHING&amp;vid=01CRU&amp;lang=en_US&amp;offset=0&amp;query=any,contains,991002544569702656","Catalog Record")</f>
        <v/>
      </c>
      <c r="AT1137">
        <f>HYPERLINK("http://www.worldcat.org/oclc/33077413","WorldCat Record")</f>
        <v/>
      </c>
      <c r="AU1137" t="inlineStr">
        <is>
          <t>3856171142:eng</t>
        </is>
      </c>
      <c r="AV1137" t="inlineStr">
        <is>
          <t>33077413</t>
        </is>
      </c>
      <c r="AW1137" t="inlineStr">
        <is>
          <t>991002544569702656</t>
        </is>
      </c>
      <c r="AX1137" t="inlineStr">
        <is>
          <t>991002544569702656</t>
        </is>
      </c>
      <c r="AY1137" t="inlineStr">
        <is>
          <t>2254996870002656</t>
        </is>
      </c>
      <c r="AZ1137" t="inlineStr">
        <is>
          <t>BOOK</t>
        </is>
      </c>
      <c r="BB1137" t="inlineStr">
        <is>
          <t>9781557983244</t>
        </is>
      </c>
      <c r="BC1137" t="inlineStr">
        <is>
          <t>32285002193026</t>
        </is>
      </c>
      <c r="BD1137" t="inlineStr">
        <is>
          <t>893804728</t>
        </is>
      </c>
    </row>
    <row r="1138">
      <c r="A1138" t="inlineStr">
        <is>
          <t>No</t>
        </is>
      </c>
      <c r="B1138" t="inlineStr">
        <is>
          <t>RC552.E18 E28 1991</t>
        </is>
      </c>
      <c r="C1138" t="inlineStr">
        <is>
          <t>0                      RC 0552000E  18                 E  28          1991</t>
        </is>
      </c>
      <c r="D1138" t="inlineStr">
        <is>
          <t>Eating disorders and athletes : a handbook for coaches / Association for the Advancement of Health Education, National Association for Girls and Women in Sport, member associations of the American Alliance for Health, Physical Education, Recreation, and Dance ; edited by Susan Chappell Holliman.</t>
        </is>
      </c>
      <c r="F1138" t="inlineStr">
        <is>
          <t>No</t>
        </is>
      </c>
      <c r="G1138" t="inlineStr">
        <is>
          <t>1</t>
        </is>
      </c>
      <c r="H1138" t="inlineStr">
        <is>
          <t>No</t>
        </is>
      </c>
      <c r="I1138" t="inlineStr">
        <is>
          <t>No</t>
        </is>
      </c>
      <c r="J1138" t="inlineStr">
        <is>
          <t>0</t>
        </is>
      </c>
      <c r="L1138" t="inlineStr">
        <is>
          <t>Dubuque, Iowa : Kendall/Hunt, c1991.</t>
        </is>
      </c>
      <c r="M1138" t="inlineStr">
        <is>
          <t>1991</t>
        </is>
      </c>
      <c r="O1138" t="inlineStr">
        <is>
          <t>eng</t>
        </is>
      </c>
      <c r="P1138" t="inlineStr">
        <is>
          <t>iau</t>
        </is>
      </c>
      <c r="R1138" t="inlineStr">
        <is>
          <t xml:space="preserve">RC </t>
        </is>
      </c>
      <c r="S1138" t="n">
        <v>65</v>
      </c>
      <c r="T1138" t="n">
        <v>65</v>
      </c>
      <c r="U1138" t="inlineStr">
        <is>
          <t>2008-02-12</t>
        </is>
      </c>
      <c r="V1138" t="inlineStr">
        <is>
          <t>2008-02-12</t>
        </is>
      </c>
      <c r="W1138" t="inlineStr">
        <is>
          <t>1992-03-31</t>
        </is>
      </c>
      <c r="X1138" t="inlineStr">
        <is>
          <t>1992-03-31</t>
        </is>
      </c>
      <c r="Y1138" t="n">
        <v>101</v>
      </c>
      <c r="Z1138" t="n">
        <v>93</v>
      </c>
      <c r="AA1138" t="n">
        <v>93</v>
      </c>
      <c r="AB1138" t="n">
        <v>3</v>
      </c>
      <c r="AC1138" t="n">
        <v>3</v>
      </c>
      <c r="AD1138" t="n">
        <v>5</v>
      </c>
      <c r="AE1138" t="n">
        <v>5</v>
      </c>
      <c r="AF1138" t="n">
        <v>3</v>
      </c>
      <c r="AG1138" t="n">
        <v>3</v>
      </c>
      <c r="AH1138" t="n">
        <v>0</v>
      </c>
      <c r="AI1138" t="n">
        <v>0</v>
      </c>
      <c r="AJ1138" t="n">
        <v>2</v>
      </c>
      <c r="AK1138" t="n">
        <v>2</v>
      </c>
      <c r="AL1138" t="n">
        <v>2</v>
      </c>
      <c r="AM1138" t="n">
        <v>2</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HYPERLINK("https://creighton-primo.hosted.exlibrisgroup.com/primo-explore/search?tab=default_tab&amp;search_scope=EVERYTHING&amp;vid=01CRU&amp;lang=en_US&amp;offset=0&amp;query=any,contains,991001956169702656","Catalog Record")</f>
        <v/>
      </c>
      <c r="AT1138">
        <f>HYPERLINK("http://www.worldcat.org/oclc/24760692","WorldCat Record")</f>
        <v/>
      </c>
      <c r="AU1138" t="inlineStr">
        <is>
          <t>1781349215:eng</t>
        </is>
      </c>
      <c r="AV1138" t="inlineStr">
        <is>
          <t>24760692</t>
        </is>
      </c>
      <c r="AW1138" t="inlineStr">
        <is>
          <t>991001956169702656</t>
        </is>
      </c>
      <c r="AX1138" t="inlineStr">
        <is>
          <t>991001956169702656</t>
        </is>
      </c>
      <c r="AY1138" t="inlineStr">
        <is>
          <t>2268908880002656</t>
        </is>
      </c>
      <c r="AZ1138" t="inlineStr">
        <is>
          <t>BOOK</t>
        </is>
      </c>
      <c r="BB1138" t="inlineStr">
        <is>
          <t>9780840366894</t>
        </is>
      </c>
      <c r="BC1138" t="inlineStr">
        <is>
          <t>32285001007334</t>
        </is>
      </c>
      <c r="BD1138" t="inlineStr">
        <is>
          <t>893872931</t>
        </is>
      </c>
    </row>
    <row r="1139">
      <c r="A1139" t="inlineStr">
        <is>
          <t>No</t>
        </is>
      </c>
      <c r="B1139" t="inlineStr">
        <is>
          <t>RC552.E18 K37 1996</t>
        </is>
      </c>
      <c r="C1139" t="inlineStr">
        <is>
          <t>0                      RC 0552000E  18                 K  37          1996</t>
        </is>
      </c>
      <c r="D1139" t="inlineStr">
        <is>
          <t>Anatomy of a food addiction : the brain chemistry of overeating : an effective program to overcome compulsive eating / Anne Katherine.</t>
        </is>
      </c>
      <c r="F1139" t="inlineStr">
        <is>
          <t>No</t>
        </is>
      </c>
      <c r="G1139" t="inlineStr">
        <is>
          <t>1</t>
        </is>
      </c>
      <c r="H1139" t="inlineStr">
        <is>
          <t>No</t>
        </is>
      </c>
      <c r="I1139" t="inlineStr">
        <is>
          <t>No</t>
        </is>
      </c>
      <c r="J1139" t="inlineStr">
        <is>
          <t>0</t>
        </is>
      </c>
      <c r="K1139" t="inlineStr">
        <is>
          <t>Katherine, Anne.</t>
        </is>
      </c>
      <c r="L1139" t="inlineStr">
        <is>
          <t>Carlsbad, CA : Gürze Books, [1996], c1991.</t>
        </is>
      </c>
      <c r="M1139" t="inlineStr">
        <is>
          <t>1996</t>
        </is>
      </c>
      <c r="N1139" t="inlineStr">
        <is>
          <t>3rd ed.</t>
        </is>
      </c>
      <c r="O1139" t="inlineStr">
        <is>
          <t>eng</t>
        </is>
      </c>
      <c r="P1139" t="inlineStr">
        <is>
          <t>cau</t>
        </is>
      </c>
      <c r="R1139" t="inlineStr">
        <is>
          <t xml:space="preserve">RC </t>
        </is>
      </c>
      <c r="S1139" t="n">
        <v>15</v>
      </c>
      <c r="T1139" t="n">
        <v>15</v>
      </c>
      <c r="U1139" t="inlineStr">
        <is>
          <t>2010-07-15</t>
        </is>
      </c>
      <c r="V1139" t="inlineStr">
        <is>
          <t>2010-07-15</t>
        </is>
      </c>
      <c r="W1139" t="inlineStr">
        <is>
          <t>2002-12-09</t>
        </is>
      </c>
      <c r="X1139" t="inlineStr">
        <is>
          <t>2002-12-09</t>
        </is>
      </c>
      <c r="Y1139" t="n">
        <v>178</v>
      </c>
      <c r="Z1139" t="n">
        <v>163</v>
      </c>
      <c r="AA1139" t="n">
        <v>342</v>
      </c>
      <c r="AB1139" t="n">
        <v>3</v>
      </c>
      <c r="AC1139" t="n">
        <v>5</v>
      </c>
      <c r="AD1139" t="n">
        <v>2</v>
      </c>
      <c r="AE1139" t="n">
        <v>5</v>
      </c>
      <c r="AF1139" t="n">
        <v>0</v>
      </c>
      <c r="AG1139" t="n">
        <v>3</v>
      </c>
      <c r="AH1139" t="n">
        <v>1</v>
      </c>
      <c r="AI1139" t="n">
        <v>2</v>
      </c>
      <c r="AJ1139" t="n">
        <v>0</v>
      </c>
      <c r="AK1139" t="n">
        <v>0</v>
      </c>
      <c r="AL1139" t="n">
        <v>1</v>
      </c>
      <c r="AM1139" t="n">
        <v>1</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HYPERLINK("https://creighton-primo.hosted.exlibrisgroup.com/primo-explore/search?tab=default_tab&amp;search_scope=EVERYTHING&amp;vid=01CRU&amp;lang=en_US&amp;offset=0&amp;query=any,contains,991003931289702656","Catalog Record")</f>
        <v/>
      </c>
      <c r="AT1139">
        <f>HYPERLINK("http://www.worldcat.org/oclc/35986626","WorldCat Record")</f>
        <v/>
      </c>
      <c r="AU1139" t="inlineStr">
        <is>
          <t>849946549:eng</t>
        </is>
      </c>
      <c r="AV1139" t="inlineStr">
        <is>
          <t>35986626</t>
        </is>
      </c>
      <c r="AW1139" t="inlineStr">
        <is>
          <t>991003931289702656</t>
        </is>
      </c>
      <c r="AX1139" t="inlineStr">
        <is>
          <t>991003931289702656</t>
        </is>
      </c>
      <c r="AY1139" t="inlineStr">
        <is>
          <t>2269049940002656</t>
        </is>
      </c>
      <c r="AZ1139" t="inlineStr">
        <is>
          <t>BOOK</t>
        </is>
      </c>
      <c r="BB1139" t="inlineStr">
        <is>
          <t>9780936077130</t>
        </is>
      </c>
      <c r="BC1139" t="inlineStr">
        <is>
          <t>32285004668900</t>
        </is>
      </c>
      <c r="BD1139" t="inlineStr">
        <is>
          <t>893343258</t>
        </is>
      </c>
    </row>
    <row r="1140">
      <c r="A1140" t="inlineStr">
        <is>
          <t>No</t>
        </is>
      </c>
      <c r="B1140" t="inlineStr">
        <is>
          <t>RC552.E18 R65 1987</t>
        </is>
      </c>
      <c r="C1140" t="inlineStr">
        <is>
          <t>0                      RC 0552000E  18                 R  65          1987</t>
        </is>
      </c>
      <c r="D1140" t="inlineStr">
        <is>
          <t>The Role of drug treatments for eating disorders / edited by Paul E. Garfinkel and David M. Garner.</t>
        </is>
      </c>
      <c r="F1140" t="inlineStr">
        <is>
          <t>No</t>
        </is>
      </c>
      <c r="G1140" t="inlineStr">
        <is>
          <t>1</t>
        </is>
      </c>
      <c r="H1140" t="inlineStr">
        <is>
          <t>No</t>
        </is>
      </c>
      <c r="I1140" t="inlineStr">
        <is>
          <t>No</t>
        </is>
      </c>
      <c r="J1140" t="inlineStr">
        <is>
          <t>0</t>
        </is>
      </c>
      <c r="L1140" t="inlineStr">
        <is>
          <t>New York : Brunner/Mazel, c1987.</t>
        </is>
      </c>
      <c r="M1140" t="inlineStr">
        <is>
          <t>1987</t>
        </is>
      </c>
      <c r="O1140" t="inlineStr">
        <is>
          <t>eng</t>
        </is>
      </c>
      <c r="P1140" t="inlineStr">
        <is>
          <t>nyu</t>
        </is>
      </c>
      <c r="Q1140" t="inlineStr">
        <is>
          <t>Brunner/Mazel eating disorders monograph series</t>
        </is>
      </c>
      <c r="R1140" t="inlineStr">
        <is>
          <t xml:space="preserve">RC </t>
        </is>
      </c>
      <c r="S1140" t="n">
        <v>43</v>
      </c>
      <c r="T1140" t="n">
        <v>43</v>
      </c>
      <c r="U1140" t="inlineStr">
        <is>
          <t>2008-12-04</t>
        </is>
      </c>
      <c r="V1140" t="inlineStr">
        <is>
          <t>2008-12-04</t>
        </is>
      </c>
      <c r="W1140" t="inlineStr">
        <is>
          <t>1990-02-06</t>
        </is>
      </c>
      <c r="X1140" t="inlineStr">
        <is>
          <t>1990-02-06</t>
        </is>
      </c>
      <c r="Y1140" t="n">
        <v>230</v>
      </c>
      <c r="Z1140" t="n">
        <v>186</v>
      </c>
      <c r="AA1140" t="n">
        <v>193</v>
      </c>
      <c r="AB1140" t="n">
        <v>2</v>
      </c>
      <c r="AC1140" t="n">
        <v>2</v>
      </c>
      <c r="AD1140" t="n">
        <v>8</v>
      </c>
      <c r="AE1140" t="n">
        <v>8</v>
      </c>
      <c r="AF1140" t="n">
        <v>2</v>
      </c>
      <c r="AG1140" t="n">
        <v>2</v>
      </c>
      <c r="AH1140" t="n">
        <v>3</v>
      </c>
      <c r="AI1140" t="n">
        <v>3</v>
      </c>
      <c r="AJ1140" t="n">
        <v>5</v>
      </c>
      <c r="AK1140" t="n">
        <v>5</v>
      </c>
      <c r="AL1140" t="n">
        <v>1</v>
      </c>
      <c r="AM1140" t="n">
        <v>1</v>
      </c>
      <c r="AN1140" t="n">
        <v>0</v>
      </c>
      <c r="AO1140" t="n">
        <v>0</v>
      </c>
      <c r="AP1140" t="inlineStr">
        <is>
          <t>No</t>
        </is>
      </c>
      <c r="AQ1140" t="inlineStr">
        <is>
          <t>Yes</t>
        </is>
      </c>
      <c r="AR1140">
        <f>HYPERLINK("http://catalog.hathitrust.org/Record/000834307","HathiTrust Record")</f>
        <v/>
      </c>
      <c r="AS1140">
        <f>HYPERLINK("https://creighton-primo.hosted.exlibrisgroup.com/primo-explore/search?tab=default_tab&amp;search_scope=EVERYTHING&amp;vid=01CRU&amp;lang=en_US&amp;offset=0&amp;query=any,contains,991000984289702656","Catalog Record")</f>
        <v/>
      </c>
      <c r="AT1140">
        <f>HYPERLINK("http://www.worldcat.org/oclc/15055382","WorldCat Record")</f>
        <v/>
      </c>
      <c r="AU1140" t="inlineStr">
        <is>
          <t>8242900:eng</t>
        </is>
      </c>
      <c r="AV1140" t="inlineStr">
        <is>
          <t>15055382</t>
        </is>
      </c>
      <c r="AW1140" t="inlineStr">
        <is>
          <t>991000984289702656</t>
        </is>
      </c>
      <c r="AX1140" t="inlineStr">
        <is>
          <t>991000984289702656</t>
        </is>
      </c>
      <c r="AY1140" t="inlineStr">
        <is>
          <t>2260823880002656</t>
        </is>
      </c>
      <c r="AZ1140" t="inlineStr">
        <is>
          <t>BOOK</t>
        </is>
      </c>
      <c r="BB1140" t="inlineStr">
        <is>
          <t>9780876304600</t>
        </is>
      </c>
      <c r="BC1140" t="inlineStr">
        <is>
          <t>32285000039627</t>
        </is>
      </c>
      <c r="BD1140" t="inlineStr">
        <is>
          <t>893255912</t>
        </is>
      </c>
    </row>
    <row r="1141">
      <c r="A1141" t="inlineStr">
        <is>
          <t>No</t>
        </is>
      </c>
      <c r="B1141" t="inlineStr">
        <is>
          <t>RC552.E18 S37 1990</t>
        </is>
      </c>
      <c r="C1141" t="inlineStr">
        <is>
          <t>0                      RC 0552000E  18                 S  37          1990</t>
        </is>
      </c>
      <c r="D1141" t="inlineStr">
        <is>
          <t>Eating disorders : assessment and treatment / David G. Schlundt, William G. Johnson.</t>
        </is>
      </c>
      <c r="F1141" t="inlineStr">
        <is>
          <t>No</t>
        </is>
      </c>
      <c r="G1141" t="inlineStr">
        <is>
          <t>1</t>
        </is>
      </c>
      <c r="H1141" t="inlineStr">
        <is>
          <t>No</t>
        </is>
      </c>
      <c r="I1141" t="inlineStr">
        <is>
          <t>No</t>
        </is>
      </c>
      <c r="J1141" t="inlineStr">
        <is>
          <t>0</t>
        </is>
      </c>
      <c r="K1141" t="inlineStr">
        <is>
          <t>Schlundt, David G.</t>
        </is>
      </c>
      <c r="L1141" t="inlineStr">
        <is>
          <t>Boston : Allyn and Bacon, c1990.</t>
        </is>
      </c>
      <c r="M1141" t="inlineStr">
        <is>
          <t>1990</t>
        </is>
      </c>
      <c r="O1141" t="inlineStr">
        <is>
          <t>eng</t>
        </is>
      </c>
      <c r="P1141" t="inlineStr">
        <is>
          <t>mau</t>
        </is>
      </c>
      <c r="R1141" t="inlineStr">
        <is>
          <t xml:space="preserve">RC </t>
        </is>
      </c>
      <c r="S1141" t="n">
        <v>76</v>
      </c>
      <c r="T1141" t="n">
        <v>76</v>
      </c>
      <c r="U1141" t="inlineStr">
        <is>
          <t>2006-11-03</t>
        </is>
      </c>
      <c r="V1141" t="inlineStr">
        <is>
          <t>2006-11-03</t>
        </is>
      </c>
      <c r="W1141" t="inlineStr">
        <is>
          <t>1994-07-22</t>
        </is>
      </c>
      <c r="X1141" t="inlineStr">
        <is>
          <t>1994-07-22</t>
        </is>
      </c>
      <c r="Y1141" t="n">
        <v>226</v>
      </c>
      <c r="Z1141" t="n">
        <v>181</v>
      </c>
      <c r="AA1141" t="n">
        <v>191</v>
      </c>
      <c r="AB1141" t="n">
        <v>3</v>
      </c>
      <c r="AC1141" t="n">
        <v>3</v>
      </c>
      <c r="AD1141" t="n">
        <v>9</v>
      </c>
      <c r="AE1141" t="n">
        <v>9</v>
      </c>
      <c r="AF1141" t="n">
        <v>3</v>
      </c>
      <c r="AG1141" t="n">
        <v>3</v>
      </c>
      <c r="AH1141" t="n">
        <v>1</v>
      </c>
      <c r="AI1141" t="n">
        <v>1</v>
      </c>
      <c r="AJ1141" t="n">
        <v>4</v>
      </c>
      <c r="AK1141" t="n">
        <v>4</v>
      </c>
      <c r="AL1141" t="n">
        <v>2</v>
      </c>
      <c r="AM1141" t="n">
        <v>2</v>
      </c>
      <c r="AN1141" t="n">
        <v>0</v>
      </c>
      <c r="AO1141" t="n">
        <v>0</v>
      </c>
      <c r="AP1141" t="inlineStr">
        <is>
          <t>No</t>
        </is>
      </c>
      <c r="AQ1141" t="inlineStr">
        <is>
          <t>Yes</t>
        </is>
      </c>
      <c r="AR1141">
        <f>HYPERLINK("http://catalog.hathitrust.org/Record/001950400","HathiTrust Record")</f>
        <v/>
      </c>
      <c r="AS1141">
        <f>HYPERLINK("https://creighton-primo.hosted.exlibrisgroup.com/primo-explore/search?tab=default_tab&amp;search_scope=EVERYTHING&amp;vid=01CRU&amp;lang=en_US&amp;offset=0&amp;query=any,contains,991001543119702656","Catalog Record")</f>
        <v/>
      </c>
      <c r="AT1141">
        <f>HYPERLINK("http://www.worldcat.org/oclc/20133529","WorldCat Record")</f>
        <v/>
      </c>
      <c r="AU1141" t="inlineStr">
        <is>
          <t>427575738:eng</t>
        </is>
      </c>
      <c r="AV1141" t="inlineStr">
        <is>
          <t>20133529</t>
        </is>
      </c>
      <c r="AW1141" t="inlineStr">
        <is>
          <t>991001543119702656</t>
        </is>
      </c>
      <c r="AX1141" t="inlineStr">
        <is>
          <t>991001543119702656</t>
        </is>
      </c>
      <c r="AY1141" t="inlineStr">
        <is>
          <t>2261247130002656</t>
        </is>
      </c>
      <c r="AZ1141" t="inlineStr">
        <is>
          <t>BOOK</t>
        </is>
      </c>
      <c r="BB1141" t="inlineStr">
        <is>
          <t>9780205120864</t>
        </is>
      </c>
      <c r="BC1141" t="inlineStr">
        <is>
          <t>32285001932846</t>
        </is>
      </c>
      <c r="BD1141" t="inlineStr">
        <is>
          <t>893891632</t>
        </is>
      </c>
    </row>
    <row r="1142">
      <c r="A1142" t="inlineStr">
        <is>
          <t>No</t>
        </is>
      </c>
      <c r="B1142" t="inlineStr">
        <is>
          <t>RC552.E18 S54 1997</t>
        </is>
      </c>
      <c r="C1142" t="inlineStr">
        <is>
          <t>0                      RC 0552000E  18                 S  54          1997</t>
        </is>
      </c>
      <c r="D1142" t="inlineStr">
        <is>
          <t>Surviving an eating disorder : strategies for family and friends / Michele Siegel, Judith Brisman, Margot Weinshel.</t>
        </is>
      </c>
      <c r="F1142" t="inlineStr">
        <is>
          <t>No</t>
        </is>
      </c>
      <c r="G1142" t="inlineStr">
        <is>
          <t>1</t>
        </is>
      </c>
      <c r="H1142" t="inlineStr">
        <is>
          <t>No</t>
        </is>
      </c>
      <c r="I1142" t="inlineStr">
        <is>
          <t>No</t>
        </is>
      </c>
      <c r="J1142" t="inlineStr">
        <is>
          <t>0</t>
        </is>
      </c>
      <c r="K1142" t="inlineStr">
        <is>
          <t>Siegel, Michele.</t>
        </is>
      </c>
      <c r="L1142" t="inlineStr">
        <is>
          <t>New York, NY : HarperPerennial, 1997.</t>
        </is>
      </c>
      <c r="M1142" t="inlineStr">
        <is>
          <t>1997</t>
        </is>
      </c>
      <c r="N1142" t="inlineStr">
        <is>
          <t>Rev. and updated.</t>
        </is>
      </c>
      <c r="O1142" t="inlineStr">
        <is>
          <t>eng</t>
        </is>
      </c>
      <c r="P1142" t="inlineStr">
        <is>
          <t>nyu</t>
        </is>
      </c>
      <c r="R1142" t="inlineStr">
        <is>
          <t xml:space="preserve">RC </t>
        </is>
      </c>
      <c r="S1142" t="n">
        <v>8</v>
      </c>
      <c r="T1142" t="n">
        <v>8</v>
      </c>
      <c r="U1142" t="inlineStr">
        <is>
          <t>2006-11-03</t>
        </is>
      </c>
      <c r="V1142" t="inlineStr">
        <is>
          <t>2006-11-03</t>
        </is>
      </c>
      <c r="W1142" t="inlineStr">
        <is>
          <t>2002-11-18</t>
        </is>
      </c>
      <c r="X1142" t="inlineStr">
        <is>
          <t>2002-11-18</t>
        </is>
      </c>
      <c r="Y1142" t="n">
        <v>307</v>
      </c>
      <c r="Z1142" t="n">
        <v>274</v>
      </c>
      <c r="AA1142" t="n">
        <v>966</v>
      </c>
      <c r="AB1142" t="n">
        <v>2</v>
      </c>
      <c r="AC1142" t="n">
        <v>8</v>
      </c>
      <c r="AD1142" t="n">
        <v>9</v>
      </c>
      <c r="AE1142" t="n">
        <v>24</v>
      </c>
      <c r="AF1142" t="n">
        <v>5</v>
      </c>
      <c r="AG1142" t="n">
        <v>10</v>
      </c>
      <c r="AH1142" t="n">
        <v>2</v>
      </c>
      <c r="AI1142" t="n">
        <v>4</v>
      </c>
      <c r="AJ1142" t="n">
        <v>5</v>
      </c>
      <c r="AK1142" t="n">
        <v>13</v>
      </c>
      <c r="AL1142" t="n">
        <v>0</v>
      </c>
      <c r="AM1142" t="n">
        <v>3</v>
      </c>
      <c r="AN1142" t="n">
        <v>0</v>
      </c>
      <c r="AO1142" t="n">
        <v>0</v>
      </c>
      <c r="AP1142" t="inlineStr">
        <is>
          <t>No</t>
        </is>
      </c>
      <c r="AQ1142" t="inlineStr">
        <is>
          <t>No</t>
        </is>
      </c>
      <c r="AS1142">
        <f>HYPERLINK("https://creighton-primo.hosted.exlibrisgroup.com/primo-explore/search?tab=default_tab&amp;search_scope=EVERYTHING&amp;vid=01CRU&amp;lang=en_US&amp;offset=0&amp;query=any,contains,991003930789702656","Catalog Record")</f>
        <v/>
      </c>
      <c r="AT1142">
        <f>HYPERLINK("http://www.worldcat.org/oclc/35331272","WorldCat Record")</f>
        <v/>
      </c>
      <c r="AU1142" t="inlineStr">
        <is>
          <t>2287735862:eng</t>
        </is>
      </c>
      <c r="AV1142" t="inlineStr">
        <is>
          <t>35331272</t>
        </is>
      </c>
      <c r="AW1142" t="inlineStr">
        <is>
          <t>991003930789702656</t>
        </is>
      </c>
      <c r="AX1142" t="inlineStr">
        <is>
          <t>991003930789702656</t>
        </is>
      </c>
      <c r="AY1142" t="inlineStr">
        <is>
          <t>2262679210002656</t>
        </is>
      </c>
      <c r="AZ1142" t="inlineStr">
        <is>
          <t>BOOK</t>
        </is>
      </c>
      <c r="BB1142" t="inlineStr">
        <is>
          <t>9780060952334</t>
        </is>
      </c>
      <c r="BC1142" t="inlineStr">
        <is>
          <t>32285004663901</t>
        </is>
      </c>
      <c r="BD1142" t="inlineStr">
        <is>
          <t>893519048</t>
        </is>
      </c>
    </row>
    <row r="1143">
      <c r="A1143" t="inlineStr">
        <is>
          <t>No</t>
        </is>
      </c>
      <c r="B1143" t="inlineStr">
        <is>
          <t>RC552.E18 S64 1992</t>
        </is>
      </c>
      <c r="C1143" t="inlineStr">
        <is>
          <t>0                      RC 0552000E  18                 S  64          1992</t>
        </is>
      </c>
      <c r="D1143" t="inlineStr">
        <is>
          <t>Special problems in managing eating disorders / edited by Joel Yager, Harry E. Gwirtsman, Carole K. Edelstein.</t>
        </is>
      </c>
      <c r="F1143" t="inlineStr">
        <is>
          <t>No</t>
        </is>
      </c>
      <c r="G1143" t="inlineStr">
        <is>
          <t>1</t>
        </is>
      </c>
      <c r="H1143" t="inlineStr">
        <is>
          <t>No</t>
        </is>
      </c>
      <c r="I1143" t="inlineStr">
        <is>
          <t>No</t>
        </is>
      </c>
      <c r="J1143" t="inlineStr">
        <is>
          <t>0</t>
        </is>
      </c>
      <c r="L1143" t="inlineStr">
        <is>
          <t>Washington, DC : American Psychiatric Press, c1992.</t>
        </is>
      </c>
      <c r="M1143" t="inlineStr">
        <is>
          <t>1992</t>
        </is>
      </c>
      <c r="N1143" t="inlineStr">
        <is>
          <t>1st ed.</t>
        </is>
      </c>
      <c r="O1143" t="inlineStr">
        <is>
          <t>eng</t>
        </is>
      </c>
      <c r="P1143" t="inlineStr">
        <is>
          <t>dcu</t>
        </is>
      </c>
      <c r="Q1143" t="inlineStr">
        <is>
          <t>Clinical practice ; no. 20</t>
        </is>
      </c>
      <c r="R1143" t="inlineStr">
        <is>
          <t xml:space="preserve">RC </t>
        </is>
      </c>
      <c r="S1143" t="n">
        <v>58</v>
      </c>
      <c r="T1143" t="n">
        <v>58</v>
      </c>
      <c r="U1143" t="inlineStr">
        <is>
          <t>2008-03-30</t>
        </is>
      </c>
      <c r="V1143" t="inlineStr">
        <is>
          <t>2008-03-30</t>
        </is>
      </c>
      <c r="W1143" t="inlineStr">
        <is>
          <t>1992-01-22</t>
        </is>
      </c>
      <c r="X1143" t="inlineStr">
        <is>
          <t>1992-01-22</t>
        </is>
      </c>
      <c r="Y1143" t="n">
        <v>168</v>
      </c>
      <c r="Z1143" t="n">
        <v>143</v>
      </c>
      <c r="AA1143" t="n">
        <v>149</v>
      </c>
      <c r="AB1143" t="n">
        <v>2</v>
      </c>
      <c r="AC1143" t="n">
        <v>2</v>
      </c>
      <c r="AD1143" t="n">
        <v>9</v>
      </c>
      <c r="AE1143" t="n">
        <v>9</v>
      </c>
      <c r="AF1143" t="n">
        <v>2</v>
      </c>
      <c r="AG1143" t="n">
        <v>2</v>
      </c>
      <c r="AH1143" t="n">
        <v>1</v>
      </c>
      <c r="AI1143" t="n">
        <v>1</v>
      </c>
      <c r="AJ1143" t="n">
        <v>8</v>
      </c>
      <c r="AK1143" t="n">
        <v>8</v>
      </c>
      <c r="AL1143" t="n">
        <v>1</v>
      </c>
      <c r="AM1143" t="n">
        <v>1</v>
      </c>
      <c r="AN1143" t="n">
        <v>0</v>
      </c>
      <c r="AO1143" t="n">
        <v>0</v>
      </c>
      <c r="AP1143" t="inlineStr">
        <is>
          <t>No</t>
        </is>
      </c>
      <c r="AQ1143" t="inlineStr">
        <is>
          <t>Yes</t>
        </is>
      </c>
      <c r="AR1143">
        <f>HYPERLINK("http://catalog.hathitrust.org/Record/002525281","HathiTrust Record")</f>
        <v/>
      </c>
      <c r="AS1143">
        <f>HYPERLINK("https://creighton-primo.hosted.exlibrisgroup.com/primo-explore/search?tab=default_tab&amp;search_scope=EVERYTHING&amp;vid=01CRU&amp;lang=en_US&amp;offset=0&amp;query=any,contains,991001856759702656","Catalog Record")</f>
        <v/>
      </c>
      <c r="AT1143">
        <f>HYPERLINK("http://www.worldcat.org/oclc/23287547","WorldCat Record")</f>
        <v/>
      </c>
      <c r="AU1143" t="inlineStr">
        <is>
          <t>349908519:eng</t>
        </is>
      </c>
      <c r="AV1143" t="inlineStr">
        <is>
          <t>23287547</t>
        </is>
      </c>
      <c r="AW1143" t="inlineStr">
        <is>
          <t>991001856759702656</t>
        </is>
      </c>
      <c r="AX1143" t="inlineStr">
        <is>
          <t>991001856759702656</t>
        </is>
      </c>
      <c r="AY1143" t="inlineStr">
        <is>
          <t>2272158680002656</t>
        </is>
      </c>
      <c r="AZ1143" t="inlineStr">
        <is>
          <t>BOOK</t>
        </is>
      </c>
      <c r="BB1143" t="inlineStr">
        <is>
          <t>9780880484572</t>
        </is>
      </c>
      <c r="BC1143" t="inlineStr">
        <is>
          <t>32285000866136</t>
        </is>
      </c>
      <c r="BD1143" t="inlineStr">
        <is>
          <t>893772969</t>
        </is>
      </c>
    </row>
    <row r="1144">
      <c r="A1144" t="inlineStr">
        <is>
          <t>No</t>
        </is>
      </c>
      <c r="B1144" t="inlineStr">
        <is>
          <t>RC552.E18 T46 1993</t>
        </is>
      </c>
      <c r="C1144" t="inlineStr">
        <is>
          <t>0                      RC 0552000E  18                 T  46          1993</t>
        </is>
      </c>
      <c r="D1144" t="inlineStr">
        <is>
          <t>Helping athletes with eating disorders / Ron A. Thompson, Roberta Trattner Sherman.</t>
        </is>
      </c>
      <c r="F1144" t="inlineStr">
        <is>
          <t>No</t>
        </is>
      </c>
      <c r="G1144" t="inlineStr">
        <is>
          <t>1</t>
        </is>
      </c>
      <c r="H1144" t="inlineStr">
        <is>
          <t>No</t>
        </is>
      </c>
      <c r="I1144" t="inlineStr">
        <is>
          <t>No</t>
        </is>
      </c>
      <c r="J1144" t="inlineStr">
        <is>
          <t>0</t>
        </is>
      </c>
      <c r="K1144" t="inlineStr">
        <is>
          <t>Thompson, Ron A.</t>
        </is>
      </c>
      <c r="L1144" t="inlineStr">
        <is>
          <t>Champaign, IL : Human Kinetics Publishers, 1993.</t>
        </is>
      </c>
      <c r="M1144" t="inlineStr">
        <is>
          <t>1993</t>
        </is>
      </c>
      <c r="O1144" t="inlineStr">
        <is>
          <t>eng</t>
        </is>
      </c>
      <c r="P1144" t="inlineStr">
        <is>
          <t>ilu</t>
        </is>
      </c>
      <c r="R1144" t="inlineStr">
        <is>
          <t xml:space="preserve">RC </t>
        </is>
      </c>
      <c r="S1144" t="n">
        <v>76</v>
      </c>
      <c r="T1144" t="n">
        <v>76</v>
      </c>
      <c r="U1144" t="inlineStr">
        <is>
          <t>2005-09-29</t>
        </is>
      </c>
      <c r="V1144" t="inlineStr">
        <is>
          <t>2005-09-29</t>
        </is>
      </c>
      <c r="W1144" t="inlineStr">
        <is>
          <t>1993-08-09</t>
        </is>
      </c>
      <c r="X1144" t="inlineStr">
        <is>
          <t>1993-08-09</t>
        </is>
      </c>
      <c r="Y1144" t="n">
        <v>722</v>
      </c>
      <c r="Z1144" t="n">
        <v>592</v>
      </c>
      <c r="AA1144" t="n">
        <v>599</v>
      </c>
      <c r="AB1144" t="n">
        <v>8</v>
      </c>
      <c r="AC1144" t="n">
        <v>8</v>
      </c>
      <c r="AD1144" t="n">
        <v>27</v>
      </c>
      <c r="AE1144" t="n">
        <v>27</v>
      </c>
      <c r="AF1144" t="n">
        <v>16</v>
      </c>
      <c r="AG1144" t="n">
        <v>16</v>
      </c>
      <c r="AH1144" t="n">
        <v>3</v>
      </c>
      <c r="AI1144" t="n">
        <v>3</v>
      </c>
      <c r="AJ1144" t="n">
        <v>8</v>
      </c>
      <c r="AK1144" t="n">
        <v>8</v>
      </c>
      <c r="AL1144" t="n">
        <v>6</v>
      </c>
      <c r="AM1144" t="n">
        <v>6</v>
      </c>
      <c r="AN1144" t="n">
        <v>0</v>
      </c>
      <c r="AO1144" t="n">
        <v>0</v>
      </c>
      <c r="AP1144" t="inlineStr">
        <is>
          <t>No</t>
        </is>
      </c>
      <c r="AQ1144" t="inlineStr">
        <is>
          <t>Yes</t>
        </is>
      </c>
      <c r="AR1144">
        <f>HYPERLINK("http://catalog.hathitrust.org/Record/002610080","HathiTrust Record")</f>
        <v/>
      </c>
      <c r="AS1144">
        <f>HYPERLINK("https://creighton-primo.hosted.exlibrisgroup.com/primo-explore/search?tab=default_tab&amp;search_scope=EVERYTHING&amp;vid=01CRU&amp;lang=en_US&amp;offset=0&amp;query=any,contains,991002032659702656","Catalog Record")</f>
        <v/>
      </c>
      <c r="AT1144">
        <f>HYPERLINK("http://www.worldcat.org/oclc/25873994","WorldCat Record")</f>
        <v/>
      </c>
      <c r="AU1144" t="inlineStr">
        <is>
          <t>28676782:eng</t>
        </is>
      </c>
      <c r="AV1144" t="inlineStr">
        <is>
          <t>25873994</t>
        </is>
      </c>
      <c r="AW1144" t="inlineStr">
        <is>
          <t>991002032659702656</t>
        </is>
      </c>
      <c r="AX1144" t="inlineStr">
        <is>
          <t>991002032659702656</t>
        </is>
      </c>
      <c r="AY1144" t="inlineStr">
        <is>
          <t>2269323990002656</t>
        </is>
      </c>
      <c r="AZ1144" t="inlineStr">
        <is>
          <t>BOOK</t>
        </is>
      </c>
      <c r="BB1144" t="inlineStr">
        <is>
          <t>9780873223836</t>
        </is>
      </c>
      <c r="BC1144" t="inlineStr">
        <is>
          <t>32285001725158</t>
        </is>
      </c>
      <c r="BD1144" t="inlineStr">
        <is>
          <t>893621835</t>
        </is>
      </c>
    </row>
    <row r="1145">
      <c r="A1145" t="inlineStr">
        <is>
          <t>No</t>
        </is>
      </c>
      <c r="B1145" t="inlineStr">
        <is>
          <t>RC552.F42 L35 2002</t>
        </is>
      </c>
      <c r="C1145" t="inlineStr">
        <is>
          <t>0                      RC 0552000F  42                 L  35          2002</t>
        </is>
      </c>
      <c r="D1145" t="inlineStr">
        <is>
          <t>Choices for living : coping with fear of dying / Thomas S. Langner.</t>
        </is>
      </c>
      <c r="F1145" t="inlineStr">
        <is>
          <t>No</t>
        </is>
      </c>
      <c r="G1145" t="inlineStr">
        <is>
          <t>1</t>
        </is>
      </c>
      <c r="H1145" t="inlineStr">
        <is>
          <t>No</t>
        </is>
      </c>
      <c r="I1145" t="inlineStr">
        <is>
          <t>No</t>
        </is>
      </c>
      <c r="J1145" t="inlineStr">
        <is>
          <t>0</t>
        </is>
      </c>
      <c r="K1145" t="inlineStr">
        <is>
          <t>Langner, Thomas S.</t>
        </is>
      </c>
      <c r="L1145" t="inlineStr">
        <is>
          <t>New York : Kluwer Academic/Plenum Publishers, c2002.</t>
        </is>
      </c>
      <c r="M1145" t="inlineStr">
        <is>
          <t>2002</t>
        </is>
      </c>
      <c r="O1145" t="inlineStr">
        <is>
          <t>eng</t>
        </is>
      </c>
      <c r="P1145" t="inlineStr">
        <is>
          <t>nyu</t>
        </is>
      </c>
      <c r="Q1145" t="inlineStr">
        <is>
          <t>PATH in psychology</t>
        </is>
      </c>
      <c r="R1145" t="inlineStr">
        <is>
          <t xml:space="preserve">RC </t>
        </is>
      </c>
      <c r="S1145" t="n">
        <v>3</v>
      </c>
      <c r="T1145" t="n">
        <v>3</v>
      </c>
      <c r="U1145" t="inlineStr">
        <is>
          <t>2006-06-27</t>
        </is>
      </c>
      <c r="V1145" t="inlineStr">
        <is>
          <t>2006-06-27</t>
        </is>
      </c>
      <c r="W1145" t="inlineStr">
        <is>
          <t>2003-03-20</t>
        </is>
      </c>
      <c r="X1145" t="inlineStr">
        <is>
          <t>2003-03-20</t>
        </is>
      </c>
      <c r="Y1145" t="n">
        <v>245</v>
      </c>
      <c r="Z1145" t="n">
        <v>206</v>
      </c>
      <c r="AA1145" t="n">
        <v>1116</v>
      </c>
      <c r="AB1145" t="n">
        <v>3</v>
      </c>
      <c r="AC1145" t="n">
        <v>28</v>
      </c>
      <c r="AD1145" t="n">
        <v>9</v>
      </c>
      <c r="AE1145" t="n">
        <v>37</v>
      </c>
      <c r="AF1145" t="n">
        <v>4</v>
      </c>
      <c r="AG1145" t="n">
        <v>12</v>
      </c>
      <c r="AH1145" t="n">
        <v>2</v>
      </c>
      <c r="AI1145" t="n">
        <v>6</v>
      </c>
      <c r="AJ1145" t="n">
        <v>3</v>
      </c>
      <c r="AK1145" t="n">
        <v>11</v>
      </c>
      <c r="AL1145" t="n">
        <v>2</v>
      </c>
      <c r="AM1145" t="n">
        <v>13</v>
      </c>
      <c r="AN1145" t="n">
        <v>0</v>
      </c>
      <c r="AO1145" t="n">
        <v>1</v>
      </c>
      <c r="AP1145" t="inlineStr">
        <is>
          <t>No</t>
        </is>
      </c>
      <c r="AQ1145" t="inlineStr">
        <is>
          <t>No</t>
        </is>
      </c>
      <c r="AS1145">
        <f>HYPERLINK("https://creighton-primo.hosted.exlibrisgroup.com/primo-explore/search?tab=default_tab&amp;search_scope=EVERYTHING&amp;vid=01CRU&amp;lang=en_US&amp;offset=0&amp;query=any,contains,991003989129702656","Catalog Record")</f>
        <v/>
      </c>
      <c r="AT1145">
        <f>HYPERLINK("http://www.worldcat.org/oclc/46394821","WorldCat Record")</f>
        <v/>
      </c>
      <c r="AU1145" t="inlineStr">
        <is>
          <t>793911973:eng</t>
        </is>
      </c>
      <c r="AV1145" t="inlineStr">
        <is>
          <t>46394821</t>
        </is>
      </c>
      <c r="AW1145" t="inlineStr">
        <is>
          <t>991003989129702656</t>
        </is>
      </c>
      <c r="AX1145" t="inlineStr">
        <is>
          <t>991003989129702656</t>
        </is>
      </c>
      <c r="AY1145" t="inlineStr">
        <is>
          <t>2269338630002656</t>
        </is>
      </c>
      <c r="AZ1145" t="inlineStr">
        <is>
          <t>BOOK</t>
        </is>
      </c>
      <c r="BB1145" t="inlineStr">
        <is>
          <t>9780306466076</t>
        </is>
      </c>
      <c r="BC1145" t="inlineStr">
        <is>
          <t>32285004685870</t>
        </is>
      </c>
      <c r="BD1145" t="inlineStr">
        <is>
          <t>893259184</t>
        </is>
      </c>
    </row>
    <row r="1146">
      <c r="A1146" t="inlineStr">
        <is>
          <t>No</t>
        </is>
      </c>
      <c r="B1146" t="inlineStr">
        <is>
          <t>RC552.F43 K78 1984</t>
        </is>
      </c>
      <c r="C1146" t="inlineStr">
        <is>
          <t>0                      RC 0552000F  43                 K  78          1984</t>
        </is>
      </c>
      <c r="D1146" t="inlineStr">
        <is>
          <t>Success and the fear of success in women / David W. Krueger.</t>
        </is>
      </c>
      <c r="F1146" t="inlineStr">
        <is>
          <t>No</t>
        </is>
      </c>
      <c r="G1146" t="inlineStr">
        <is>
          <t>1</t>
        </is>
      </c>
      <c r="H1146" t="inlineStr">
        <is>
          <t>No</t>
        </is>
      </c>
      <c r="I1146" t="inlineStr">
        <is>
          <t>No</t>
        </is>
      </c>
      <c r="J1146" t="inlineStr">
        <is>
          <t>0</t>
        </is>
      </c>
      <c r="K1146" t="inlineStr">
        <is>
          <t>Krueger, David W.</t>
        </is>
      </c>
      <c r="L1146" t="inlineStr">
        <is>
          <t>New York : Free Press, c1984.</t>
        </is>
      </c>
      <c r="M1146" t="inlineStr">
        <is>
          <t>1984</t>
        </is>
      </c>
      <c r="O1146" t="inlineStr">
        <is>
          <t>eng</t>
        </is>
      </c>
      <c r="P1146" t="inlineStr">
        <is>
          <t>nyu</t>
        </is>
      </c>
      <c r="R1146" t="inlineStr">
        <is>
          <t xml:space="preserve">RC </t>
        </is>
      </c>
      <c r="S1146" t="n">
        <v>10</v>
      </c>
      <c r="T1146" t="n">
        <v>10</v>
      </c>
      <c r="U1146" t="inlineStr">
        <is>
          <t>2005-04-28</t>
        </is>
      </c>
      <c r="V1146" t="inlineStr">
        <is>
          <t>2005-04-28</t>
        </is>
      </c>
      <c r="W1146" t="inlineStr">
        <is>
          <t>1992-03-23</t>
        </is>
      </c>
      <c r="X1146" t="inlineStr">
        <is>
          <t>1992-03-23</t>
        </is>
      </c>
      <c r="Y1146" t="n">
        <v>709</v>
      </c>
      <c r="Z1146" t="n">
        <v>626</v>
      </c>
      <c r="AA1146" t="n">
        <v>639</v>
      </c>
      <c r="AB1146" t="n">
        <v>5</v>
      </c>
      <c r="AC1146" t="n">
        <v>6</v>
      </c>
      <c r="AD1146" t="n">
        <v>26</v>
      </c>
      <c r="AE1146" t="n">
        <v>27</v>
      </c>
      <c r="AF1146" t="n">
        <v>8</v>
      </c>
      <c r="AG1146" t="n">
        <v>8</v>
      </c>
      <c r="AH1146" t="n">
        <v>7</v>
      </c>
      <c r="AI1146" t="n">
        <v>7</v>
      </c>
      <c r="AJ1146" t="n">
        <v>15</v>
      </c>
      <c r="AK1146" t="n">
        <v>15</v>
      </c>
      <c r="AL1146" t="n">
        <v>4</v>
      </c>
      <c r="AM1146" t="n">
        <v>5</v>
      </c>
      <c r="AN1146" t="n">
        <v>0</v>
      </c>
      <c r="AO1146" t="n">
        <v>0</v>
      </c>
      <c r="AP1146" t="inlineStr">
        <is>
          <t>No</t>
        </is>
      </c>
      <c r="AQ1146" t="inlineStr">
        <is>
          <t>Yes</t>
        </is>
      </c>
      <c r="AR1146">
        <f>HYPERLINK("http://catalog.hathitrust.org/Record/000332215","HathiTrust Record")</f>
        <v/>
      </c>
      <c r="AS1146">
        <f>HYPERLINK("https://creighton-primo.hosted.exlibrisgroup.com/primo-explore/search?tab=default_tab&amp;search_scope=EVERYTHING&amp;vid=01CRU&amp;lang=en_US&amp;offset=0&amp;query=any,contains,991000311959702656","Catalog Record")</f>
        <v/>
      </c>
      <c r="AT1146">
        <f>HYPERLINK("http://www.worldcat.org/oclc/10099683","WorldCat Record")</f>
        <v/>
      </c>
      <c r="AU1146" t="inlineStr">
        <is>
          <t>3610628:eng</t>
        </is>
      </c>
      <c r="AV1146" t="inlineStr">
        <is>
          <t>10099683</t>
        </is>
      </c>
      <c r="AW1146" t="inlineStr">
        <is>
          <t>991000311959702656</t>
        </is>
      </c>
      <c r="AX1146" t="inlineStr">
        <is>
          <t>991000311959702656</t>
        </is>
      </c>
      <c r="AY1146" t="inlineStr">
        <is>
          <t>2265644660002656</t>
        </is>
      </c>
      <c r="AZ1146" t="inlineStr">
        <is>
          <t>BOOK</t>
        </is>
      </c>
      <c r="BB1146" t="inlineStr">
        <is>
          <t>9780029180402</t>
        </is>
      </c>
      <c r="BC1146" t="inlineStr">
        <is>
          <t>32285001026672</t>
        </is>
      </c>
      <c r="BD1146" t="inlineStr">
        <is>
          <t>893224899</t>
        </is>
      </c>
    </row>
    <row r="1147">
      <c r="A1147" t="inlineStr">
        <is>
          <t>No</t>
        </is>
      </c>
      <c r="B1147" t="inlineStr">
        <is>
          <t>RC552.H8 K54 1986</t>
        </is>
      </c>
      <c r="C1147" t="inlineStr">
        <is>
          <t>0                      RC 0552000H  8                  K  54          1986</t>
        </is>
      </c>
      <c r="D1147" t="inlineStr">
        <is>
          <t>Social origins of distress and disease : depression, neurasthenia, and pain in modern China / Arthur Kleinman.</t>
        </is>
      </c>
      <c r="F1147" t="inlineStr">
        <is>
          <t>No</t>
        </is>
      </c>
      <c r="G1147" t="inlineStr">
        <is>
          <t>1</t>
        </is>
      </c>
      <c r="H1147" t="inlineStr">
        <is>
          <t>No</t>
        </is>
      </c>
      <c r="I1147" t="inlineStr">
        <is>
          <t>No</t>
        </is>
      </c>
      <c r="J1147" t="inlineStr">
        <is>
          <t>0</t>
        </is>
      </c>
      <c r="K1147" t="inlineStr">
        <is>
          <t>Kleinman, Arthur.</t>
        </is>
      </c>
      <c r="L1147" t="inlineStr">
        <is>
          <t>New Haven : Yale University Press, c1986.</t>
        </is>
      </c>
      <c r="M1147" t="inlineStr">
        <is>
          <t>1986</t>
        </is>
      </c>
      <c r="O1147" t="inlineStr">
        <is>
          <t>eng</t>
        </is>
      </c>
      <c r="P1147" t="inlineStr">
        <is>
          <t>ctu</t>
        </is>
      </c>
      <c r="R1147" t="inlineStr">
        <is>
          <t xml:space="preserve">RC </t>
        </is>
      </c>
      <c r="S1147" t="n">
        <v>15</v>
      </c>
      <c r="T1147" t="n">
        <v>15</v>
      </c>
      <c r="U1147" t="inlineStr">
        <is>
          <t>2008-05-12</t>
        </is>
      </c>
      <c r="V1147" t="inlineStr">
        <is>
          <t>2008-05-12</t>
        </is>
      </c>
      <c r="W1147" t="inlineStr">
        <is>
          <t>1990-02-28</t>
        </is>
      </c>
      <c r="X1147" t="inlineStr">
        <is>
          <t>1990-02-28</t>
        </is>
      </c>
      <c r="Y1147" t="n">
        <v>433</v>
      </c>
      <c r="Z1147" t="n">
        <v>334</v>
      </c>
      <c r="AA1147" t="n">
        <v>338</v>
      </c>
      <c r="AB1147" t="n">
        <v>1</v>
      </c>
      <c r="AC1147" t="n">
        <v>1</v>
      </c>
      <c r="AD1147" t="n">
        <v>13</v>
      </c>
      <c r="AE1147" t="n">
        <v>13</v>
      </c>
      <c r="AF1147" t="n">
        <v>3</v>
      </c>
      <c r="AG1147" t="n">
        <v>3</v>
      </c>
      <c r="AH1147" t="n">
        <v>5</v>
      </c>
      <c r="AI1147" t="n">
        <v>5</v>
      </c>
      <c r="AJ1147" t="n">
        <v>9</v>
      </c>
      <c r="AK1147" t="n">
        <v>9</v>
      </c>
      <c r="AL1147" t="n">
        <v>0</v>
      </c>
      <c r="AM1147" t="n">
        <v>0</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HYPERLINK("https://creighton-primo.hosted.exlibrisgroup.com/primo-explore/search?tab=default_tab&amp;search_scope=EVERYTHING&amp;vid=01CRU&amp;lang=en_US&amp;offset=0&amp;query=any,contains,991000769699702656","Catalog Record")</f>
        <v/>
      </c>
      <c r="AT1147">
        <f>HYPERLINK("http://www.worldcat.org/oclc/13010133","WorldCat Record")</f>
        <v/>
      </c>
      <c r="AU1147" t="inlineStr">
        <is>
          <t>890388627:eng</t>
        </is>
      </c>
      <c r="AV1147" t="inlineStr">
        <is>
          <t>13010133</t>
        </is>
      </c>
      <c r="AW1147" t="inlineStr">
        <is>
          <t>991000769699702656</t>
        </is>
      </c>
      <c r="AX1147" t="inlineStr">
        <is>
          <t>991000769699702656</t>
        </is>
      </c>
      <c r="AY1147" t="inlineStr">
        <is>
          <t>2261094310002656</t>
        </is>
      </c>
      <c r="AZ1147" t="inlineStr">
        <is>
          <t>BOOK</t>
        </is>
      </c>
      <c r="BB1147" t="inlineStr">
        <is>
          <t>9780300035414</t>
        </is>
      </c>
      <c r="BC1147" t="inlineStr">
        <is>
          <t>32285000072495</t>
        </is>
      </c>
      <c r="BD1147" t="inlineStr">
        <is>
          <t>893426018</t>
        </is>
      </c>
    </row>
    <row r="1148">
      <c r="A1148" t="inlineStr">
        <is>
          <t>No</t>
        </is>
      </c>
      <c r="B1148" t="inlineStr">
        <is>
          <t>RC552.N5 B37 1972</t>
        </is>
      </c>
      <c r="C1148" t="inlineStr">
        <is>
          <t>0                      RC 0552000N  5                  B  37          1972</t>
        </is>
      </c>
      <c r="D1148" t="inlineStr">
        <is>
          <t>American nervousness, its causes and consequences : a supplement to Nervous exhaustion (neurasthenia) / introd. by Charles E. Rosenberg.</t>
        </is>
      </c>
      <c r="F1148" t="inlineStr">
        <is>
          <t>No</t>
        </is>
      </c>
      <c r="G1148" t="inlineStr">
        <is>
          <t>1</t>
        </is>
      </c>
      <c r="H1148" t="inlineStr">
        <is>
          <t>No</t>
        </is>
      </c>
      <c r="I1148" t="inlineStr">
        <is>
          <t>No</t>
        </is>
      </c>
      <c r="J1148" t="inlineStr">
        <is>
          <t>0</t>
        </is>
      </c>
      <c r="K1148" t="inlineStr">
        <is>
          <t>Beard, George M. (George Miller), 1839-1883.</t>
        </is>
      </c>
      <c r="L1148" t="inlineStr">
        <is>
          <t>New York : Arno Press, 1972 [c1881]</t>
        </is>
      </c>
      <c r="M1148" t="inlineStr">
        <is>
          <t>1972</t>
        </is>
      </c>
      <c r="O1148" t="inlineStr">
        <is>
          <t>eng</t>
        </is>
      </c>
      <c r="P1148" t="inlineStr">
        <is>
          <t>nyu</t>
        </is>
      </c>
      <c r="Q1148" t="inlineStr">
        <is>
          <t>Medicine &amp; society in America</t>
        </is>
      </c>
      <c r="R1148" t="inlineStr">
        <is>
          <t xml:space="preserve">RC </t>
        </is>
      </c>
      <c r="S1148" t="n">
        <v>9</v>
      </c>
      <c r="T1148" t="n">
        <v>9</v>
      </c>
      <c r="U1148" t="inlineStr">
        <is>
          <t>1993-03-10</t>
        </is>
      </c>
      <c r="V1148" t="inlineStr">
        <is>
          <t>1993-03-10</t>
        </is>
      </c>
      <c r="W1148" t="inlineStr">
        <is>
          <t>1991-01-11</t>
        </is>
      </c>
      <c r="X1148" t="inlineStr">
        <is>
          <t>1991-01-11</t>
        </is>
      </c>
      <c r="Y1148" t="n">
        <v>117</v>
      </c>
      <c r="Z1148" t="n">
        <v>109</v>
      </c>
      <c r="AA1148" t="n">
        <v>380</v>
      </c>
      <c r="AB1148" t="n">
        <v>1</v>
      </c>
      <c r="AC1148" t="n">
        <v>4</v>
      </c>
      <c r="AD1148" t="n">
        <v>2</v>
      </c>
      <c r="AE1148" t="n">
        <v>14</v>
      </c>
      <c r="AF1148" t="n">
        <v>0</v>
      </c>
      <c r="AG1148" t="n">
        <v>3</v>
      </c>
      <c r="AH1148" t="n">
        <v>0</v>
      </c>
      <c r="AI1148" t="n">
        <v>1</v>
      </c>
      <c r="AJ1148" t="n">
        <v>2</v>
      </c>
      <c r="AK1148" t="n">
        <v>7</v>
      </c>
      <c r="AL1148" t="n">
        <v>0</v>
      </c>
      <c r="AM1148" t="n">
        <v>3</v>
      </c>
      <c r="AN1148" t="n">
        <v>0</v>
      </c>
      <c r="AO1148" t="n">
        <v>0</v>
      </c>
      <c r="AP1148" t="inlineStr">
        <is>
          <t>No</t>
        </is>
      </c>
      <c r="AQ1148" t="inlineStr">
        <is>
          <t>No</t>
        </is>
      </c>
      <c r="AS1148">
        <f>HYPERLINK("https://creighton-primo.hosted.exlibrisgroup.com/primo-explore/search?tab=default_tab&amp;search_scope=EVERYTHING&amp;vid=01CRU&amp;lang=en_US&amp;offset=0&amp;query=any,contains,991002394499702656","Catalog Record")</f>
        <v/>
      </c>
      <c r="AT1148">
        <f>HYPERLINK("http://www.worldcat.org/oclc/333907","WorldCat Record")</f>
        <v/>
      </c>
      <c r="AU1148" t="inlineStr">
        <is>
          <t>1445154:eng</t>
        </is>
      </c>
      <c r="AV1148" t="inlineStr">
        <is>
          <t>333907</t>
        </is>
      </c>
      <c r="AW1148" t="inlineStr">
        <is>
          <t>991002394499702656</t>
        </is>
      </c>
      <c r="AX1148" t="inlineStr">
        <is>
          <t>991002394499702656</t>
        </is>
      </c>
      <c r="AY1148" t="inlineStr">
        <is>
          <t>2257215080002656</t>
        </is>
      </c>
      <c r="AZ1148" t="inlineStr">
        <is>
          <t>BOOK</t>
        </is>
      </c>
      <c r="BB1148" t="inlineStr">
        <is>
          <t>9780405039324</t>
        </is>
      </c>
      <c r="BC1148" t="inlineStr">
        <is>
          <t>32285000427913</t>
        </is>
      </c>
      <c r="BD1148" t="inlineStr">
        <is>
          <t>893445140</t>
        </is>
      </c>
    </row>
    <row r="1149">
      <c r="A1149" t="inlineStr">
        <is>
          <t>No</t>
        </is>
      </c>
      <c r="B1149" t="inlineStr">
        <is>
          <t>RC552.O25 C49 1978</t>
        </is>
      </c>
      <c r="C1149" t="inlineStr">
        <is>
          <t>0                      RC 0552000O  25                 C  49          1978</t>
        </is>
      </c>
      <c r="D1149" t="inlineStr">
        <is>
          <t>The compulsive overeater : seven steps to thin sanity / by George F. Christians.</t>
        </is>
      </c>
      <c r="F1149" t="inlineStr">
        <is>
          <t>No</t>
        </is>
      </c>
      <c r="G1149" t="inlineStr">
        <is>
          <t>1</t>
        </is>
      </c>
      <c r="H1149" t="inlineStr">
        <is>
          <t>No</t>
        </is>
      </c>
      <c r="I1149" t="inlineStr">
        <is>
          <t>No</t>
        </is>
      </c>
      <c r="J1149" t="inlineStr">
        <is>
          <t>0</t>
        </is>
      </c>
      <c r="K1149" t="inlineStr">
        <is>
          <t>Christians, George, 1923-</t>
        </is>
      </c>
      <c r="L1149" t="inlineStr">
        <is>
          <t>Garden City, N.Y. : Doubleday, 1978.</t>
        </is>
      </c>
      <c r="M1149" t="inlineStr">
        <is>
          <t>1978</t>
        </is>
      </c>
      <c r="N1149" t="inlineStr">
        <is>
          <t>1st ed.</t>
        </is>
      </c>
      <c r="O1149" t="inlineStr">
        <is>
          <t>eng</t>
        </is>
      </c>
      <c r="P1149" t="inlineStr">
        <is>
          <t>nyu</t>
        </is>
      </c>
      <c r="R1149" t="inlineStr">
        <is>
          <t xml:space="preserve">RC </t>
        </is>
      </c>
      <c r="S1149" t="n">
        <v>6</v>
      </c>
      <c r="T1149" t="n">
        <v>6</v>
      </c>
      <c r="U1149" t="inlineStr">
        <is>
          <t>2003-07-29</t>
        </is>
      </c>
      <c r="V1149" t="inlineStr">
        <is>
          <t>2003-07-29</t>
        </is>
      </c>
      <c r="W1149" t="inlineStr">
        <is>
          <t>1992-03-23</t>
        </is>
      </c>
      <c r="X1149" t="inlineStr">
        <is>
          <t>1992-03-23</t>
        </is>
      </c>
      <c r="Y1149" t="n">
        <v>113</v>
      </c>
      <c r="Z1149" t="n">
        <v>107</v>
      </c>
      <c r="AA1149" t="n">
        <v>107</v>
      </c>
      <c r="AB1149" t="n">
        <v>1</v>
      </c>
      <c r="AC1149" t="n">
        <v>1</v>
      </c>
      <c r="AD1149" t="n">
        <v>0</v>
      </c>
      <c r="AE1149" t="n">
        <v>0</v>
      </c>
      <c r="AF1149" t="n">
        <v>0</v>
      </c>
      <c r="AG1149" t="n">
        <v>0</v>
      </c>
      <c r="AH1149" t="n">
        <v>0</v>
      </c>
      <c r="AI1149" t="n">
        <v>0</v>
      </c>
      <c r="AJ1149" t="n">
        <v>0</v>
      </c>
      <c r="AK1149" t="n">
        <v>0</v>
      </c>
      <c r="AL1149" t="n">
        <v>0</v>
      </c>
      <c r="AM1149" t="n">
        <v>0</v>
      </c>
      <c r="AN1149" t="n">
        <v>0</v>
      </c>
      <c r="AO1149" t="n">
        <v>0</v>
      </c>
      <c r="AP1149" t="inlineStr">
        <is>
          <t>No</t>
        </is>
      </c>
      <c r="AQ1149" t="inlineStr">
        <is>
          <t>No</t>
        </is>
      </c>
      <c r="AS1149">
        <f>HYPERLINK("https://creighton-primo.hosted.exlibrisgroup.com/primo-explore/search?tab=default_tab&amp;search_scope=EVERYTHING&amp;vid=01CRU&amp;lang=en_US&amp;offset=0&amp;query=any,contains,991004474659702656","Catalog Record")</f>
        <v/>
      </c>
      <c r="AT1149">
        <f>HYPERLINK("http://www.worldcat.org/oclc/3608730","WorldCat Record")</f>
        <v/>
      </c>
      <c r="AU1149" t="inlineStr">
        <is>
          <t>11148545:eng</t>
        </is>
      </c>
      <c r="AV1149" t="inlineStr">
        <is>
          <t>3608730</t>
        </is>
      </c>
      <c r="AW1149" t="inlineStr">
        <is>
          <t>991004474659702656</t>
        </is>
      </c>
      <c r="AX1149" t="inlineStr">
        <is>
          <t>991004474659702656</t>
        </is>
      </c>
      <c r="AY1149" t="inlineStr">
        <is>
          <t>2271503230002656</t>
        </is>
      </c>
      <c r="AZ1149" t="inlineStr">
        <is>
          <t>BOOK</t>
        </is>
      </c>
      <c r="BB1149" t="inlineStr">
        <is>
          <t>9780365140382</t>
        </is>
      </c>
      <c r="BC1149" t="inlineStr">
        <is>
          <t>32285001026656</t>
        </is>
      </c>
      <c r="BD1149" t="inlineStr">
        <is>
          <t>893687772</t>
        </is>
      </c>
    </row>
    <row r="1150">
      <c r="A1150" t="inlineStr">
        <is>
          <t>No</t>
        </is>
      </c>
      <c r="B1150" t="inlineStr">
        <is>
          <t>RC552.O25 S78 1987</t>
        </is>
      </c>
      <c r="C1150" t="inlineStr">
        <is>
          <t>0                      RC 0552000O  25                 S  78          1987</t>
        </is>
      </c>
      <c r="D1150" t="inlineStr">
        <is>
          <t>Weight, sex, and marriage : a delicate balance / Richard B. Stuart and Barbara Jacobson.</t>
        </is>
      </c>
      <c r="F1150" t="inlineStr">
        <is>
          <t>No</t>
        </is>
      </c>
      <c r="G1150" t="inlineStr">
        <is>
          <t>1</t>
        </is>
      </c>
      <c r="H1150" t="inlineStr">
        <is>
          <t>No</t>
        </is>
      </c>
      <c r="I1150" t="inlineStr">
        <is>
          <t>No</t>
        </is>
      </c>
      <c r="J1150" t="inlineStr">
        <is>
          <t>0</t>
        </is>
      </c>
      <c r="K1150" t="inlineStr">
        <is>
          <t>Stuart, Richard B.</t>
        </is>
      </c>
      <c r="L1150" t="inlineStr">
        <is>
          <t>New York : Norton, c1987.</t>
        </is>
      </c>
      <c r="M1150" t="inlineStr">
        <is>
          <t>1987</t>
        </is>
      </c>
      <c r="N1150" t="inlineStr">
        <is>
          <t>1st ed.</t>
        </is>
      </c>
      <c r="O1150" t="inlineStr">
        <is>
          <t>eng</t>
        </is>
      </c>
      <c r="P1150" t="inlineStr">
        <is>
          <t>nyu</t>
        </is>
      </c>
      <c r="R1150" t="inlineStr">
        <is>
          <t xml:space="preserve">RC </t>
        </is>
      </c>
      <c r="S1150" t="n">
        <v>14</v>
      </c>
      <c r="T1150" t="n">
        <v>14</v>
      </c>
      <c r="U1150" t="inlineStr">
        <is>
          <t>2010-07-15</t>
        </is>
      </c>
      <c r="V1150" t="inlineStr">
        <is>
          <t>2010-07-15</t>
        </is>
      </c>
      <c r="W1150" t="inlineStr">
        <is>
          <t>1991-10-29</t>
        </is>
      </c>
      <c r="X1150" t="inlineStr">
        <is>
          <t>1991-10-29</t>
        </is>
      </c>
      <c r="Y1150" t="n">
        <v>420</v>
      </c>
      <c r="Z1150" t="n">
        <v>396</v>
      </c>
      <c r="AA1150" t="n">
        <v>461</v>
      </c>
      <c r="AB1150" t="n">
        <v>3</v>
      </c>
      <c r="AC1150" t="n">
        <v>4</v>
      </c>
      <c r="AD1150" t="n">
        <v>3</v>
      </c>
      <c r="AE1150" t="n">
        <v>5</v>
      </c>
      <c r="AF1150" t="n">
        <v>1</v>
      </c>
      <c r="AG1150" t="n">
        <v>2</v>
      </c>
      <c r="AH1150" t="n">
        <v>0</v>
      </c>
      <c r="AI1150" t="n">
        <v>0</v>
      </c>
      <c r="AJ1150" t="n">
        <v>2</v>
      </c>
      <c r="AK1150" t="n">
        <v>3</v>
      </c>
      <c r="AL1150" t="n">
        <v>0</v>
      </c>
      <c r="AM1150" t="n">
        <v>1</v>
      </c>
      <c r="AN1150" t="n">
        <v>0</v>
      </c>
      <c r="AO1150" t="n">
        <v>0</v>
      </c>
      <c r="AP1150" t="inlineStr">
        <is>
          <t>No</t>
        </is>
      </c>
      <c r="AQ1150" t="inlineStr">
        <is>
          <t>No</t>
        </is>
      </c>
      <c r="AS1150">
        <f>HYPERLINK("https://creighton-primo.hosted.exlibrisgroup.com/primo-explore/search?tab=default_tab&amp;search_scope=EVERYTHING&amp;vid=01CRU&amp;lang=en_US&amp;offset=0&amp;query=any,contains,991000985869702656","Catalog Record")</f>
        <v/>
      </c>
      <c r="AT1150">
        <f>HYPERLINK("http://www.worldcat.org/oclc/15081849","WorldCat Record")</f>
        <v/>
      </c>
      <c r="AU1150" t="inlineStr">
        <is>
          <t>9003847:eng</t>
        </is>
      </c>
      <c r="AV1150" t="inlineStr">
        <is>
          <t>15081849</t>
        </is>
      </c>
      <c r="AW1150" t="inlineStr">
        <is>
          <t>991000985869702656</t>
        </is>
      </c>
      <c r="AX1150" t="inlineStr">
        <is>
          <t>991000985869702656</t>
        </is>
      </c>
      <c r="AY1150" t="inlineStr">
        <is>
          <t>2259037170002656</t>
        </is>
      </c>
      <c r="AZ1150" t="inlineStr">
        <is>
          <t>BOOK</t>
        </is>
      </c>
      <c r="BB1150" t="inlineStr">
        <is>
          <t>9780393024661</t>
        </is>
      </c>
      <c r="BC1150" t="inlineStr">
        <is>
          <t>32285000803139</t>
        </is>
      </c>
      <c r="BD1150" t="inlineStr">
        <is>
          <t>893438771</t>
        </is>
      </c>
    </row>
    <row r="1151">
      <c r="A1151" t="inlineStr">
        <is>
          <t>No</t>
        </is>
      </c>
      <c r="B1151" t="inlineStr">
        <is>
          <t>RC552.P67 B79 2000</t>
        </is>
      </c>
      <c r="C1151" t="inlineStr">
        <is>
          <t>0                      RC 0552000P  67                 B  79          2000</t>
        </is>
      </c>
      <c r="D1151" t="inlineStr">
        <is>
          <t>Acute stress disorder : a handbook of theory, assessment, and treatment / Richard A. Bryant and Allison G. Harvey.</t>
        </is>
      </c>
      <c r="F1151" t="inlineStr">
        <is>
          <t>No</t>
        </is>
      </c>
      <c r="G1151" t="inlineStr">
        <is>
          <t>1</t>
        </is>
      </c>
      <c r="H1151" t="inlineStr">
        <is>
          <t>No</t>
        </is>
      </c>
      <c r="I1151" t="inlineStr">
        <is>
          <t>No</t>
        </is>
      </c>
      <c r="J1151" t="inlineStr">
        <is>
          <t>0</t>
        </is>
      </c>
      <c r="K1151" t="inlineStr">
        <is>
          <t>Bryant, Richard A., 1960-</t>
        </is>
      </c>
      <c r="L1151" t="inlineStr">
        <is>
          <t>Washington, DC : American Psychological Association, c2000.</t>
        </is>
      </c>
      <c r="M1151" t="inlineStr">
        <is>
          <t>2000</t>
        </is>
      </c>
      <c r="O1151" t="inlineStr">
        <is>
          <t>eng</t>
        </is>
      </c>
      <c r="P1151" t="inlineStr">
        <is>
          <t>dcu</t>
        </is>
      </c>
      <c r="R1151" t="inlineStr">
        <is>
          <t xml:space="preserve">RC </t>
        </is>
      </c>
      <c r="S1151" t="n">
        <v>1</v>
      </c>
      <c r="T1151" t="n">
        <v>1</v>
      </c>
      <c r="U1151" t="inlineStr">
        <is>
          <t>2007-11-15</t>
        </is>
      </c>
      <c r="V1151" t="inlineStr">
        <is>
          <t>2007-11-15</t>
        </is>
      </c>
      <c r="W1151" t="inlineStr">
        <is>
          <t>2006-03-07</t>
        </is>
      </c>
      <c r="X1151" t="inlineStr">
        <is>
          <t>2006-03-07</t>
        </is>
      </c>
      <c r="Y1151" t="n">
        <v>518</v>
      </c>
      <c r="Z1151" t="n">
        <v>430</v>
      </c>
      <c r="AA1151" t="n">
        <v>500</v>
      </c>
      <c r="AB1151" t="n">
        <v>1</v>
      </c>
      <c r="AC1151" t="n">
        <v>2</v>
      </c>
      <c r="AD1151" t="n">
        <v>17</v>
      </c>
      <c r="AE1151" t="n">
        <v>22</v>
      </c>
      <c r="AF1151" t="n">
        <v>9</v>
      </c>
      <c r="AG1151" t="n">
        <v>9</v>
      </c>
      <c r="AH1151" t="n">
        <v>5</v>
      </c>
      <c r="AI1151" t="n">
        <v>5</v>
      </c>
      <c r="AJ1151" t="n">
        <v>6</v>
      </c>
      <c r="AK1151" t="n">
        <v>10</v>
      </c>
      <c r="AL1151" t="n">
        <v>0</v>
      </c>
      <c r="AM1151" t="n">
        <v>1</v>
      </c>
      <c r="AN1151" t="n">
        <v>0</v>
      </c>
      <c r="AO1151" t="n">
        <v>0</v>
      </c>
      <c r="AP1151" t="inlineStr">
        <is>
          <t>No</t>
        </is>
      </c>
      <c r="AQ1151" t="inlineStr">
        <is>
          <t>No</t>
        </is>
      </c>
      <c r="AS1151">
        <f>HYPERLINK("https://creighton-primo.hosted.exlibrisgroup.com/primo-explore/search?tab=default_tab&amp;search_scope=EVERYTHING&amp;vid=01CRU&amp;lang=en_US&amp;offset=0&amp;query=any,contains,991004761699702656","Catalog Record")</f>
        <v/>
      </c>
      <c r="AT1151">
        <f>HYPERLINK("http://www.worldcat.org/oclc/42397263","WorldCat Record")</f>
        <v/>
      </c>
      <c r="AU1151" t="inlineStr">
        <is>
          <t>794291215:eng</t>
        </is>
      </c>
      <c r="AV1151" t="inlineStr">
        <is>
          <t>42397263</t>
        </is>
      </c>
      <c r="AW1151" t="inlineStr">
        <is>
          <t>991004761699702656</t>
        </is>
      </c>
      <c r="AX1151" t="inlineStr">
        <is>
          <t>991004761699702656</t>
        </is>
      </c>
      <c r="AY1151" t="inlineStr">
        <is>
          <t>2268059050002656</t>
        </is>
      </c>
      <c r="AZ1151" t="inlineStr">
        <is>
          <t>BOOK</t>
        </is>
      </c>
      <c r="BB1151" t="inlineStr">
        <is>
          <t>9781557986122</t>
        </is>
      </c>
      <c r="BC1151" t="inlineStr">
        <is>
          <t>32285005183925</t>
        </is>
      </c>
      <c r="BD1151" t="inlineStr">
        <is>
          <t>893500920</t>
        </is>
      </c>
    </row>
    <row r="1152">
      <c r="A1152" t="inlineStr">
        <is>
          <t>No</t>
        </is>
      </c>
      <c r="B1152" t="inlineStr">
        <is>
          <t>RC552.P67 E837 2004</t>
        </is>
      </c>
      <c r="C1152" t="inlineStr">
        <is>
          <t>0                      RC 0552000P  67                 E  837         2004</t>
        </is>
      </c>
      <c r="D1152" t="inlineStr">
        <is>
          <t>Personality-guided therapy for posttraumatic stress disorder / by George S. Everly, Jr., Jeffrey M. Lating.</t>
        </is>
      </c>
      <c r="F1152" t="inlineStr">
        <is>
          <t>No</t>
        </is>
      </c>
      <c r="G1152" t="inlineStr">
        <is>
          <t>1</t>
        </is>
      </c>
      <c r="H1152" t="inlineStr">
        <is>
          <t>No</t>
        </is>
      </c>
      <c r="I1152" t="inlineStr">
        <is>
          <t>No</t>
        </is>
      </c>
      <c r="J1152" t="inlineStr">
        <is>
          <t>0</t>
        </is>
      </c>
      <c r="K1152" t="inlineStr">
        <is>
          <t>Everly, George S., Jr., 1950-</t>
        </is>
      </c>
      <c r="L1152" t="inlineStr">
        <is>
          <t>Washington, DC : American Psychological Association, c2004.</t>
        </is>
      </c>
      <c r="M1152" t="inlineStr">
        <is>
          <t>2004</t>
        </is>
      </c>
      <c r="N1152" t="inlineStr">
        <is>
          <t>1st ed.</t>
        </is>
      </c>
      <c r="O1152" t="inlineStr">
        <is>
          <t>eng</t>
        </is>
      </c>
      <c r="P1152" t="inlineStr">
        <is>
          <t>dcu</t>
        </is>
      </c>
      <c r="Q1152" t="inlineStr">
        <is>
          <t>Personality-guided psychology</t>
        </is>
      </c>
      <c r="R1152" t="inlineStr">
        <is>
          <t xml:space="preserve">RC </t>
        </is>
      </c>
      <c r="S1152" t="n">
        <v>5</v>
      </c>
      <c r="T1152" t="n">
        <v>5</v>
      </c>
      <c r="U1152" t="inlineStr">
        <is>
          <t>2010-09-16</t>
        </is>
      </c>
      <c r="V1152" t="inlineStr">
        <is>
          <t>2010-09-16</t>
        </is>
      </c>
      <c r="W1152" t="inlineStr">
        <is>
          <t>2007-03-28</t>
        </is>
      </c>
      <c r="X1152" t="inlineStr">
        <is>
          <t>2007-03-28</t>
        </is>
      </c>
      <c r="Y1152" t="n">
        <v>284</v>
      </c>
      <c r="Z1152" t="n">
        <v>223</v>
      </c>
      <c r="AA1152" t="n">
        <v>307</v>
      </c>
      <c r="AB1152" t="n">
        <v>2</v>
      </c>
      <c r="AC1152" t="n">
        <v>3</v>
      </c>
      <c r="AD1152" t="n">
        <v>7</v>
      </c>
      <c r="AE1152" t="n">
        <v>14</v>
      </c>
      <c r="AF1152" t="n">
        <v>1</v>
      </c>
      <c r="AG1152" t="n">
        <v>3</v>
      </c>
      <c r="AH1152" t="n">
        <v>3</v>
      </c>
      <c r="AI1152" t="n">
        <v>3</v>
      </c>
      <c r="AJ1152" t="n">
        <v>5</v>
      </c>
      <c r="AK1152" t="n">
        <v>9</v>
      </c>
      <c r="AL1152" t="n">
        <v>1</v>
      </c>
      <c r="AM1152" t="n">
        <v>2</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HYPERLINK("https://creighton-primo.hosted.exlibrisgroup.com/primo-explore/search?tab=default_tab&amp;search_scope=EVERYTHING&amp;vid=01CRU&amp;lang=en_US&amp;offset=0&amp;query=any,contains,991005052759702656","Catalog Record")</f>
        <v/>
      </c>
      <c r="AT1152">
        <f>HYPERLINK("http://www.worldcat.org/oclc/52092072","WorldCat Record")</f>
        <v/>
      </c>
      <c r="AU1152" t="inlineStr">
        <is>
          <t>808594:eng</t>
        </is>
      </c>
      <c r="AV1152" t="inlineStr">
        <is>
          <t>52092072</t>
        </is>
      </c>
      <c r="AW1152" t="inlineStr">
        <is>
          <t>991005052759702656</t>
        </is>
      </c>
      <c r="AX1152" t="inlineStr">
        <is>
          <t>991005052759702656</t>
        </is>
      </c>
      <c r="AY1152" t="inlineStr">
        <is>
          <t>2272330220002656</t>
        </is>
      </c>
      <c r="AZ1152" t="inlineStr">
        <is>
          <t>BOOK</t>
        </is>
      </c>
      <c r="BB1152" t="inlineStr">
        <is>
          <t>9781591470441</t>
        </is>
      </c>
      <c r="BC1152" t="inlineStr">
        <is>
          <t>32285005284020</t>
        </is>
      </c>
      <c r="BD1152" t="inlineStr">
        <is>
          <t>893236200</t>
        </is>
      </c>
    </row>
    <row r="1153">
      <c r="A1153" t="inlineStr">
        <is>
          <t>No</t>
        </is>
      </c>
      <c r="B1153" t="inlineStr">
        <is>
          <t>RC552.P67 M396 2003</t>
        </is>
      </c>
      <c r="C1153" t="inlineStr">
        <is>
          <t>0                      RC 0552000P  67                 M  396         2003</t>
        </is>
      </c>
      <c r="D1153" t="inlineStr">
        <is>
          <t>Remembering trauma / Richard J. McNally.</t>
        </is>
      </c>
      <c r="F1153" t="inlineStr">
        <is>
          <t>No</t>
        </is>
      </c>
      <c r="G1153" t="inlineStr">
        <is>
          <t>1</t>
        </is>
      </c>
      <c r="H1153" t="inlineStr">
        <is>
          <t>No</t>
        </is>
      </c>
      <c r="I1153" t="inlineStr">
        <is>
          <t>No</t>
        </is>
      </c>
      <c r="J1153" t="inlineStr">
        <is>
          <t>0</t>
        </is>
      </c>
      <c r="K1153" t="inlineStr">
        <is>
          <t>McNally, Richard J.</t>
        </is>
      </c>
      <c r="L1153" t="inlineStr">
        <is>
          <t>Cambridge, Mass. : Belknap Press of Harvard University Press, 2003.</t>
        </is>
      </c>
      <c r="M1153" t="inlineStr">
        <is>
          <t>2003</t>
        </is>
      </c>
      <c r="O1153" t="inlineStr">
        <is>
          <t>eng</t>
        </is>
      </c>
      <c r="P1153" t="inlineStr">
        <is>
          <t>mau</t>
        </is>
      </c>
      <c r="R1153" t="inlineStr">
        <is>
          <t xml:space="preserve">RC </t>
        </is>
      </c>
      <c r="S1153" t="n">
        <v>12</v>
      </c>
      <c r="T1153" t="n">
        <v>12</v>
      </c>
      <c r="U1153" t="inlineStr">
        <is>
          <t>2010-10-12</t>
        </is>
      </c>
      <c r="V1153" t="inlineStr">
        <is>
          <t>2010-10-12</t>
        </is>
      </c>
      <c r="W1153" t="inlineStr">
        <is>
          <t>2005-05-10</t>
        </is>
      </c>
      <c r="X1153" t="inlineStr">
        <is>
          <t>2005-05-10</t>
        </is>
      </c>
      <c r="Y1153" t="n">
        <v>663</v>
      </c>
      <c r="Z1153" t="n">
        <v>517</v>
      </c>
      <c r="AA1153" t="n">
        <v>565</v>
      </c>
      <c r="AB1153" t="n">
        <v>4</v>
      </c>
      <c r="AC1153" t="n">
        <v>4</v>
      </c>
      <c r="AD1153" t="n">
        <v>23</v>
      </c>
      <c r="AE1153" t="n">
        <v>24</v>
      </c>
      <c r="AF1153" t="n">
        <v>8</v>
      </c>
      <c r="AG1153" t="n">
        <v>9</v>
      </c>
      <c r="AH1153" t="n">
        <v>3</v>
      </c>
      <c r="AI1153" t="n">
        <v>3</v>
      </c>
      <c r="AJ1153" t="n">
        <v>13</v>
      </c>
      <c r="AK1153" t="n">
        <v>13</v>
      </c>
      <c r="AL1153" t="n">
        <v>3</v>
      </c>
      <c r="AM1153" t="n">
        <v>3</v>
      </c>
      <c r="AN1153" t="n">
        <v>1</v>
      </c>
      <c r="AO1153" t="n">
        <v>1</v>
      </c>
      <c r="AP1153" t="inlineStr">
        <is>
          <t>No</t>
        </is>
      </c>
      <c r="AQ1153" t="inlineStr">
        <is>
          <t>Yes</t>
        </is>
      </c>
      <c r="AR1153">
        <f>HYPERLINK("http://catalog.hathitrust.org/Record/004316275","HathiTrust Record")</f>
        <v/>
      </c>
      <c r="AS1153">
        <f>HYPERLINK("https://creighton-primo.hosted.exlibrisgroup.com/primo-explore/search?tab=default_tab&amp;search_scope=EVERYTHING&amp;vid=01CRU&amp;lang=en_US&amp;offset=0&amp;query=any,contains,991004510489702656","Catalog Record")</f>
        <v/>
      </c>
      <c r="AT1153">
        <f>HYPERLINK("http://www.worldcat.org/oclc/50604863","WorldCat Record")</f>
        <v/>
      </c>
      <c r="AU1153" t="inlineStr">
        <is>
          <t>932397:eng</t>
        </is>
      </c>
      <c r="AV1153" t="inlineStr">
        <is>
          <t>50604863</t>
        </is>
      </c>
      <c r="AW1153" t="inlineStr">
        <is>
          <t>991004510489702656</t>
        </is>
      </c>
      <c r="AX1153" t="inlineStr">
        <is>
          <t>991004510489702656</t>
        </is>
      </c>
      <c r="AY1153" t="inlineStr">
        <is>
          <t>2263250250002656</t>
        </is>
      </c>
      <c r="AZ1153" t="inlineStr">
        <is>
          <t>BOOK</t>
        </is>
      </c>
      <c r="BB1153" t="inlineStr">
        <is>
          <t>9780674010826</t>
        </is>
      </c>
      <c r="BC1153" t="inlineStr">
        <is>
          <t>32285005036552</t>
        </is>
      </c>
      <c r="BD1153" t="inlineStr">
        <is>
          <t>893259805</t>
        </is>
      </c>
    </row>
    <row r="1154">
      <c r="A1154" t="inlineStr">
        <is>
          <t>No</t>
        </is>
      </c>
      <c r="B1154" t="inlineStr">
        <is>
          <t>RC552.P67 W35 1993</t>
        </is>
      </c>
      <c r="C1154" t="inlineStr">
        <is>
          <t>0                      RC 0552000P  67                 W  35          1993</t>
        </is>
      </c>
      <c r="D1154" t="inlineStr">
        <is>
          <t>Trauma and survival : post-traumatic and dissociative disorders in women / Elizabeth A. Waites.</t>
        </is>
      </c>
      <c r="F1154" t="inlineStr">
        <is>
          <t>No</t>
        </is>
      </c>
      <c r="G1154" t="inlineStr">
        <is>
          <t>1</t>
        </is>
      </c>
      <c r="H1154" t="inlineStr">
        <is>
          <t>No</t>
        </is>
      </c>
      <c r="I1154" t="inlineStr">
        <is>
          <t>No</t>
        </is>
      </c>
      <c r="J1154" t="inlineStr">
        <is>
          <t>0</t>
        </is>
      </c>
      <c r="K1154" t="inlineStr">
        <is>
          <t>Waites, Elizabeth A.</t>
        </is>
      </c>
      <c r="L1154" t="inlineStr">
        <is>
          <t>New York : Norton, 1993.</t>
        </is>
      </c>
      <c r="M1154" t="inlineStr">
        <is>
          <t>1993</t>
        </is>
      </c>
      <c r="N1154" t="inlineStr">
        <is>
          <t>1st ed.</t>
        </is>
      </c>
      <c r="O1154" t="inlineStr">
        <is>
          <t>eng</t>
        </is>
      </c>
      <c r="P1154" t="inlineStr">
        <is>
          <t>nyu</t>
        </is>
      </c>
      <c r="R1154" t="inlineStr">
        <is>
          <t xml:space="preserve">RC </t>
        </is>
      </c>
      <c r="S1154" t="n">
        <v>29</v>
      </c>
      <c r="T1154" t="n">
        <v>29</v>
      </c>
      <c r="U1154" t="inlineStr">
        <is>
          <t>2006-12-02</t>
        </is>
      </c>
      <c r="V1154" t="inlineStr">
        <is>
          <t>2006-12-02</t>
        </is>
      </c>
      <c r="W1154" t="inlineStr">
        <is>
          <t>1993-12-29</t>
        </is>
      </c>
      <c r="X1154" t="inlineStr">
        <is>
          <t>1993-12-29</t>
        </is>
      </c>
      <c r="Y1154" t="n">
        <v>378</v>
      </c>
      <c r="Z1154" t="n">
        <v>316</v>
      </c>
      <c r="AA1154" t="n">
        <v>321</v>
      </c>
      <c r="AB1154" t="n">
        <v>2</v>
      </c>
      <c r="AC1154" t="n">
        <v>2</v>
      </c>
      <c r="AD1154" t="n">
        <v>17</v>
      </c>
      <c r="AE1154" t="n">
        <v>17</v>
      </c>
      <c r="AF1154" t="n">
        <v>9</v>
      </c>
      <c r="AG1154" t="n">
        <v>9</v>
      </c>
      <c r="AH1154" t="n">
        <v>2</v>
      </c>
      <c r="AI1154" t="n">
        <v>2</v>
      </c>
      <c r="AJ1154" t="n">
        <v>10</v>
      </c>
      <c r="AK1154" t="n">
        <v>10</v>
      </c>
      <c r="AL1154" t="n">
        <v>1</v>
      </c>
      <c r="AM1154" t="n">
        <v>1</v>
      </c>
      <c r="AN1154" t="n">
        <v>0</v>
      </c>
      <c r="AO1154" t="n">
        <v>0</v>
      </c>
      <c r="AP1154" t="inlineStr">
        <is>
          <t>No</t>
        </is>
      </c>
      <c r="AQ1154" t="inlineStr">
        <is>
          <t>No</t>
        </is>
      </c>
      <c r="AS1154">
        <f>HYPERLINK("https://creighton-primo.hosted.exlibrisgroup.com/primo-explore/search?tab=default_tab&amp;search_scope=EVERYTHING&amp;vid=01CRU&amp;lang=en_US&amp;offset=0&amp;query=any,contains,991002099849702656","Catalog Record")</f>
        <v/>
      </c>
      <c r="AT1154">
        <f>HYPERLINK("http://www.worldcat.org/oclc/26935130","WorldCat Record")</f>
        <v/>
      </c>
      <c r="AU1154" t="inlineStr">
        <is>
          <t>836868187:eng</t>
        </is>
      </c>
      <c r="AV1154" t="inlineStr">
        <is>
          <t>26935130</t>
        </is>
      </c>
      <c r="AW1154" t="inlineStr">
        <is>
          <t>991002099849702656</t>
        </is>
      </c>
      <c r="AX1154" t="inlineStr">
        <is>
          <t>991002099849702656</t>
        </is>
      </c>
      <c r="AY1154" t="inlineStr">
        <is>
          <t>2262489360002656</t>
        </is>
      </c>
      <c r="AZ1154" t="inlineStr">
        <is>
          <t>BOOK</t>
        </is>
      </c>
      <c r="BB1154" t="inlineStr">
        <is>
          <t>9780393701500</t>
        </is>
      </c>
      <c r="BC1154" t="inlineStr">
        <is>
          <t>32285001818581</t>
        </is>
      </c>
      <c r="BD1154" t="inlineStr">
        <is>
          <t>893226461</t>
        </is>
      </c>
    </row>
    <row r="1155">
      <c r="A1155" t="inlineStr">
        <is>
          <t>No</t>
        </is>
      </c>
      <c r="B1155" t="inlineStr">
        <is>
          <t>RC552.R44 F67 1991</t>
        </is>
      </c>
      <c r="C1155" t="inlineStr">
        <is>
          <t>0                      RC 0552000R  44                 F  67          1991</t>
        </is>
      </c>
      <c r="D1155" t="inlineStr">
        <is>
          <t>Obsessive love : when passion holds you prisoner / Susan Forward and Craig Buck.</t>
        </is>
      </c>
      <c r="F1155" t="inlineStr">
        <is>
          <t>No</t>
        </is>
      </c>
      <c r="G1155" t="inlineStr">
        <is>
          <t>1</t>
        </is>
      </c>
      <c r="H1155" t="inlineStr">
        <is>
          <t>No</t>
        </is>
      </c>
      <c r="I1155" t="inlineStr">
        <is>
          <t>No</t>
        </is>
      </c>
      <c r="J1155" t="inlineStr">
        <is>
          <t>0</t>
        </is>
      </c>
      <c r="K1155" t="inlineStr">
        <is>
          <t>Forward, Susan.</t>
        </is>
      </c>
      <c r="L1155" t="inlineStr">
        <is>
          <t>New York : Bantam Books, 1991.</t>
        </is>
      </c>
      <c r="M1155" t="inlineStr">
        <is>
          <t>1991</t>
        </is>
      </c>
      <c r="O1155" t="inlineStr">
        <is>
          <t>eng</t>
        </is>
      </c>
      <c r="P1155" t="inlineStr">
        <is>
          <t>nyu</t>
        </is>
      </c>
      <c r="R1155" t="inlineStr">
        <is>
          <t xml:space="preserve">RC </t>
        </is>
      </c>
      <c r="S1155" t="n">
        <v>18</v>
      </c>
      <c r="T1155" t="n">
        <v>18</v>
      </c>
      <c r="U1155" t="inlineStr">
        <is>
          <t>2005-09-14</t>
        </is>
      </c>
      <c r="V1155" t="inlineStr">
        <is>
          <t>2005-09-14</t>
        </is>
      </c>
      <c r="W1155" t="inlineStr">
        <is>
          <t>1992-08-04</t>
        </is>
      </c>
      <c r="X1155" t="inlineStr">
        <is>
          <t>1992-08-04</t>
        </is>
      </c>
      <c r="Y1155" t="n">
        <v>643</v>
      </c>
      <c r="Z1155" t="n">
        <v>587</v>
      </c>
      <c r="AA1155" t="n">
        <v>602</v>
      </c>
      <c r="AB1155" t="n">
        <v>6</v>
      </c>
      <c r="AC1155" t="n">
        <v>6</v>
      </c>
      <c r="AD1155" t="n">
        <v>3</v>
      </c>
      <c r="AE1155" t="n">
        <v>3</v>
      </c>
      <c r="AF1155" t="n">
        <v>2</v>
      </c>
      <c r="AG1155" t="n">
        <v>2</v>
      </c>
      <c r="AH1155" t="n">
        <v>0</v>
      </c>
      <c r="AI1155" t="n">
        <v>0</v>
      </c>
      <c r="AJ1155" t="n">
        <v>1</v>
      </c>
      <c r="AK1155" t="n">
        <v>1</v>
      </c>
      <c r="AL1155" t="n">
        <v>0</v>
      </c>
      <c r="AM1155" t="n">
        <v>0</v>
      </c>
      <c r="AN1155" t="n">
        <v>0</v>
      </c>
      <c r="AO1155" t="n">
        <v>0</v>
      </c>
      <c r="AP1155" t="inlineStr">
        <is>
          <t>No</t>
        </is>
      </c>
      <c r="AQ1155" t="inlineStr">
        <is>
          <t>Yes</t>
        </is>
      </c>
      <c r="AR1155">
        <f>HYPERLINK("http://catalog.hathitrust.org/Record/009441864","HathiTrust Record")</f>
        <v/>
      </c>
      <c r="AS1155">
        <f>HYPERLINK("https://creighton-primo.hosted.exlibrisgroup.com/primo-explore/search?tab=default_tab&amp;search_scope=EVERYTHING&amp;vid=01CRU&amp;lang=en_US&amp;offset=0&amp;query=any,contains,991001809999702656","Catalog Record")</f>
        <v/>
      </c>
      <c r="AT1155">
        <f>HYPERLINK("http://www.worldcat.org/oclc/22733166","WorldCat Record")</f>
        <v/>
      </c>
      <c r="AU1155" t="inlineStr">
        <is>
          <t>1151391604:eng</t>
        </is>
      </c>
      <c r="AV1155" t="inlineStr">
        <is>
          <t>22733166</t>
        </is>
      </c>
      <c r="AW1155" t="inlineStr">
        <is>
          <t>991001809999702656</t>
        </is>
      </c>
      <c r="AX1155" t="inlineStr">
        <is>
          <t>991001809999702656</t>
        </is>
      </c>
      <c r="AY1155" t="inlineStr">
        <is>
          <t>2267026490002656</t>
        </is>
      </c>
      <c r="AZ1155" t="inlineStr">
        <is>
          <t>BOOK</t>
        </is>
      </c>
      <c r="BB1155" t="inlineStr">
        <is>
          <t>9780553073850</t>
        </is>
      </c>
      <c r="BC1155" t="inlineStr">
        <is>
          <t>32285001196376</t>
        </is>
      </c>
      <c r="BD1155" t="inlineStr">
        <is>
          <t>893529252</t>
        </is>
      </c>
    </row>
    <row r="1156">
      <c r="A1156" t="inlineStr">
        <is>
          <t>No</t>
        </is>
      </c>
      <c r="B1156" t="inlineStr">
        <is>
          <t>RC552.R44 P43 1994</t>
        </is>
      </c>
      <c r="C1156" t="inlineStr">
        <is>
          <t>0                      RC 0552000R  44                 P  43          1994</t>
        </is>
      </c>
      <c r="D1156" t="inlineStr">
        <is>
          <t>Addiction to love : overcoming obsession and dependency in relationships / Susan Peabody.</t>
        </is>
      </c>
      <c r="F1156" t="inlineStr">
        <is>
          <t>No</t>
        </is>
      </c>
      <c r="G1156" t="inlineStr">
        <is>
          <t>1</t>
        </is>
      </c>
      <c r="H1156" t="inlineStr">
        <is>
          <t>No</t>
        </is>
      </c>
      <c r="I1156" t="inlineStr">
        <is>
          <t>No</t>
        </is>
      </c>
      <c r="J1156" t="inlineStr">
        <is>
          <t>0</t>
        </is>
      </c>
      <c r="K1156" t="inlineStr">
        <is>
          <t>Peabody, Susan, 1948-</t>
        </is>
      </c>
      <c r="L1156" t="inlineStr">
        <is>
          <t>Berkeley, Calif. : Celestial Arts, c1994.</t>
        </is>
      </c>
      <c r="M1156" t="inlineStr">
        <is>
          <t>1994</t>
        </is>
      </c>
      <c r="N1156" t="inlineStr">
        <is>
          <t>Expanded 2nd ed.</t>
        </is>
      </c>
      <c r="O1156" t="inlineStr">
        <is>
          <t>eng</t>
        </is>
      </c>
      <c r="P1156" t="inlineStr">
        <is>
          <t>cau</t>
        </is>
      </c>
      <c r="R1156" t="inlineStr">
        <is>
          <t xml:space="preserve">RC </t>
        </is>
      </c>
      <c r="S1156" t="n">
        <v>10</v>
      </c>
      <c r="T1156" t="n">
        <v>10</v>
      </c>
      <c r="U1156" t="inlineStr">
        <is>
          <t>2009-12-02</t>
        </is>
      </c>
      <c r="V1156" t="inlineStr">
        <is>
          <t>2009-12-02</t>
        </is>
      </c>
      <c r="W1156" t="inlineStr">
        <is>
          <t>2002-11-19</t>
        </is>
      </c>
      <c r="X1156" t="inlineStr">
        <is>
          <t>2002-11-19</t>
        </is>
      </c>
      <c r="Y1156" t="n">
        <v>40</v>
      </c>
      <c r="Z1156" t="n">
        <v>37</v>
      </c>
      <c r="AA1156" t="n">
        <v>177</v>
      </c>
      <c r="AB1156" t="n">
        <v>1</v>
      </c>
      <c r="AC1156" t="n">
        <v>5</v>
      </c>
      <c r="AD1156" t="n">
        <v>1</v>
      </c>
      <c r="AE1156" t="n">
        <v>2</v>
      </c>
      <c r="AF1156" t="n">
        <v>1</v>
      </c>
      <c r="AG1156" t="n">
        <v>1</v>
      </c>
      <c r="AH1156" t="n">
        <v>0</v>
      </c>
      <c r="AI1156" t="n">
        <v>0</v>
      </c>
      <c r="AJ1156" t="n">
        <v>1</v>
      </c>
      <c r="AK1156" t="n">
        <v>1</v>
      </c>
      <c r="AL1156" t="n">
        <v>0</v>
      </c>
      <c r="AM1156" t="n">
        <v>1</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HYPERLINK("https://creighton-primo.hosted.exlibrisgroup.com/primo-explore/search?tab=default_tab&amp;search_scope=EVERYTHING&amp;vid=01CRU&amp;lang=en_US&amp;offset=0&amp;query=any,contains,991003930489702656","Catalog Record")</f>
        <v/>
      </c>
      <c r="AT1156">
        <f>HYPERLINK("http://www.worldcat.org/oclc/30621895","WorldCat Record")</f>
        <v/>
      </c>
      <c r="AU1156" t="inlineStr">
        <is>
          <t>18441667:eng</t>
        </is>
      </c>
      <c r="AV1156" t="inlineStr">
        <is>
          <t>30621895</t>
        </is>
      </c>
      <c r="AW1156" t="inlineStr">
        <is>
          <t>991003930489702656</t>
        </is>
      </c>
      <c r="AX1156" t="inlineStr">
        <is>
          <t>991003930489702656</t>
        </is>
      </c>
      <c r="AY1156" t="inlineStr">
        <is>
          <t>2261726570002656</t>
        </is>
      </c>
      <c r="AZ1156" t="inlineStr">
        <is>
          <t>BOOK</t>
        </is>
      </c>
      <c r="BB1156" t="inlineStr">
        <is>
          <t>9780890877159</t>
        </is>
      </c>
      <c r="BC1156" t="inlineStr">
        <is>
          <t>32285004664636</t>
        </is>
      </c>
      <c r="BD1156" t="inlineStr">
        <is>
          <t>893423165</t>
        </is>
      </c>
    </row>
    <row r="1157">
      <c r="A1157" t="inlineStr">
        <is>
          <t>No</t>
        </is>
      </c>
      <c r="B1157" t="inlineStr">
        <is>
          <t>RC552.S4 F38 1981</t>
        </is>
      </c>
      <c r="C1157" t="inlineStr">
        <is>
          <t>0                      RC 0552000S  4                  F  38          1981</t>
        </is>
      </c>
      <c r="D1157" t="inlineStr">
        <is>
          <t>How to treat self-injurious behavior / by Judith E. Favell and James W. Greene.</t>
        </is>
      </c>
      <c r="F1157" t="inlineStr">
        <is>
          <t>No</t>
        </is>
      </c>
      <c r="G1157" t="inlineStr">
        <is>
          <t>1</t>
        </is>
      </c>
      <c r="H1157" t="inlineStr">
        <is>
          <t>Yes</t>
        </is>
      </c>
      <c r="I1157" t="inlineStr">
        <is>
          <t>No</t>
        </is>
      </c>
      <c r="J1157" t="inlineStr">
        <is>
          <t>0</t>
        </is>
      </c>
      <c r="K1157" t="inlineStr">
        <is>
          <t>Favell, Judith E.</t>
        </is>
      </c>
      <c r="L1157" t="inlineStr">
        <is>
          <t>Lawrence, Kan. : H &amp; H Enterprises, Inc., c1981.</t>
        </is>
      </c>
      <c r="M1157" t="inlineStr">
        <is>
          <t>1981</t>
        </is>
      </c>
      <c r="O1157" t="inlineStr">
        <is>
          <t>eng</t>
        </is>
      </c>
      <c r="P1157" t="inlineStr">
        <is>
          <t>ksu</t>
        </is>
      </c>
      <c r="R1157" t="inlineStr">
        <is>
          <t xml:space="preserve">RC </t>
        </is>
      </c>
      <c r="S1157" t="n">
        <v>7</v>
      </c>
      <c r="T1157" t="n">
        <v>13</v>
      </c>
      <c r="U1157" t="inlineStr">
        <is>
          <t>2005-10-28</t>
        </is>
      </c>
      <c r="V1157" t="inlineStr">
        <is>
          <t>2005-10-28</t>
        </is>
      </c>
      <c r="W1157" t="inlineStr">
        <is>
          <t>1992-03-23</t>
        </is>
      </c>
      <c r="X1157" t="inlineStr">
        <is>
          <t>1992-03-23</t>
        </is>
      </c>
      <c r="Y1157" t="n">
        <v>57</v>
      </c>
      <c r="Z1157" t="n">
        <v>43</v>
      </c>
      <c r="AA1157" t="n">
        <v>104</v>
      </c>
      <c r="AB1157" t="n">
        <v>3</v>
      </c>
      <c r="AC1157" t="n">
        <v>3</v>
      </c>
      <c r="AD1157" t="n">
        <v>2</v>
      </c>
      <c r="AE1157" t="n">
        <v>4</v>
      </c>
      <c r="AF1157" t="n">
        <v>1</v>
      </c>
      <c r="AG1157" t="n">
        <v>2</v>
      </c>
      <c r="AH1157" t="n">
        <v>0</v>
      </c>
      <c r="AI1157" t="n">
        <v>0</v>
      </c>
      <c r="AJ1157" t="n">
        <v>0</v>
      </c>
      <c r="AK1157" t="n">
        <v>2</v>
      </c>
      <c r="AL1157" t="n">
        <v>1</v>
      </c>
      <c r="AM1157" t="n">
        <v>1</v>
      </c>
      <c r="AN1157" t="n">
        <v>0</v>
      </c>
      <c r="AO1157" t="n">
        <v>0</v>
      </c>
      <c r="AP1157" t="inlineStr">
        <is>
          <t>No</t>
        </is>
      </c>
      <c r="AQ1157" t="inlineStr">
        <is>
          <t>No</t>
        </is>
      </c>
      <c r="AS1157">
        <f>HYPERLINK("https://creighton-primo.hosted.exlibrisgroup.com/primo-explore/search?tab=default_tab&amp;search_scope=EVERYTHING&amp;vid=01CRU&amp;lang=en_US&amp;offset=0&amp;query=any,contains,991001797919702656","Catalog Record")</f>
        <v/>
      </c>
      <c r="AT1157">
        <f>HYPERLINK("http://www.worldcat.org/oclc/7823143","WorldCat Record")</f>
        <v/>
      </c>
      <c r="AU1157" t="inlineStr">
        <is>
          <t>547084:eng</t>
        </is>
      </c>
      <c r="AV1157" t="inlineStr">
        <is>
          <t>7823143</t>
        </is>
      </c>
      <c r="AW1157" t="inlineStr">
        <is>
          <t>991001797919702656</t>
        </is>
      </c>
      <c r="AX1157" t="inlineStr">
        <is>
          <t>991001797919702656</t>
        </is>
      </c>
      <c r="AY1157" t="inlineStr">
        <is>
          <t>2254814990002656</t>
        </is>
      </c>
      <c r="AZ1157" t="inlineStr">
        <is>
          <t>BOOK</t>
        </is>
      </c>
      <c r="BB1157" t="inlineStr">
        <is>
          <t>9780890790557</t>
        </is>
      </c>
      <c r="BC1157" t="inlineStr">
        <is>
          <t>32285001026649</t>
        </is>
      </c>
      <c r="BD1157" t="inlineStr">
        <is>
          <t>893803912</t>
        </is>
      </c>
    </row>
    <row r="1158">
      <c r="A1158" t="inlineStr">
        <is>
          <t>No</t>
        </is>
      </c>
      <c r="B1158" t="inlineStr">
        <is>
          <t>RC552.S4 H95 1999</t>
        </is>
      </c>
      <c r="C1158" t="inlineStr">
        <is>
          <t>0                      RC 0552000S  4                  H  95          1999</t>
        </is>
      </c>
      <c r="D1158" t="inlineStr">
        <is>
          <t>Women living with self-injury / Jane Wegscheider Hyman.</t>
        </is>
      </c>
      <c r="F1158" t="inlineStr">
        <is>
          <t>No</t>
        </is>
      </c>
      <c r="G1158" t="inlineStr">
        <is>
          <t>1</t>
        </is>
      </c>
      <c r="H1158" t="inlineStr">
        <is>
          <t>No</t>
        </is>
      </c>
      <c r="I1158" t="inlineStr">
        <is>
          <t>No</t>
        </is>
      </c>
      <c r="J1158" t="inlineStr">
        <is>
          <t>0</t>
        </is>
      </c>
      <c r="K1158" t="inlineStr">
        <is>
          <t>Hyman, Jane Wegscheider.</t>
        </is>
      </c>
      <c r="L1158" t="inlineStr">
        <is>
          <t>Philadelphia : Temple University Press, 1999.</t>
        </is>
      </c>
      <c r="M1158" t="inlineStr">
        <is>
          <t>1999</t>
        </is>
      </c>
      <c r="O1158" t="inlineStr">
        <is>
          <t>eng</t>
        </is>
      </c>
      <c r="P1158" t="inlineStr">
        <is>
          <t>pau</t>
        </is>
      </c>
      <c r="R1158" t="inlineStr">
        <is>
          <t xml:space="preserve">RC </t>
        </is>
      </c>
      <c r="S1158" t="n">
        <v>11</v>
      </c>
      <c r="T1158" t="n">
        <v>11</v>
      </c>
      <c r="U1158" t="inlineStr">
        <is>
          <t>2009-07-27</t>
        </is>
      </c>
      <c r="V1158" t="inlineStr">
        <is>
          <t>2009-07-27</t>
        </is>
      </c>
      <c r="W1158" t="inlineStr">
        <is>
          <t>2000-10-17</t>
        </is>
      </c>
      <c r="X1158" t="inlineStr">
        <is>
          <t>2000-10-17</t>
        </is>
      </c>
      <c r="Y1158" t="n">
        <v>478</v>
      </c>
      <c r="Z1158" t="n">
        <v>436</v>
      </c>
      <c r="AA1158" t="n">
        <v>1198</v>
      </c>
      <c r="AB1158" t="n">
        <v>3</v>
      </c>
      <c r="AC1158" t="n">
        <v>4</v>
      </c>
      <c r="AD1158" t="n">
        <v>22</v>
      </c>
      <c r="AE1158" t="n">
        <v>38</v>
      </c>
      <c r="AF1158" t="n">
        <v>10</v>
      </c>
      <c r="AG1158" t="n">
        <v>20</v>
      </c>
      <c r="AH1158" t="n">
        <v>6</v>
      </c>
      <c r="AI1158" t="n">
        <v>9</v>
      </c>
      <c r="AJ1158" t="n">
        <v>11</v>
      </c>
      <c r="AK1158" t="n">
        <v>18</v>
      </c>
      <c r="AL1158" t="n">
        <v>2</v>
      </c>
      <c r="AM1158" t="n">
        <v>3</v>
      </c>
      <c r="AN1158" t="n">
        <v>0</v>
      </c>
      <c r="AO1158" t="n">
        <v>0</v>
      </c>
      <c r="AP1158" t="inlineStr">
        <is>
          <t>No</t>
        </is>
      </c>
      <c r="AQ1158" t="inlineStr">
        <is>
          <t>No</t>
        </is>
      </c>
      <c r="AS1158">
        <f>HYPERLINK("https://creighton-primo.hosted.exlibrisgroup.com/primo-explore/search?tab=default_tab&amp;search_scope=EVERYTHING&amp;vid=01CRU&amp;lang=en_US&amp;offset=0&amp;query=any,contains,991003298549702656","Catalog Record")</f>
        <v/>
      </c>
      <c r="AT1158">
        <f>HYPERLINK("http://www.worldcat.org/oclc/40776847","WorldCat Record")</f>
        <v/>
      </c>
      <c r="AU1158" t="inlineStr">
        <is>
          <t>1050681:eng</t>
        </is>
      </c>
      <c r="AV1158" t="inlineStr">
        <is>
          <t>40776847</t>
        </is>
      </c>
      <c r="AW1158" t="inlineStr">
        <is>
          <t>991003298549702656</t>
        </is>
      </c>
      <c r="AX1158" t="inlineStr">
        <is>
          <t>991003298549702656</t>
        </is>
      </c>
      <c r="AY1158" t="inlineStr">
        <is>
          <t>2259426130002656</t>
        </is>
      </c>
      <c r="AZ1158" t="inlineStr">
        <is>
          <t>BOOK</t>
        </is>
      </c>
      <c r="BB1158" t="inlineStr">
        <is>
          <t>9781566397209</t>
        </is>
      </c>
      <c r="BC1158" t="inlineStr">
        <is>
          <t>32285003768313</t>
        </is>
      </c>
      <c r="BD1158" t="inlineStr">
        <is>
          <t>893348525</t>
        </is>
      </c>
    </row>
    <row r="1159">
      <c r="A1159" t="inlineStr">
        <is>
          <t>No</t>
        </is>
      </c>
      <c r="B1159" t="inlineStr">
        <is>
          <t>RC552.S4 W35 1988</t>
        </is>
      </c>
      <c r="C1159" t="inlineStr">
        <is>
          <t>0                      RC 0552000S  4                  W  35          1988</t>
        </is>
      </c>
      <c r="D1159" t="inlineStr">
        <is>
          <t>Self-mutilation : theory, research, and treatment / by Barent W. Walsh, Paul M. Rosen.</t>
        </is>
      </c>
      <c r="F1159" t="inlineStr">
        <is>
          <t>No</t>
        </is>
      </c>
      <c r="G1159" t="inlineStr">
        <is>
          <t>1</t>
        </is>
      </c>
      <c r="H1159" t="inlineStr">
        <is>
          <t>No</t>
        </is>
      </c>
      <c r="I1159" t="inlineStr">
        <is>
          <t>No</t>
        </is>
      </c>
      <c r="J1159" t="inlineStr">
        <is>
          <t>0</t>
        </is>
      </c>
      <c r="K1159" t="inlineStr">
        <is>
          <t>Walsh, Barent W.</t>
        </is>
      </c>
      <c r="L1159" t="inlineStr">
        <is>
          <t>New York : Guilford Press, c1988.</t>
        </is>
      </c>
      <c r="M1159" t="inlineStr">
        <is>
          <t>1988</t>
        </is>
      </c>
      <c r="O1159" t="inlineStr">
        <is>
          <t>eng</t>
        </is>
      </c>
      <c r="P1159" t="inlineStr">
        <is>
          <t>nyu</t>
        </is>
      </c>
      <c r="R1159" t="inlineStr">
        <is>
          <t xml:space="preserve">RC </t>
        </is>
      </c>
      <c r="S1159" t="n">
        <v>22</v>
      </c>
      <c r="T1159" t="n">
        <v>22</v>
      </c>
      <c r="U1159" t="inlineStr">
        <is>
          <t>2008-09-16</t>
        </is>
      </c>
      <c r="V1159" t="inlineStr">
        <is>
          <t>2008-09-16</t>
        </is>
      </c>
      <c r="W1159" t="inlineStr">
        <is>
          <t>1990-07-18</t>
        </is>
      </c>
      <c r="X1159" t="inlineStr">
        <is>
          <t>1990-07-18</t>
        </is>
      </c>
      <c r="Y1159" t="n">
        <v>319</v>
      </c>
      <c r="Z1159" t="n">
        <v>249</v>
      </c>
      <c r="AA1159" t="n">
        <v>249</v>
      </c>
      <c r="AB1159" t="n">
        <v>3</v>
      </c>
      <c r="AC1159" t="n">
        <v>3</v>
      </c>
      <c r="AD1159" t="n">
        <v>11</v>
      </c>
      <c r="AE1159" t="n">
        <v>11</v>
      </c>
      <c r="AF1159" t="n">
        <v>3</v>
      </c>
      <c r="AG1159" t="n">
        <v>3</v>
      </c>
      <c r="AH1159" t="n">
        <v>1</v>
      </c>
      <c r="AI1159" t="n">
        <v>1</v>
      </c>
      <c r="AJ1159" t="n">
        <v>8</v>
      </c>
      <c r="AK1159" t="n">
        <v>8</v>
      </c>
      <c r="AL1159" t="n">
        <v>2</v>
      </c>
      <c r="AM1159" t="n">
        <v>2</v>
      </c>
      <c r="AN1159" t="n">
        <v>0</v>
      </c>
      <c r="AO1159" t="n">
        <v>0</v>
      </c>
      <c r="AP1159" t="inlineStr">
        <is>
          <t>No</t>
        </is>
      </c>
      <c r="AQ1159" t="inlineStr">
        <is>
          <t>No</t>
        </is>
      </c>
      <c r="AS1159">
        <f>HYPERLINK("https://creighton-primo.hosted.exlibrisgroup.com/primo-explore/search?tab=default_tab&amp;search_scope=EVERYTHING&amp;vid=01CRU&amp;lang=en_US&amp;offset=0&amp;query=any,contains,991001232849702656","Catalog Record")</f>
        <v/>
      </c>
      <c r="AT1159">
        <f>HYPERLINK("http://www.worldcat.org/oclc/17548514","WorldCat Record")</f>
        <v/>
      </c>
      <c r="AU1159" t="inlineStr">
        <is>
          <t>373828009:eng</t>
        </is>
      </c>
      <c r="AV1159" t="inlineStr">
        <is>
          <t>17548514</t>
        </is>
      </c>
      <c r="AW1159" t="inlineStr">
        <is>
          <t>991001232849702656</t>
        </is>
      </c>
      <c r="AX1159" t="inlineStr">
        <is>
          <t>991001232849702656</t>
        </is>
      </c>
      <c r="AY1159" t="inlineStr">
        <is>
          <t>2269359280002656</t>
        </is>
      </c>
      <c r="AZ1159" t="inlineStr">
        <is>
          <t>BOOK</t>
        </is>
      </c>
      <c r="BB1159" t="inlineStr">
        <is>
          <t>9780898627312</t>
        </is>
      </c>
      <c r="BC1159" t="inlineStr">
        <is>
          <t>32285000209220</t>
        </is>
      </c>
      <c r="BD1159" t="inlineStr">
        <is>
          <t>893696594</t>
        </is>
      </c>
    </row>
    <row r="1160">
      <c r="A1160" t="inlineStr">
        <is>
          <t>No</t>
        </is>
      </c>
      <c r="B1160" t="inlineStr">
        <is>
          <t>RC552.S62 B45 2007</t>
        </is>
      </c>
      <c r="C1160" t="inlineStr">
        <is>
          <t>0                      RC 0552000S  62                 B  45          2007</t>
        </is>
      </c>
      <c r="D1160" t="inlineStr">
        <is>
          <t>Shy children, phobic adults : nature and treatment of social anxiety disorder / Deborah C. Beidel, Samuel M. Turner.</t>
        </is>
      </c>
      <c r="F1160" t="inlineStr">
        <is>
          <t>No</t>
        </is>
      </c>
      <c r="G1160" t="inlineStr">
        <is>
          <t>1</t>
        </is>
      </c>
      <c r="H1160" t="inlineStr">
        <is>
          <t>No</t>
        </is>
      </c>
      <c r="I1160" t="inlineStr">
        <is>
          <t>No</t>
        </is>
      </c>
      <c r="J1160" t="inlineStr">
        <is>
          <t>0</t>
        </is>
      </c>
      <c r="K1160" t="inlineStr">
        <is>
          <t>Beidel, Deborah C.</t>
        </is>
      </c>
      <c r="L1160" t="inlineStr">
        <is>
          <t>Washington, D.C. : American Psychological Association, c2007.</t>
        </is>
      </c>
      <c r="M1160" t="inlineStr">
        <is>
          <t>2007</t>
        </is>
      </c>
      <c r="N1160" t="inlineStr">
        <is>
          <t>2nd ed.</t>
        </is>
      </c>
      <c r="O1160" t="inlineStr">
        <is>
          <t>eng</t>
        </is>
      </c>
      <c r="P1160" t="inlineStr">
        <is>
          <t>dcu</t>
        </is>
      </c>
      <c r="R1160" t="inlineStr">
        <is>
          <t xml:space="preserve">RC </t>
        </is>
      </c>
      <c r="S1160" t="n">
        <v>1</v>
      </c>
      <c r="T1160" t="n">
        <v>1</v>
      </c>
      <c r="U1160" t="inlineStr">
        <is>
          <t>2008-04-02</t>
        </is>
      </c>
      <c r="V1160" t="inlineStr">
        <is>
          <t>2008-04-02</t>
        </is>
      </c>
      <c r="W1160" t="inlineStr">
        <is>
          <t>2008-04-02</t>
        </is>
      </c>
      <c r="X1160" t="inlineStr">
        <is>
          <t>2008-04-02</t>
        </is>
      </c>
      <c r="Y1160" t="n">
        <v>617</v>
      </c>
      <c r="Z1160" t="n">
        <v>525</v>
      </c>
      <c r="AA1160" t="n">
        <v>600</v>
      </c>
      <c r="AB1160" t="n">
        <v>2</v>
      </c>
      <c r="AC1160" t="n">
        <v>3</v>
      </c>
      <c r="AD1160" t="n">
        <v>17</v>
      </c>
      <c r="AE1160" t="n">
        <v>21</v>
      </c>
      <c r="AF1160" t="n">
        <v>8</v>
      </c>
      <c r="AG1160" t="n">
        <v>10</v>
      </c>
      <c r="AH1160" t="n">
        <v>1</v>
      </c>
      <c r="AI1160" t="n">
        <v>1</v>
      </c>
      <c r="AJ1160" t="n">
        <v>12</v>
      </c>
      <c r="AK1160" t="n">
        <v>13</v>
      </c>
      <c r="AL1160" t="n">
        <v>1</v>
      </c>
      <c r="AM1160" t="n">
        <v>2</v>
      </c>
      <c r="AN1160" t="n">
        <v>0</v>
      </c>
      <c r="AO1160" t="n">
        <v>0</v>
      </c>
      <c r="AP1160" t="inlineStr">
        <is>
          <t>No</t>
        </is>
      </c>
      <c r="AQ1160" t="inlineStr">
        <is>
          <t>No</t>
        </is>
      </c>
      <c r="AS1160">
        <f>HYPERLINK("https://creighton-primo.hosted.exlibrisgroup.com/primo-explore/search?tab=default_tab&amp;search_scope=EVERYTHING&amp;vid=01CRU&amp;lang=en_US&amp;offset=0&amp;query=any,contains,991005199919702656","Catalog Record")</f>
        <v/>
      </c>
      <c r="AT1160">
        <f>HYPERLINK("http://www.worldcat.org/oclc/65195324","WorldCat Record")</f>
        <v/>
      </c>
      <c r="AU1160" t="inlineStr">
        <is>
          <t>3980175166:eng</t>
        </is>
      </c>
      <c r="AV1160" t="inlineStr">
        <is>
          <t>65195324</t>
        </is>
      </c>
      <c r="AW1160" t="inlineStr">
        <is>
          <t>991005199919702656</t>
        </is>
      </c>
      <c r="AX1160" t="inlineStr">
        <is>
          <t>991005199919702656</t>
        </is>
      </c>
      <c r="AY1160" t="inlineStr">
        <is>
          <t>2264424470002656</t>
        </is>
      </c>
      <c r="AZ1160" t="inlineStr">
        <is>
          <t>BOOK</t>
        </is>
      </c>
      <c r="BB1160" t="inlineStr">
        <is>
          <t>9781591474524</t>
        </is>
      </c>
      <c r="BC1160" t="inlineStr">
        <is>
          <t>32285005400592</t>
        </is>
      </c>
      <c r="BD1160" t="inlineStr">
        <is>
          <t>893606994</t>
        </is>
      </c>
    </row>
    <row r="1161">
      <c r="A1161" t="inlineStr">
        <is>
          <t>No</t>
        </is>
      </c>
      <c r="B1161" t="inlineStr">
        <is>
          <t>RC552.S66 W662 2007</t>
        </is>
      </c>
      <c r="C1161" t="inlineStr">
        <is>
          <t>0                      RC 0552000S  66                 W  662         2007</t>
        </is>
      </c>
      <c r="D1161" t="inlineStr">
        <is>
          <t>Treating somatization : a cognitive-behavioral approach / Robert L. Woolfolk, Lesley A. Allen.</t>
        </is>
      </c>
      <c r="F1161" t="inlineStr">
        <is>
          <t>No</t>
        </is>
      </c>
      <c r="G1161" t="inlineStr">
        <is>
          <t>1</t>
        </is>
      </c>
      <c r="H1161" t="inlineStr">
        <is>
          <t>No</t>
        </is>
      </c>
      <c r="I1161" t="inlineStr">
        <is>
          <t>No</t>
        </is>
      </c>
      <c r="J1161" t="inlineStr">
        <is>
          <t>0</t>
        </is>
      </c>
      <c r="K1161" t="inlineStr">
        <is>
          <t>Woolfolk, Robert L.</t>
        </is>
      </c>
      <c r="L1161" t="inlineStr">
        <is>
          <t>New York : Guilford Press, c2007.</t>
        </is>
      </c>
      <c r="M1161" t="inlineStr">
        <is>
          <t>2007</t>
        </is>
      </c>
      <c r="O1161" t="inlineStr">
        <is>
          <t>eng</t>
        </is>
      </c>
      <c r="P1161" t="inlineStr">
        <is>
          <t>nyu</t>
        </is>
      </c>
      <c r="R1161" t="inlineStr">
        <is>
          <t xml:space="preserve">RC </t>
        </is>
      </c>
      <c r="S1161" t="n">
        <v>1</v>
      </c>
      <c r="T1161" t="n">
        <v>1</v>
      </c>
      <c r="U1161" t="inlineStr">
        <is>
          <t>2010-10-05</t>
        </is>
      </c>
      <c r="V1161" t="inlineStr">
        <is>
          <t>2010-10-05</t>
        </is>
      </c>
      <c r="W1161" t="inlineStr">
        <is>
          <t>2010-10-05</t>
        </is>
      </c>
      <c r="X1161" t="inlineStr">
        <is>
          <t>2010-10-05</t>
        </is>
      </c>
      <c r="Y1161" t="n">
        <v>205</v>
      </c>
      <c r="Z1161" t="n">
        <v>151</v>
      </c>
      <c r="AA1161" t="n">
        <v>542</v>
      </c>
      <c r="AB1161" t="n">
        <v>2</v>
      </c>
      <c r="AC1161" t="n">
        <v>5</v>
      </c>
      <c r="AD1161" t="n">
        <v>7</v>
      </c>
      <c r="AE1161" t="n">
        <v>25</v>
      </c>
      <c r="AF1161" t="n">
        <v>3</v>
      </c>
      <c r="AG1161" t="n">
        <v>10</v>
      </c>
      <c r="AH1161" t="n">
        <v>0</v>
      </c>
      <c r="AI1161" t="n">
        <v>5</v>
      </c>
      <c r="AJ1161" t="n">
        <v>4</v>
      </c>
      <c r="AK1161" t="n">
        <v>8</v>
      </c>
      <c r="AL1161" t="n">
        <v>1</v>
      </c>
      <c r="AM1161" t="n">
        <v>4</v>
      </c>
      <c r="AN1161" t="n">
        <v>0</v>
      </c>
      <c r="AO1161" t="n">
        <v>1</v>
      </c>
      <c r="AP1161" t="inlineStr">
        <is>
          <t>No</t>
        </is>
      </c>
      <c r="AQ1161" t="inlineStr">
        <is>
          <t>No</t>
        </is>
      </c>
      <c r="AS1161">
        <f>HYPERLINK("https://creighton-primo.hosted.exlibrisgroup.com/primo-explore/search?tab=default_tab&amp;search_scope=EVERYTHING&amp;vid=01CRU&amp;lang=en_US&amp;offset=0&amp;query=any,contains,991000153649702656","Catalog Record")</f>
        <v/>
      </c>
      <c r="AT1161">
        <f>HYPERLINK("http://www.worldcat.org/oclc/66524998","WorldCat Record")</f>
        <v/>
      </c>
      <c r="AU1161" t="inlineStr">
        <is>
          <t>803015829:eng</t>
        </is>
      </c>
      <c r="AV1161" t="inlineStr">
        <is>
          <t>66524998</t>
        </is>
      </c>
      <c r="AW1161" t="inlineStr">
        <is>
          <t>991000153649702656</t>
        </is>
      </c>
      <c r="AX1161" t="inlineStr">
        <is>
          <t>991000153649702656</t>
        </is>
      </c>
      <c r="AY1161" t="inlineStr">
        <is>
          <t>2272773540002656</t>
        </is>
      </c>
      <c r="AZ1161" t="inlineStr">
        <is>
          <t>BOOK</t>
        </is>
      </c>
      <c r="BB1161" t="inlineStr">
        <is>
          <t>9781593853501</t>
        </is>
      </c>
      <c r="BC1161" t="inlineStr">
        <is>
          <t>32285005598387</t>
        </is>
      </c>
      <c r="BD1161" t="inlineStr">
        <is>
          <t>893607703</t>
        </is>
      </c>
    </row>
    <row r="1162">
      <c r="A1162" t="inlineStr">
        <is>
          <t>No</t>
        </is>
      </c>
      <c r="B1162" t="inlineStr">
        <is>
          <t>RC552.S69 T46 1997</t>
        </is>
      </c>
      <c r="C1162" t="inlineStr">
        <is>
          <t>0                      RC 0552000S  69                 T  46          1997</t>
        </is>
      </c>
      <c r="D1162" t="inlineStr">
        <is>
          <t>Public speaking anxiety : how to face the fear / L. Todd Thomas.</t>
        </is>
      </c>
      <c r="F1162" t="inlineStr">
        <is>
          <t>No</t>
        </is>
      </c>
      <c r="G1162" t="inlineStr">
        <is>
          <t>1</t>
        </is>
      </c>
      <c r="H1162" t="inlineStr">
        <is>
          <t>No</t>
        </is>
      </c>
      <c r="I1162" t="inlineStr">
        <is>
          <t>No</t>
        </is>
      </c>
      <c r="J1162" t="inlineStr">
        <is>
          <t>0</t>
        </is>
      </c>
      <c r="K1162" t="inlineStr">
        <is>
          <t>Thomas, L. Todd.</t>
        </is>
      </c>
      <c r="L1162" t="inlineStr">
        <is>
          <t>Fort Worth : Harcourt Brace College, c1997.</t>
        </is>
      </c>
      <c r="M1162" t="inlineStr">
        <is>
          <t>1997</t>
        </is>
      </c>
      <c r="O1162" t="inlineStr">
        <is>
          <t>eng</t>
        </is>
      </c>
      <c r="P1162" t="inlineStr">
        <is>
          <t>txu</t>
        </is>
      </c>
      <c r="R1162" t="inlineStr">
        <is>
          <t xml:space="preserve">RC </t>
        </is>
      </c>
      <c r="S1162" t="n">
        <v>1</v>
      </c>
      <c r="T1162" t="n">
        <v>1</v>
      </c>
      <c r="U1162" t="inlineStr">
        <is>
          <t>2010-01-11</t>
        </is>
      </c>
      <c r="V1162" t="inlineStr">
        <is>
          <t>2010-01-11</t>
        </is>
      </c>
      <c r="W1162" t="inlineStr">
        <is>
          <t>2010-01-11</t>
        </is>
      </c>
      <c r="X1162" t="inlineStr">
        <is>
          <t>2010-01-11</t>
        </is>
      </c>
      <c r="Y1162" t="n">
        <v>42</v>
      </c>
      <c r="Z1162" t="n">
        <v>28</v>
      </c>
      <c r="AA1162" t="n">
        <v>28</v>
      </c>
      <c r="AB1162" t="n">
        <v>1</v>
      </c>
      <c r="AC1162" t="n">
        <v>1</v>
      </c>
      <c r="AD1162" t="n">
        <v>1</v>
      </c>
      <c r="AE1162" t="n">
        <v>1</v>
      </c>
      <c r="AF1162" t="n">
        <v>0</v>
      </c>
      <c r="AG1162" t="n">
        <v>0</v>
      </c>
      <c r="AH1162" t="n">
        <v>1</v>
      </c>
      <c r="AI1162" t="n">
        <v>1</v>
      </c>
      <c r="AJ1162" t="n">
        <v>0</v>
      </c>
      <c r="AK1162" t="n">
        <v>0</v>
      </c>
      <c r="AL1162" t="n">
        <v>0</v>
      </c>
      <c r="AM1162" t="n">
        <v>0</v>
      </c>
      <c r="AN1162" t="n">
        <v>0</v>
      </c>
      <c r="AO1162" t="n">
        <v>0</v>
      </c>
      <c r="AP1162" t="inlineStr">
        <is>
          <t>No</t>
        </is>
      </c>
      <c r="AQ1162" t="inlineStr">
        <is>
          <t>No</t>
        </is>
      </c>
      <c r="AS1162">
        <f>HYPERLINK("https://creighton-primo.hosted.exlibrisgroup.com/primo-explore/search?tab=default_tab&amp;search_scope=EVERYTHING&amp;vid=01CRU&amp;lang=en_US&amp;offset=0&amp;query=any,contains,991005349069702656","Catalog Record")</f>
        <v/>
      </c>
      <c r="AT1162">
        <f>HYPERLINK("http://www.worldcat.org/oclc/36433529","WorldCat Record")</f>
        <v/>
      </c>
      <c r="AU1162" t="inlineStr">
        <is>
          <t>586921:eng</t>
        </is>
      </c>
      <c r="AV1162" t="inlineStr">
        <is>
          <t>36433529</t>
        </is>
      </c>
      <c r="AW1162" t="inlineStr">
        <is>
          <t>991005349069702656</t>
        </is>
      </c>
      <c r="AX1162" t="inlineStr">
        <is>
          <t>991005349069702656</t>
        </is>
      </c>
      <c r="AY1162" t="inlineStr">
        <is>
          <t>2265530310002656</t>
        </is>
      </c>
      <c r="AZ1162" t="inlineStr">
        <is>
          <t>BOOK</t>
        </is>
      </c>
      <c r="BB1162" t="inlineStr">
        <is>
          <t>9780030182433</t>
        </is>
      </c>
      <c r="BC1162" t="inlineStr">
        <is>
          <t>32285005556153</t>
        </is>
      </c>
      <c r="BD1162" t="inlineStr">
        <is>
          <t>893514468</t>
        </is>
      </c>
    </row>
    <row r="1163">
      <c r="A1163" t="inlineStr">
        <is>
          <t>No</t>
        </is>
      </c>
      <c r="B1163" t="inlineStr">
        <is>
          <t>RC552.T7 D39 2000</t>
        </is>
      </c>
      <c r="C1163" t="inlineStr">
        <is>
          <t>0                      RC 0552000T  7                  D  39          2000</t>
        </is>
      </c>
      <c r="D1163" t="inlineStr">
        <is>
          <t>Trauma and addiction : ending the cycle of pain through emotional literacy / Tian Dayton.</t>
        </is>
      </c>
      <c r="F1163" t="inlineStr">
        <is>
          <t>No</t>
        </is>
      </c>
      <c r="G1163" t="inlineStr">
        <is>
          <t>1</t>
        </is>
      </c>
      <c r="H1163" t="inlineStr">
        <is>
          <t>No</t>
        </is>
      </c>
      <c r="I1163" t="inlineStr">
        <is>
          <t>No</t>
        </is>
      </c>
      <c r="J1163" t="inlineStr">
        <is>
          <t>0</t>
        </is>
      </c>
      <c r="K1163" t="inlineStr">
        <is>
          <t>Dayton, Tian.</t>
        </is>
      </c>
      <c r="L1163" t="inlineStr">
        <is>
          <t>Deerfield Beach, Fla. : Health Communication, c2000.</t>
        </is>
      </c>
      <c r="M1163" t="inlineStr">
        <is>
          <t>2000</t>
        </is>
      </c>
      <c r="O1163" t="inlineStr">
        <is>
          <t>eng</t>
        </is>
      </c>
      <c r="P1163" t="inlineStr">
        <is>
          <t>flu</t>
        </is>
      </c>
      <c r="R1163" t="inlineStr">
        <is>
          <t xml:space="preserve">RC </t>
        </is>
      </c>
      <c r="S1163" t="n">
        <v>12</v>
      </c>
      <c r="T1163" t="n">
        <v>12</v>
      </c>
      <c r="U1163" t="inlineStr">
        <is>
          <t>2010-10-12</t>
        </is>
      </c>
      <c r="V1163" t="inlineStr">
        <is>
          <t>2010-10-12</t>
        </is>
      </c>
      <c r="W1163" t="inlineStr">
        <is>
          <t>2002-11-14</t>
        </is>
      </c>
      <c r="X1163" t="inlineStr">
        <is>
          <t>2002-11-14</t>
        </is>
      </c>
      <c r="Y1163" t="n">
        <v>147</v>
      </c>
      <c r="Z1163" t="n">
        <v>120</v>
      </c>
      <c r="AA1163" t="n">
        <v>129</v>
      </c>
      <c r="AB1163" t="n">
        <v>1</v>
      </c>
      <c r="AC1163" t="n">
        <v>1</v>
      </c>
      <c r="AD1163" t="n">
        <v>0</v>
      </c>
      <c r="AE1163" t="n">
        <v>0</v>
      </c>
      <c r="AF1163" t="n">
        <v>0</v>
      </c>
      <c r="AG1163" t="n">
        <v>0</v>
      </c>
      <c r="AH1163" t="n">
        <v>0</v>
      </c>
      <c r="AI1163" t="n">
        <v>0</v>
      </c>
      <c r="AJ1163" t="n">
        <v>0</v>
      </c>
      <c r="AK1163" t="n">
        <v>0</v>
      </c>
      <c r="AL1163" t="n">
        <v>0</v>
      </c>
      <c r="AM1163" t="n">
        <v>0</v>
      </c>
      <c r="AN1163" t="n">
        <v>0</v>
      </c>
      <c r="AO1163" t="n">
        <v>0</v>
      </c>
      <c r="AP1163" t="inlineStr">
        <is>
          <t>No</t>
        </is>
      </c>
      <c r="AQ1163" t="inlineStr">
        <is>
          <t>No</t>
        </is>
      </c>
      <c r="AS1163">
        <f>HYPERLINK("https://creighton-primo.hosted.exlibrisgroup.com/primo-explore/search?tab=default_tab&amp;search_scope=EVERYTHING&amp;vid=01CRU&amp;lang=en_US&amp;offset=0&amp;query=any,contains,991003933799702656","Catalog Record")</f>
        <v/>
      </c>
      <c r="AT1163">
        <f>HYPERLINK("http://www.worldcat.org/oclc/43481761","WorldCat Record")</f>
        <v/>
      </c>
      <c r="AU1163" t="inlineStr">
        <is>
          <t>4764567223:eng</t>
        </is>
      </c>
      <c r="AV1163" t="inlineStr">
        <is>
          <t>43481761</t>
        </is>
      </c>
      <c r="AW1163" t="inlineStr">
        <is>
          <t>991003933799702656</t>
        </is>
      </c>
      <c r="AX1163" t="inlineStr">
        <is>
          <t>991003933799702656</t>
        </is>
      </c>
      <c r="AY1163" t="inlineStr">
        <is>
          <t>2268434250002656</t>
        </is>
      </c>
      <c r="AZ1163" t="inlineStr">
        <is>
          <t>BOOK</t>
        </is>
      </c>
      <c r="BB1163" t="inlineStr">
        <is>
          <t>9781558747517</t>
        </is>
      </c>
      <c r="BC1163" t="inlineStr">
        <is>
          <t>32285004663703</t>
        </is>
      </c>
      <c r="BD1163" t="inlineStr">
        <is>
          <t>893810269</t>
        </is>
      </c>
    </row>
    <row r="1164">
      <c r="A1164" t="inlineStr">
        <is>
          <t>No</t>
        </is>
      </c>
      <c r="B1164" t="inlineStr">
        <is>
          <t>RC553.D34 G54 1989</t>
        </is>
      </c>
      <c r="C1164" t="inlineStr">
        <is>
          <t>0                      RC 0553000D  34                 G  54          1989</t>
        </is>
      </c>
      <c r="D1164" t="inlineStr">
        <is>
          <t>Private terror/public life : psychosis and the politics of community / James M. Glass.</t>
        </is>
      </c>
      <c r="F1164" t="inlineStr">
        <is>
          <t>No</t>
        </is>
      </c>
      <c r="G1164" t="inlineStr">
        <is>
          <t>1</t>
        </is>
      </c>
      <c r="H1164" t="inlineStr">
        <is>
          <t>No</t>
        </is>
      </c>
      <c r="I1164" t="inlineStr">
        <is>
          <t>No</t>
        </is>
      </c>
      <c r="J1164" t="inlineStr">
        <is>
          <t>0</t>
        </is>
      </c>
      <c r="K1164" t="inlineStr">
        <is>
          <t>Glass, James M.</t>
        </is>
      </c>
      <c r="L1164" t="inlineStr">
        <is>
          <t>Ithaca, N.Y. : Cornell University Press, 1989.</t>
        </is>
      </c>
      <c r="M1164" t="inlineStr">
        <is>
          <t>1989</t>
        </is>
      </c>
      <c r="O1164" t="inlineStr">
        <is>
          <t>eng</t>
        </is>
      </c>
      <c r="P1164" t="inlineStr">
        <is>
          <t>nyu</t>
        </is>
      </c>
      <c r="R1164" t="inlineStr">
        <is>
          <t xml:space="preserve">RC </t>
        </is>
      </c>
      <c r="S1164" t="n">
        <v>7</v>
      </c>
      <c r="T1164" t="n">
        <v>7</v>
      </c>
      <c r="U1164" t="inlineStr">
        <is>
          <t>2004-10-29</t>
        </is>
      </c>
      <c r="V1164" t="inlineStr">
        <is>
          <t>2004-10-29</t>
        </is>
      </c>
      <c r="W1164" t="inlineStr">
        <is>
          <t>1991-01-22</t>
        </is>
      </c>
      <c r="X1164" t="inlineStr">
        <is>
          <t>1991-01-22</t>
        </is>
      </c>
      <c r="Y1164" t="n">
        <v>389</v>
      </c>
      <c r="Z1164" t="n">
        <v>332</v>
      </c>
      <c r="AA1164" t="n">
        <v>342</v>
      </c>
      <c r="AB1164" t="n">
        <v>3</v>
      </c>
      <c r="AC1164" t="n">
        <v>3</v>
      </c>
      <c r="AD1164" t="n">
        <v>19</v>
      </c>
      <c r="AE1164" t="n">
        <v>19</v>
      </c>
      <c r="AF1164" t="n">
        <v>6</v>
      </c>
      <c r="AG1164" t="n">
        <v>6</v>
      </c>
      <c r="AH1164" t="n">
        <v>5</v>
      </c>
      <c r="AI1164" t="n">
        <v>5</v>
      </c>
      <c r="AJ1164" t="n">
        <v>10</v>
      </c>
      <c r="AK1164" t="n">
        <v>10</v>
      </c>
      <c r="AL1164" t="n">
        <v>2</v>
      </c>
      <c r="AM1164" t="n">
        <v>2</v>
      </c>
      <c r="AN1164" t="n">
        <v>0</v>
      </c>
      <c r="AO1164" t="n">
        <v>0</v>
      </c>
      <c r="AP1164" t="inlineStr">
        <is>
          <t>No</t>
        </is>
      </c>
      <c r="AQ1164" t="inlineStr">
        <is>
          <t>Yes</t>
        </is>
      </c>
      <c r="AR1164">
        <f>HYPERLINK("http://catalog.hathitrust.org/Record/001544256","HathiTrust Record")</f>
        <v/>
      </c>
      <c r="AS1164">
        <f>HYPERLINK("https://creighton-primo.hosted.exlibrisgroup.com/primo-explore/search?tab=default_tab&amp;search_scope=EVERYTHING&amp;vid=01CRU&amp;lang=en_US&amp;offset=0&amp;query=any,contains,991001462429702656","Catalog Record")</f>
        <v/>
      </c>
      <c r="AT1164">
        <f>HYPERLINK("http://www.worldcat.org/oclc/19456718","WorldCat Record")</f>
        <v/>
      </c>
      <c r="AU1164" t="inlineStr">
        <is>
          <t>21199625:eng</t>
        </is>
      </c>
      <c r="AV1164" t="inlineStr">
        <is>
          <t>19456718</t>
        </is>
      </c>
      <c r="AW1164" t="inlineStr">
        <is>
          <t>991001462429702656</t>
        </is>
      </c>
      <c r="AX1164" t="inlineStr">
        <is>
          <t>991001462429702656</t>
        </is>
      </c>
      <c r="AY1164" t="inlineStr">
        <is>
          <t>2270004990002656</t>
        </is>
      </c>
      <c r="AZ1164" t="inlineStr">
        <is>
          <t>BOOK</t>
        </is>
      </c>
      <c r="BB1164" t="inlineStr">
        <is>
          <t>9780801423000</t>
        </is>
      </c>
      <c r="BC1164" t="inlineStr">
        <is>
          <t>32285000460013</t>
        </is>
      </c>
      <c r="BD1164" t="inlineStr">
        <is>
          <t>893715467</t>
        </is>
      </c>
    </row>
    <row r="1165">
      <c r="A1165" t="inlineStr">
        <is>
          <t>No</t>
        </is>
      </c>
      <c r="B1165" t="inlineStr">
        <is>
          <t>RC553.D5 H54 1986</t>
        </is>
      </c>
      <c r="C1165" t="inlineStr">
        <is>
          <t>0                      RC 0553000D  5                  H  54          1986</t>
        </is>
      </c>
      <c r="D1165" t="inlineStr">
        <is>
          <t>Divided consciousness : multiple controls in human thought and action / Ernest R. Hilgard.</t>
        </is>
      </c>
      <c r="F1165" t="inlineStr">
        <is>
          <t>No</t>
        </is>
      </c>
      <c r="G1165" t="inlineStr">
        <is>
          <t>1</t>
        </is>
      </c>
      <c r="H1165" t="inlineStr">
        <is>
          <t>No</t>
        </is>
      </c>
      <c r="I1165" t="inlineStr">
        <is>
          <t>No</t>
        </is>
      </c>
      <c r="J1165" t="inlineStr">
        <is>
          <t>0</t>
        </is>
      </c>
      <c r="K1165" t="inlineStr">
        <is>
          <t>Hilgard, Ernest R. (Ernest Ropiequet), 1904-2001.</t>
        </is>
      </c>
      <c r="L1165" t="inlineStr">
        <is>
          <t>New York : Wiley, c1986.</t>
        </is>
      </c>
      <c r="M1165" t="inlineStr">
        <is>
          <t>1986</t>
        </is>
      </c>
      <c r="N1165" t="inlineStr">
        <is>
          <t>Expanded ed.</t>
        </is>
      </c>
      <c r="O1165" t="inlineStr">
        <is>
          <t>eng</t>
        </is>
      </c>
      <c r="P1165" t="inlineStr">
        <is>
          <t>nyu</t>
        </is>
      </c>
      <c r="Q1165" t="inlineStr">
        <is>
          <t>Wiley series in behavior</t>
        </is>
      </c>
      <c r="R1165" t="inlineStr">
        <is>
          <t xml:space="preserve">RC </t>
        </is>
      </c>
      <c r="S1165" t="n">
        <v>31</v>
      </c>
      <c r="T1165" t="n">
        <v>31</v>
      </c>
      <c r="U1165" t="inlineStr">
        <is>
          <t>2008-11-04</t>
        </is>
      </c>
      <c r="V1165" t="inlineStr">
        <is>
          <t>2008-11-04</t>
        </is>
      </c>
      <c r="W1165" t="inlineStr">
        <is>
          <t>1991-11-20</t>
        </is>
      </c>
      <c r="X1165" t="inlineStr">
        <is>
          <t>1991-11-20</t>
        </is>
      </c>
      <c r="Y1165" t="n">
        <v>390</v>
      </c>
      <c r="Z1165" t="n">
        <v>297</v>
      </c>
      <c r="AA1165" t="n">
        <v>595</v>
      </c>
      <c r="AB1165" t="n">
        <v>3</v>
      </c>
      <c r="AC1165" t="n">
        <v>5</v>
      </c>
      <c r="AD1165" t="n">
        <v>12</v>
      </c>
      <c r="AE1165" t="n">
        <v>28</v>
      </c>
      <c r="AF1165" t="n">
        <v>7</v>
      </c>
      <c r="AG1165" t="n">
        <v>10</v>
      </c>
      <c r="AH1165" t="n">
        <v>0</v>
      </c>
      <c r="AI1165" t="n">
        <v>6</v>
      </c>
      <c r="AJ1165" t="n">
        <v>7</v>
      </c>
      <c r="AK1165" t="n">
        <v>14</v>
      </c>
      <c r="AL1165" t="n">
        <v>2</v>
      </c>
      <c r="AM1165" t="n">
        <v>4</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HYPERLINK("https://creighton-primo.hosted.exlibrisgroup.com/primo-explore/search?tab=default_tab&amp;search_scope=EVERYTHING&amp;vid=01CRU&amp;lang=en_US&amp;offset=0&amp;query=any,contains,991000783319702656","Catalog Record")</f>
        <v/>
      </c>
      <c r="AT1165">
        <f>HYPERLINK("http://www.worldcat.org/oclc/13120999","WorldCat Record")</f>
        <v/>
      </c>
      <c r="AU1165" t="inlineStr">
        <is>
          <t>1073162180:eng</t>
        </is>
      </c>
      <c r="AV1165" t="inlineStr">
        <is>
          <t>13120999</t>
        </is>
      </c>
      <c r="AW1165" t="inlineStr">
        <is>
          <t>991000783319702656</t>
        </is>
      </c>
      <c r="AX1165" t="inlineStr">
        <is>
          <t>991000783319702656</t>
        </is>
      </c>
      <c r="AY1165" t="inlineStr">
        <is>
          <t>2257120820002656</t>
        </is>
      </c>
      <c r="AZ1165" t="inlineStr">
        <is>
          <t>BOOK</t>
        </is>
      </c>
      <c r="BB1165" t="inlineStr">
        <is>
          <t>9780471805724</t>
        </is>
      </c>
      <c r="BC1165" t="inlineStr">
        <is>
          <t>32285000841535</t>
        </is>
      </c>
      <c r="BD1165" t="inlineStr">
        <is>
          <t>893595877</t>
        </is>
      </c>
    </row>
    <row r="1166">
      <c r="A1166" t="inlineStr">
        <is>
          <t>No</t>
        </is>
      </c>
      <c r="B1166" t="inlineStr">
        <is>
          <t>RC553.D5 M33</t>
        </is>
      </c>
      <c r="C1166" t="inlineStr">
        <is>
          <t>0                      RC 0553000D  5                  M  33</t>
        </is>
      </c>
      <c r="D1166" t="inlineStr">
        <is>
          <t>Mindsplit : the psychology of multiple personality and the dissociated self / Peter McKellar.</t>
        </is>
      </c>
      <c r="F1166" t="inlineStr">
        <is>
          <t>No</t>
        </is>
      </c>
      <c r="G1166" t="inlineStr">
        <is>
          <t>1</t>
        </is>
      </c>
      <c r="H1166" t="inlineStr">
        <is>
          <t>No</t>
        </is>
      </c>
      <c r="I1166" t="inlineStr">
        <is>
          <t>No</t>
        </is>
      </c>
      <c r="J1166" t="inlineStr">
        <is>
          <t>0</t>
        </is>
      </c>
      <c r="K1166" t="inlineStr">
        <is>
          <t>McKellar, Peter.</t>
        </is>
      </c>
      <c r="L1166" t="inlineStr">
        <is>
          <t>London : Dent, 1979.</t>
        </is>
      </c>
      <c r="M1166" t="inlineStr">
        <is>
          <t>1979</t>
        </is>
      </c>
      <c r="O1166" t="inlineStr">
        <is>
          <t>eng</t>
        </is>
      </c>
      <c r="P1166" t="inlineStr">
        <is>
          <t>enk</t>
        </is>
      </c>
      <c r="R1166" t="inlineStr">
        <is>
          <t xml:space="preserve">RC </t>
        </is>
      </c>
      <c r="S1166" t="n">
        <v>25</v>
      </c>
      <c r="T1166" t="n">
        <v>25</v>
      </c>
      <c r="U1166" t="inlineStr">
        <is>
          <t>2006-10-11</t>
        </is>
      </c>
      <c r="V1166" t="inlineStr">
        <is>
          <t>2006-10-11</t>
        </is>
      </c>
      <c r="W1166" t="inlineStr">
        <is>
          <t>1991-11-19</t>
        </is>
      </c>
      <c r="X1166" t="inlineStr">
        <is>
          <t>1991-11-19</t>
        </is>
      </c>
      <c r="Y1166" t="n">
        <v>253</v>
      </c>
      <c r="Z1166" t="n">
        <v>182</v>
      </c>
      <c r="AA1166" t="n">
        <v>188</v>
      </c>
      <c r="AB1166" t="n">
        <v>3</v>
      </c>
      <c r="AC1166" t="n">
        <v>3</v>
      </c>
      <c r="AD1166" t="n">
        <v>4</v>
      </c>
      <c r="AE1166" t="n">
        <v>4</v>
      </c>
      <c r="AF1166" t="n">
        <v>0</v>
      </c>
      <c r="AG1166" t="n">
        <v>0</v>
      </c>
      <c r="AH1166" t="n">
        <v>1</v>
      </c>
      <c r="AI1166" t="n">
        <v>1</v>
      </c>
      <c r="AJ1166" t="n">
        <v>2</v>
      </c>
      <c r="AK1166" t="n">
        <v>2</v>
      </c>
      <c r="AL1166" t="n">
        <v>1</v>
      </c>
      <c r="AM1166" t="n">
        <v>1</v>
      </c>
      <c r="AN1166" t="n">
        <v>0</v>
      </c>
      <c r="AO1166" t="n">
        <v>0</v>
      </c>
      <c r="AP1166" t="inlineStr">
        <is>
          <t>No</t>
        </is>
      </c>
      <c r="AQ1166" t="inlineStr">
        <is>
          <t>No</t>
        </is>
      </c>
      <c r="AS1166">
        <f>HYPERLINK("https://creighton-primo.hosted.exlibrisgroup.com/primo-explore/search?tab=default_tab&amp;search_scope=EVERYTHING&amp;vid=01CRU&amp;lang=en_US&amp;offset=0&amp;query=any,contains,991004969029702656","Catalog Record")</f>
        <v/>
      </c>
      <c r="AT1166">
        <f>HYPERLINK("http://www.worldcat.org/oclc/6356084","WorldCat Record")</f>
        <v/>
      </c>
      <c r="AU1166" t="inlineStr">
        <is>
          <t>487090:eng</t>
        </is>
      </c>
      <c r="AV1166" t="inlineStr">
        <is>
          <t>6356084</t>
        </is>
      </c>
      <c r="AW1166" t="inlineStr">
        <is>
          <t>991004969029702656</t>
        </is>
      </c>
      <c r="AX1166" t="inlineStr">
        <is>
          <t>991004969029702656</t>
        </is>
      </c>
      <c r="AY1166" t="inlineStr">
        <is>
          <t>2255486740002656</t>
        </is>
      </c>
      <c r="AZ1166" t="inlineStr">
        <is>
          <t>BOOK</t>
        </is>
      </c>
      <c r="BB1166" t="inlineStr">
        <is>
          <t>9780460043489</t>
        </is>
      </c>
      <c r="BC1166" t="inlineStr">
        <is>
          <t>32285000824952</t>
        </is>
      </c>
      <c r="BD1166" t="inlineStr">
        <is>
          <t>893418210</t>
        </is>
      </c>
    </row>
    <row r="1167">
      <c r="A1167" t="inlineStr">
        <is>
          <t>No</t>
        </is>
      </c>
      <c r="B1167" t="inlineStr">
        <is>
          <t>RC553.F83 H33 1998</t>
        </is>
      </c>
      <c r="C1167" t="inlineStr">
        <is>
          <t>0                      RC 0553000F  83                 H  33          1998</t>
        </is>
      </c>
      <c r="D1167" t="inlineStr">
        <is>
          <t>Mad travelers : reflections on the reality of transient mental illnesses / Ian Hacking.</t>
        </is>
      </c>
      <c r="F1167" t="inlineStr">
        <is>
          <t>No</t>
        </is>
      </c>
      <c r="G1167" t="inlineStr">
        <is>
          <t>1</t>
        </is>
      </c>
      <c r="H1167" t="inlineStr">
        <is>
          <t>No</t>
        </is>
      </c>
      <c r="I1167" t="inlineStr">
        <is>
          <t>No</t>
        </is>
      </c>
      <c r="J1167" t="inlineStr">
        <is>
          <t>0</t>
        </is>
      </c>
      <c r="K1167" t="inlineStr">
        <is>
          <t>Hacking, Ian.</t>
        </is>
      </c>
      <c r="L1167" t="inlineStr">
        <is>
          <t>Charlottesville, Va. : University Press of Virginia, 1998.</t>
        </is>
      </c>
      <c r="M1167" t="inlineStr">
        <is>
          <t>1998</t>
        </is>
      </c>
      <c r="O1167" t="inlineStr">
        <is>
          <t>eng</t>
        </is>
      </c>
      <c r="P1167" t="inlineStr">
        <is>
          <t>vau</t>
        </is>
      </c>
      <c r="R1167" t="inlineStr">
        <is>
          <t xml:space="preserve">RC </t>
        </is>
      </c>
      <c r="S1167" t="n">
        <v>4</v>
      </c>
      <c r="T1167" t="n">
        <v>4</v>
      </c>
      <c r="U1167" t="inlineStr">
        <is>
          <t>2009-05-01</t>
        </is>
      </c>
      <c r="V1167" t="inlineStr">
        <is>
          <t>2009-05-01</t>
        </is>
      </c>
      <c r="W1167" t="inlineStr">
        <is>
          <t>1999-09-30</t>
        </is>
      </c>
      <c r="X1167" t="inlineStr">
        <is>
          <t>1999-09-30</t>
        </is>
      </c>
      <c r="Y1167" t="n">
        <v>352</v>
      </c>
      <c r="Z1167" t="n">
        <v>277</v>
      </c>
      <c r="AA1167" t="n">
        <v>1344</v>
      </c>
      <c r="AB1167" t="n">
        <v>2</v>
      </c>
      <c r="AC1167" t="n">
        <v>5</v>
      </c>
      <c r="AD1167" t="n">
        <v>11</v>
      </c>
      <c r="AE1167" t="n">
        <v>28</v>
      </c>
      <c r="AF1167" t="n">
        <v>4</v>
      </c>
      <c r="AG1167" t="n">
        <v>14</v>
      </c>
      <c r="AH1167" t="n">
        <v>3</v>
      </c>
      <c r="AI1167" t="n">
        <v>6</v>
      </c>
      <c r="AJ1167" t="n">
        <v>8</v>
      </c>
      <c r="AK1167" t="n">
        <v>14</v>
      </c>
      <c r="AL1167" t="n">
        <v>1</v>
      </c>
      <c r="AM1167" t="n">
        <v>3</v>
      </c>
      <c r="AN1167" t="n">
        <v>0</v>
      </c>
      <c r="AO1167" t="n">
        <v>0</v>
      </c>
      <c r="AP1167" t="inlineStr">
        <is>
          <t>No</t>
        </is>
      </c>
      <c r="AQ1167" t="inlineStr">
        <is>
          <t>No</t>
        </is>
      </c>
      <c r="AS1167">
        <f>HYPERLINK("https://creighton-primo.hosted.exlibrisgroup.com/primo-explore/search?tab=default_tab&amp;search_scope=EVERYTHING&amp;vid=01CRU&amp;lang=en_US&amp;offset=0&amp;query=any,contains,991002931149702656","Catalog Record")</f>
        <v/>
      </c>
      <c r="AT1167">
        <f>HYPERLINK("http://www.worldcat.org/oclc/38976248","WorldCat Record")</f>
        <v/>
      </c>
      <c r="AU1167" t="inlineStr">
        <is>
          <t>799393869:eng</t>
        </is>
      </c>
      <c r="AV1167" t="inlineStr">
        <is>
          <t>38976248</t>
        </is>
      </c>
      <c r="AW1167" t="inlineStr">
        <is>
          <t>991002931149702656</t>
        </is>
      </c>
      <c r="AX1167" t="inlineStr">
        <is>
          <t>991002931149702656</t>
        </is>
      </c>
      <c r="AY1167" t="inlineStr">
        <is>
          <t>2263232020002656</t>
        </is>
      </c>
      <c r="AZ1167" t="inlineStr">
        <is>
          <t>BOOK</t>
        </is>
      </c>
      <c r="BB1167" t="inlineStr">
        <is>
          <t>9780813918235</t>
        </is>
      </c>
      <c r="BC1167" t="inlineStr">
        <is>
          <t>32285003591897</t>
        </is>
      </c>
      <c r="BD1167" t="inlineStr">
        <is>
          <t>893780412</t>
        </is>
      </c>
    </row>
    <row r="1168">
      <c r="A1168" t="inlineStr">
        <is>
          <t>No</t>
        </is>
      </c>
      <c r="B1168" t="inlineStr">
        <is>
          <t>RC553.H3 A44 2008</t>
        </is>
      </c>
      <c r="C1168" t="inlineStr">
        <is>
          <t>0                      RC 0553000H  3                  A  44          2008</t>
        </is>
      </c>
      <c r="D1168" t="inlineStr">
        <is>
          <t>Hallucinations : the science of idiosyncratic perception / André Aleman and Frank Larøi.</t>
        </is>
      </c>
      <c r="F1168" t="inlineStr">
        <is>
          <t>No</t>
        </is>
      </c>
      <c r="G1168" t="inlineStr">
        <is>
          <t>1</t>
        </is>
      </c>
      <c r="H1168" t="inlineStr">
        <is>
          <t>No</t>
        </is>
      </c>
      <c r="I1168" t="inlineStr">
        <is>
          <t>No</t>
        </is>
      </c>
      <c r="J1168" t="inlineStr">
        <is>
          <t>0</t>
        </is>
      </c>
      <c r="K1168" t="inlineStr">
        <is>
          <t>Aleman, André.</t>
        </is>
      </c>
      <c r="L1168" t="inlineStr">
        <is>
          <t>Washington, DC : American Psychological Association, c2008.</t>
        </is>
      </c>
      <c r="M1168" t="inlineStr">
        <is>
          <t>2008</t>
        </is>
      </c>
      <c r="N1168" t="inlineStr">
        <is>
          <t>1st ed.</t>
        </is>
      </c>
      <c r="O1168" t="inlineStr">
        <is>
          <t>eng</t>
        </is>
      </c>
      <c r="P1168" t="inlineStr">
        <is>
          <t>dcu</t>
        </is>
      </c>
      <c r="R1168" t="inlineStr">
        <is>
          <t xml:space="preserve">RC </t>
        </is>
      </c>
      <c r="S1168" t="n">
        <v>1</v>
      </c>
      <c r="T1168" t="n">
        <v>1</v>
      </c>
      <c r="U1168" t="inlineStr">
        <is>
          <t>2010-03-24</t>
        </is>
      </c>
      <c r="V1168" t="inlineStr">
        <is>
          <t>2010-03-24</t>
        </is>
      </c>
      <c r="W1168" t="inlineStr">
        <is>
          <t>2010-03-24</t>
        </is>
      </c>
      <c r="X1168" t="inlineStr">
        <is>
          <t>2010-03-24</t>
        </is>
      </c>
      <c r="Y1168" t="n">
        <v>501</v>
      </c>
      <c r="Z1168" t="n">
        <v>428</v>
      </c>
      <c r="AA1168" t="n">
        <v>502</v>
      </c>
      <c r="AB1168" t="n">
        <v>4</v>
      </c>
      <c r="AC1168" t="n">
        <v>5</v>
      </c>
      <c r="AD1168" t="n">
        <v>20</v>
      </c>
      <c r="AE1168" t="n">
        <v>25</v>
      </c>
      <c r="AF1168" t="n">
        <v>6</v>
      </c>
      <c r="AG1168" t="n">
        <v>7</v>
      </c>
      <c r="AH1168" t="n">
        <v>3</v>
      </c>
      <c r="AI1168" t="n">
        <v>4</v>
      </c>
      <c r="AJ1168" t="n">
        <v>12</v>
      </c>
      <c r="AK1168" t="n">
        <v>15</v>
      </c>
      <c r="AL1168" t="n">
        <v>3</v>
      </c>
      <c r="AM1168" t="n">
        <v>4</v>
      </c>
      <c r="AN1168" t="n">
        <v>0</v>
      </c>
      <c r="AO1168" t="n">
        <v>0</v>
      </c>
      <c r="AP1168" t="inlineStr">
        <is>
          <t>No</t>
        </is>
      </c>
      <c r="AQ1168" t="inlineStr">
        <is>
          <t>Yes</t>
        </is>
      </c>
      <c r="AR1168">
        <f>HYPERLINK("http://catalog.hathitrust.org/Record/005896362","HathiTrust Record")</f>
        <v/>
      </c>
      <c r="AS1168">
        <f>HYPERLINK("https://creighton-primo.hosted.exlibrisgroup.com/primo-explore/search?tab=default_tab&amp;search_scope=EVERYTHING&amp;vid=01CRU&amp;lang=en_US&amp;offset=0&amp;query=any,contains,991005375569702656","Catalog Record")</f>
        <v/>
      </c>
      <c r="AT1168">
        <f>HYPERLINK("http://www.worldcat.org/oclc/164803073","WorldCat Record")</f>
        <v/>
      </c>
      <c r="AU1168" t="inlineStr">
        <is>
          <t>892604107:eng</t>
        </is>
      </c>
      <c r="AV1168" t="inlineStr">
        <is>
          <t>164803073</t>
        </is>
      </c>
      <c r="AW1168" t="inlineStr">
        <is>
          <t>991005375569702656</t>
        </is>
      </c>
      <c r="AX1168" t="inlineStr">
        <is>
          <t>991005375569702656</t>
        </is>
      </c>
      <c r="AY1168" t="inlineStr">
        <is>
          <t>2259024940002656</t>
        </is>
      </c>
      <c r="AZ1168" t="inlineStr">
        <is>
          <t>BOOK</t>
        </is>
      </c>
      <c r="BB1168" t="inlineStr">
        <is>
          <t>9781433803116</t>
        </is>
      </c>
      <c r="BC1168" t="inlineStr">
        <is>
          <t>32285005579205</t>
        </is>
      </c>
      <c r="BD1168" t="inlineStr">
        <is>
          <t>893796112</t>
        </is>
      </c>
    </row>
    <row r="1169">
      <c r="A1169" t="inlineStr">
        <is>
          <t>No</t>
        </is>
      </c>
      <c r="B1169" t="inlineStr">
        <is>
          <t>RC553.N36 J64 1987</t>
        </is>
      </c>
      <c r="C1169" t="inlineStr">
        <is>
          <t>0                      RC 0553000N  36                 J  64          1987</t>
        </is>
      </c>
      <c r="D1169" t="inlineStr">
        <is>
          <t>Humanizing the narcissistic style / Stephen M. Johnson.</t>
        </is>
      </c>
      <c r="F1169" t="inlineStr">
        <is>
          <t>No</t>
        </is>
      </c>
      <c r="G1169" t="inlineStr">
        <is>
          <t>1</t>
        </is>
      </c>
      <c r="H1169" t="inlineStr">
        <is>
          <t>No</t>
        </is>
      </c>
      <c r="I1169" t="inlineStr">
        <is>
          <t>No</t>
        </is>
      </c>
      <c r="J1169" t="inlineStr">
        <is>
          <t>0</t>
        </is>
      </c>
      <c r="K1169" t="inlineStr">
        <is>
          <t>Johnson, Stephen M.</t>
        </is>
      </c>
      <c r="L1169" t="inlineStr">
        <is>
          <t>New York : W.W. Norton, c1987.</t>
        </is>
      </c>
      <c r="M1169" t="inlineStr">
        <is>
          <t>1987</t>
        </is>
      </c>
      <c r="O1169" t="inlineStr">
        <is>
          <t>eng</t>
        </is>
      </c>
      <c r="P1169" t="inlineStr">
        <is>
          <t>nyu</t>
        </is>
      </c>
      <c r="R1169" t="inlineStr">
        <is>
          <t xml:space="preserve">RC </t>
        </is>
      </c>
      <c r="S1169" t="n">
        <v>2</v>
      </c>
      <c r="T1169" t="n">
        <v>2</v>
      </c>
      <c r="U1169" t="inlineStr">
        <is>
          <t>2008-05-21</t>
        </is>
      </c>
      <c r="V1169" t="inlineStr">
        <is>
          <t>2008-05-21</t>
        </is>
      </c>
      <c r="W1169" t="inlineStr">
        <is>
          <t>2008-03-25</t>
        </is>
      </c>
      <c r="X1169" t="inlineStr">
        <is>
          <t>2008-03-25</t>
        </is>
      </c>
      <c r="Y1169" t="n">
        <v>273</v>
      </c>
      <c r="Z1169" t="n">
        <v>239</v>
      </c>
      <c r="AA1169" t="n">
        <v>240</v>
      </c>
      <c r="AB1169" t="n">
        <v>1</v>
      </c>
      <c r="AC1169" t="n">
        <v>1</v>
      </c>
      <c r="AD1169" t="n">
        <v>12</v>
      </c>
      <c r="AE1169" t="n">
        <v>12</v>
      </c>
      <c r="AF1169" t="n">
        <v>3</v>
      </c>
      <c r="AG1169" t="n">
        <v>3</v>
      </c>
      <c r="AH1169" t="n">
        <v>5</v>
      </c>
      <c r="AI1169" t="n">
        <v>5</v>
      </c>
      <c r="AJ1169" t="n">
        <v>8</v>
      </c>
      <c r="AK1169" t="n">
        <v>8</v>
      </c>
      <c r="AL1169" t="n">
        <v>0</v>
      </c>
      <c r="AM1169" t="n">
        <v>0</v>
      </c>
      <c r="AN1169" t="n">
        <v>0</v>
      </c>
      <c r="AO1169" t="n">
        <v>0</v>
      </c>
      <c r="AP1169" t="inlineStr">
        <is>
          <t>No</t>
        </is>
      </c>
      <c r="AQ1169" t="inlineStr">
        <is>
          <t>No</t>
        </is>
      </c>
      <c r="AS1169">
        <f>HYPERLINK("https://creighton-primo.hosted.exlibrisgroup.com/primo-explore/search?tab=default_tab&amp;search_scope=EVERYTHING&amp;vid=01CRU&amp;lang=en_US&amp;offset=0&amp;query=any,contains,991005196799702656","Catalog Record")</f>
        <v/>
      </c>
      <c r="AT1169">
        <f>HYPERLINK("http://www.worldcat.org/oclc/15132683","WorldCat Record")</f>
        <v/>
      </c>
      <c r="AU1169" t="inlineStr">
        <is>
          <t>9070737:eng</t>
        </is>
      </c>
      <c r="AV1169" t="inlineStr">
        <is>
          <t>15132683</t>
        </is>
      </c>
      <c r="AW1169" t="inlineStr">
        <is>
          <t>991005196799702656</t>
        </is>
      </c>
      <c r="AX1169" t="inlineStr">
        <is>
          <t>991005196799702656</t>
        </is>
      </c>
      <c r="AY1169" t="inlineStr">
        <is>
          <t>2255094270002656</t>
        </is>
      </c>
      <c r="AZ1169" t="inlineStr">
        <is>
          <t>BOOK</t>
        </is>
      </c>
      <c r="BB1169" t="inlineStr">
        <is>
          <t>9780393700374</t>
        </is>
      </c>
      <c r="BC1169" t="inlineStr">
        <is>
          <t>32285005398002</t>
        </is>
      </c>
      <c r="BD1169" t="inlineStr">
        <is>
          <t>893424712</t>
        </is>
      </c>
    </row>
    <row r="1170">
      <c r="A1170" t="inlineStr">
        <is>
          <t>No</t>
        </is>
      </c>
      <c r="B1170" t="inlineStr">
        <is>
          <t>RC554 .A8</t>
        </is>
      </c>
      <c r="C1170" t="inlineStr">
        <is>
          <t>0                      RC 0554000A  8</t>
        </is>
      </c>
      <c r="D1170" t="inlineStr">
        <is>
          <t>Ego development and the personality disorders; a developmental approach to psychopathology.</t>
        </is>
      </c>
      <c r="F1170" t="inlineStr">
        <is>
          <t>No</t>
        </is>
      </c>
      <c r="G1170" t="inlineStr">
        <is>
          <t>1</t>
        </is>
      </c>
      <c r="H1170" t="inlineStr">
        <is>
          <t>Yes</t>
        </is>
      </c>
      <c r="I1170" t="inlineStr">
        <is>
          <t>No</t>
        </is>
      </c>
      <c r="J1170" t="inlineStr">
        <is>
          <t>0</t>
        </is>
      </c>
      <c r="K1170" t="inlineStr">
        <is>
          <t>Ausubel, David Paul.</t>
        </is>
      </c>
      <c r="L1170" t="inlineStr">
        <is>
          <t>New York, Grune &amp; Stratton, 1952.</t>
        </is>
      </c>
      <c r="M1170" t="inlineStr">
        <is>
          <t>1952</t>
        </is>
      </c>
      <c r="O1170" t="inlineStr">
        <is>
          <t>eng</t>
        </is>
      </c>
      <c r="P1170" t="inlineStr">
        <is>
          <t>nyu</t>
        </is>
      </c>
      <c r="R1170" t="inlineStr">
        <is>
          <t xml:space="preserve">RC </t>
        </is>
      </c>
      <c r="S1170" t="n">
        <v>3</v>
      </c>
      <c r="T1170" t="n">
        <v>3</v>
      </c>
      <c r="U1170" t="inlineStr">
        <is>
          <t>2000-03-28</t>
        </is>
      </c>
      <c r="V1170" t="inlineStr">
        <is>
          <t>2000-03-28</t>
        </is>
      </c>
      <c r="W1170" t="inlineStr">
        <is>
          <t>1997-08-12</t>
        </is>
      </c>
      <c r="X1170" t="inlineStr">
        <is>
          <t>1997-08-12</t>
        </is>
      </c>
      <c r="Y1170" t="n">
        <v>362</v>
      </c>
      <c r="Z1170" t="n">
        <v>305</v>
      </c>
      <c r="AA1170" t="n">
        <v>308</v>
      </c>
      <c r="AB1170" t="n">
        <v>5</v>
      </c>
      <c r="AC1170" t="n">
        <v>5</v>
      </c>
      <c r="AD1170" t="n">
        <v>19</v>
      </c>
      <c r="AE1170" t="n">
        <v>19</v>
      </c>
      <c r="AF1170" t="n">
        <v>4</v>
      </c>
      <c r="AG1170" t="n">
        <v>4</v>
      </c>
      <c r="AH1170" t="n">
        <v>3</v>
      </c>
      <c r="AI1170" t="n">
        <v>3</v>
      </c>
      <c r="AJ1170" t="n">
        <v>13</v>
      </c>
      <c r="AK1170" t="n">
        <v>13</v>
      </c>
      <c r="AL1170" t="n">
        <v>2</v>
      </c>
      <c r="AM1170" t="n">
        <v>2</v>
      </c>
      <c r="AN1170" t="n">
        <v>0</v>
      </c>
      <c r="AO1170" t="n">
        <v>0</v>
      </c>
      <c r="AP1170" t="inlineStr">
        <is>
          <t>No</t>
        </is>
      </c>
      <c r="AQ1170" t="inlineStr">
        <is>
          <t>Yes</t>
        </is>
      </c>
      <c r="AR1170">
        <f>HYPERLINK("http://catalog.hathitrust.org/Record/000618916","HathiTrust Record")</f>
        <v/>
      </c>
      <c r="AS1170">
        <f>HYPERLINK("https://creighton-primo.hosted.exlibrisgroup.com/primo-explore/search?tab=default_tab&amp;search_scope=EVERYTHING&amp;vid=01CRU&amp;lang=en_US&amp;offset=0&amp;query=any,contains,991001785389702656","Catalog Record")</f>
        <v/>
      </c>
      <c r="AT1170">
        <f>HYPERLINK("http://www.worldcat.org/oclc/615242","WorldCat Record")</f>
        <v/>
      </c>
      <c r="AU1170" t="inlineStr">
        <is>
          <t>1663908:eng</t>
        </is>
      </c>
      <c r="AV1170" t="inlineStr">
        <is>
          <t>615242</t>
        </is>
      </c>
      <c r="AW1170" t="inlineStr">
        <is>
          <t>991001785389702656</t>
        </is>
      </c>
      <c r="AX1170" t="inlineStr">
        <is>
          <t>991001785389702656</t>
        </is>
      </c>
      <c r="AY1170" t="inlineStr">
        <is>
          <t>2267414250002656</t>
        </is>
      </c>
      <c r="AZ1170" t="inlineStr">
        <is>
          <t>BOOK</t>
        </is>
      </c>
      <c r="BC1170" t="inlineStr">
        <is>
          <t>32285003092466</t>
        </is>
      </c>
      <c r="BD1170" t="inlineStr">
        <is>
          <t>893522843</t>
        </is>
      </c>
    </row>
    <row r="1171">
      <c r="A1171" t="inlineStr">
        <is>
          <t>No</t>
        </is>
      </c>
      <c r="B1171" t="inlineStr">
        <is>
          <t>RC554 .B45 1996</t>
        </is>
      </c>
      <c r="C1171" t="inlineStr">
        <is>
          <t>0                      RC 0554000B  45          1996</t>
        </is>
      </c>
      <c r="D1171" t="inlineStr">
        <is>
          <t>Interpersonal diagnosis and treatment of personality disorders / Lorna Smith Benjamin ; foreword by Allen Frances.</t>
        </is>
      </c>
      <c r="F1171" t="inlineStr">
        <is>
          <t>No</t>
        </is>
      </c>
      <c r="G1171" t="inlineStr">
        <is>
          <t>1</t>
        </is>
      </c>
      <c r="H1171" t="inlineStr">
        <is>
          <t>No</t>
        </is>
      </c>
      <c r="I1171" t="inlineStr">
        <is>
          <t>No</t>
        </is>
      </c>
      <c r="J1171" t="inlineStr">
        <is>
          <t>0</t>
        </is>
      </c>
      <c r="K1171" t="inlineStr">
        <is>
          <t>Benjamin, Lorna Smith.</t>
        </is>
      </c>
      <c r="L1171" t="inlineStr">
        <is>
          <t>New York : Guilford Press, c1996.</t>
        </is>
      </c>
      <c r="M1171" t="inlineStr">
        <is>
          <t>1996</t>
        </is>
      </c>
      <c r="N1171" t="inlineStr">
        <is>
          <t>2nd ed.</t>
        </is>
      </c>
      <c r="O1171" t="inlineStr">
        <is>
          <t>eng</t>
        </is>
      </c>
      <c r="P1171" t="inlineStr">
        <is>
          <t>nyu</t>
        </is>
      </c>
      <c r="Q1171" t="inlineStr">
        <is>
          <t>Diagnosis and treatment of mental disorders</t>
        </is>
      </c>
      <c r="R1171" t="inlineStr">
        <is>
          <t xml:space="preserve">RC </t>
        </is>
      </c>
      <c r="S1171" t="n">
        <v>11</v>
      </c>
      <c r="T1171" t="n">
        <v>11</v>
      </c>
      <c r="U1171" t="inlineStr">
        <is>
          <t>2008-10-24</t>
        </is>
      </c>
      <c r="V1171" t="inlineStr">
        <is>
          <t>2008-10-24</t>
        </is>
      </c>
      <c r="W1171" t="inlineStr">
        <is>
          <t>1996-11-26</t>
        </is>
      </c>
      <c r="X1171" t="inlineStr">
        <is>
          <t>1996-11-26</t>
        </is>
      </c>
      <c r="Y1171" t="n">
        <v>331</v>
      </c>
      <c r="Z1171" t="n">
        <v>244</v>
      </c>
      <c r="AA1171" t="n">
        <v>430</v>
      </c>
      <c r="AB1171" t="n">
        <v>3</v>
      </c>
      <c r="AC1171" t="n">
        <v>4</v>
      </c>
      <c r="AD1171" t="n">
        <v>12</v>
      </c>
      <c r="AE1171" t="n">
        <v>22</v>
      </c>
      <c r="AF1171" t="n">
        <v>4</v>
      </c>
      <c r="AG1171" t="n">
        <v>9</v>
      </c>
      <c r="AH1171" t="n">
        <v>1</v>
      </c>
      <c r="AI1171" t="n">
        <v>3</v>
      </c>
      <c r="AJ1171" t="n">
        <v>9</v>
      </c>
      <c r="AK1171" t="n">
        <v>13</v>
      </c>
      <c r="AL1171" t="n">
        <v>2</v>
      </c>
      <c r="AM1171" t="n">
        <v>3</v>
      </c>
      <c r="AN1171" t="n">
        <v>0</v>
      </c>
      <c r="AO1171" t="n">
        <v>0</v>
      </c>
      <c r="AP1171" t="inlineStr">
        <is>
          <t>No</t>
        </is>
      </c>
      <c r="AQ1171" t="inlineStr">
        <is>
          <t>No</t>
        </is>
      </c>
      <c r="AS1171">
        <f>HYPERLINK("https://creighton-primo.hosted.exlibrisgroup.com/primo-explore/search?tab=default_tab&amp;search_scope=EVERYTHING&amp;vid=01CRU&amp;lang=en_US&amp;offset=0&amp;query=any,contains,991002558839702656","Catalog Record")</f>
        <v/>
      </c>
      <c r="AT1171">
        <f>HYPERLINK("http://www.worldcat.org/oclc/33246778","WorldCat Record")</f>
        <v/>
      </c>
      <c r="AU1171" t="inlineStr">
        <is>
          <t>783179:eng</t>
        </is>
      </c>
      <c r="AV1171" t="inlineStr">
        <is>
          <t>33246778</t>
        </is>
      </c>
      <c r="AW1171" t="inlineStr">
        <is>
          <t>991002558839702656</t>
        </is>
      </c>
      <c r="AX1171" t="inlineStr">
        <is>
          <t>991002558839702656</t>
        </is>
      </c>
      <c r="AY1171" t="inlineStr">
        <is>
          <t>2259435340002656</t>
        </is>
      </c>
      <c r="AZ1171" t="inlineStr">
        <is>
          <t>BOOK</t>
        </is>
      </c>
      <c r="BB1171" t="inlineStr">
        <is>
          <t>9781572300606</t>
        </is>
      </c>
      <c r="BC1171" t="inlineStr">
        <is>
          <t>32285002386349</t>
        </is>
      </c>
      <c r="BD1171" t="inlineStr">
        <is>
          <t>893792601</t>
        </is>
      </c>
    </row>
    <row r="1172">
      <c r="A1172" t="inlineStr">
        <is>
          <t>No</t>
        </is>
      </c>
      <c r="B1172" t="inlineStr">
        <is>
          <t>RC554 .F54</t>
        </is>
      </c>
      <c r="C1172" t="inlineStr">
        <is>
          <t>0                      RC 0554000F  54</t>
        </is>
      </c>
      <c r="D1172" t="inlineStr">
        <is>
          <t>An introduction to deviance; readings in the process of making deviants. Edited by William J. Filstead.</t>
        </is>
      </c>
      <c r="F1172" t="inlineStr">
        <is>
          <t>No</t>
        </is>
      </c>
      <c r="G1172" t="inlineStr">
        <is>
          <t>1</t>
        </is>
      </c>
      <c r="H1172" t="inlineStr">
        <is>
          <t>No</t>
        </is>
      </c>
      <c r="I1172" t="inlineStr">
        <is>
          <t>No</t>
        </is>
      </c>
      <c r="J1172" t="inlineStr">
        <is>
          <t>0</t>
        </is>
      </c>
      <c r="K1172" t="inlineStr">
        <is>
          <t>Filstead, William J. compiler.</t>
        </is>
      </c>
      <c r="L1172" t="inlineStr">
        <is>
          <t>Chicago, Markham Pub. Co. [1972]</t>
        </is>
      </c>
      <c r="M1172" t="inlineStr">
        <is>
          <t>1972</t>
        </is>
      </c>
      <c r="O1172" t="inlineStr">
        <is>
          <t>eng</t>
        </is>
      </c>
      <c r="P1172" t="inlineStr">
        <is>
          <t>ilu</t>
        </is>
      </c>
      <c r="Q1172" t="inlineStr">
        <is>
          <t>Markham sociology series</t>
        </is>
      </c>
      <c r="R1172" t="inlineStr">
        <is>
          <t xml:space="preserve">RC </t>
        </is>
      </c>
      <c r="S1172" t="n">
        <v>6</v>
      </c>
      <c r="T1172" t="n">
        <v>6</v>
      </c>
      <c r="U1172" t="inlineStr">
        <is>
          <t>2009-11-10</t>
        </is>
      </c>
      <c r="V1172" t="inlineStr">
        <is>
          <t>2009-11-10</t>
        </is>
      </c>
      <c r="W1172" t="inlineStr">
        <is>
          <t>1997-08-12</t>
        </is>
      </c>
      <c r="X1172" t="inlineStr">
        <is>
          <t>1997-08-12</t>
        </is>
      </c>
      <c r="Y1172" t="n">
        <v>301</v>
      </c>
      <c r="Z1172" t="n">
        <v>219</v>
      </c>
      <c r="AA1172" t="n">
        <v>223</v>
      </c>
      <c r="AB1172" t="n">
        <v>3</v>
      </c>
      <c r="AC1172" t="n">
        <v>3</v>
      </c>
      <c r="AD1172" t="n">
        <v>5</v>
      </c>
      <c r="AE1172" t="n">
        <v>5</v>
      </c>
      <c r="AF1172" t="n">
        <v>1</v>
      </c>
      <c r="AG1172" t="n">
        <v>1</v>
      </c>
      <c r="AH1172" t="n">
        <v>1</v>
      </c>
      <c r="AI1172" t="n">
        <v>1</v>
      </c>
      <c r="AJ1172" t="n">
        <v>3</v>
      </c>
      <c r="AK1172" t="n">
        <v>3</v>
      </c>
      <c r="AL1172" t="n">
        <v>2</v>
      </c>
      <c r="AM1172" t="n">
        <v>2</v>
      </c>
      <c r="AN1172" t="n">
        <v>0</v>
      </c>
      <c r="AO1172" t="n">
        <v>0</v>
      </c>
      <c r="AP1172" t="inlineStr">
        <is>
          <t>No</t>
        </is>
      </c>
      <c r="AQ1172" t="inlineStr">
        <is>
          <t>No</t>
        </is>
      </c>
      <c r="AS1172">
        <f>HYPERLINK("https://creighton-primo.hosted.exlibrisgroup.com/primo-explore/search?tab=default_tab&amp;search_scope=EVERYTHING&amp;vid=01CRU&amp;lang=en_US&amp;offset=0&amp;query=any,contains,991002273399702656","Catalog Record")</f>
        <v/>
      </c>
      <c r="AT1172">
        <f>HYPERLINK("http://www.worldcat.org/oclc/309274","WorldCat Record")</f>
        <v/>
      </c>
      <c r="AU1172" t="inlineStr">
        <is>
          <t>1366850:eng</t>
        </is>
      </c>
      <c r="AV1172" t="inlineStr">
        <is>
          <t>309274</t>
        </is>
      </c>
      <c r="AW1172" t="inlineStr">
        <is>
          <t>991002273399702656</t>
        </is>
      </c>
      <c r="AX1172" t="inlineStr">
        <is>
          <t>991002273399702656</t>
        </is>
      </c>
      <c r="AY1172" t="inlineStr">
        <is>
          <t>2264734170002656</t>
        </is>
      </c>
      <c r="AZ1172" t="inlineStr">
        <is>
          <t>BOOK</t>
        </is>
      </c>
      <c r="BB1172" t="inlineStr">
        <is>
          <t>9780841040441</t>
        </is>
      </c>
      <c r="BC1172" t="inlineStr">
        <is>
          <t>32285003092474</t>
        </is>
      </c>
      <c r="BD1172" t="inlineStr">
        <is>
          <t>893347312</t>
        </is>
      </c>
    </row>
    <row r="1173">
      <c r="A1173" t="inlineStr">
        <is>
          <t>No</t>
        </is>
      </c>
      <c r="B1173" t="inlineStr">
        <is>
          <t>RC554 .K38</t>
        </is>
      </c>
      <c r="C1173" t="inlineStr">
        <is>
          <t>0                      RC 0554000K  38</t>
        </is>
      </c>
      <c r="D1173" t="inlineStr">
        <is>
          <t>The divided woman / [by] Sidney Katz. With the assistance of Lionel Solursh and Jane Loring.</t>
        </is>
      </c>
      <c r="F1173" t="inlineStr">
        <is>
          <t>No</t>
        </is>
      </c>
      <c r="G1173" t="inlineStr">
        <is>
          <t>1</t>
        </is>
      </c>
      <c r="H1173" t="inlineStr">
        <is>
          <t>No</t>
        </is>
      </c>
      <c r="I1173" t="inlineStr">
        <is>
          <t>No</t>
        </is>
      </c>
      <c r="J1173" t="inlineStr">
        <is>
          <t>0</t>
        </is>
      </c>
      <c r="K1173" t="inlineStr">
        <is>
          <t>Katz, Sidney M., 1928-</t>
        </is>
      </c>
      <c r="L1173" t="inlineStr">
        <is>
          <t>Don Mills, Ont. : General Pub. Co., [1973]</t>
        </is>
      </c>
      <c r="M1173" t="inlineStr">
        <is>
          <t>1973</t>
        </is>
      </c>
      <c r="O1173" t="inlineStr">
        <is>
          <t>eng</t>
        </is>
      </c>
      <c r="P1173" t="inlineStr">
        <is>
          <t>onc</t>
        </is>
      </c>
      <c r="R1173" t="inlineStr">
        <is>
          <t xml:space="preserve">RC </t>
        </is>
      </c>
      <c r="S1173" t="n">
        <v>14</v>
      </c>
      <c r="T1173" t="n">
        <v>14</v>
      </c>
      <c r="U1173" t="inlineStr">
        <is>
          <t>2004-02-27</t>
        </is>
      </c>
      <c r="V1173" t="inlineStr">
        <is>
          <t>2004-02-27</t>
        </is>
      </c>
      <c r="W1173" t="inlineStr">
        <is>
          <t>1991-09-27</t>
        </is>
      </c>
      <c r="X1173" t="inlineStr">
        <is>
          <t>1991-09-27</t>
        </is>
      </c>
      <c r="Y1173" t="n">
        <v>57</v>
      </c>
      <c r="Z1173" t="n">
        <v>36</v>
      </c>
      <c r="AA1173" t="n">
        <v>38</v>
      </c>
      <c r="AB1173" t="n">
        <v>1</v>
      </c>
      <c r="AC1173" t="n">
        <v>1</v>
      </c>
      <c r="AD1173" t="n">
        <v>0</v>
      </c>
      <c r="AE1173" t="n">
        <v>0</v>
      </c>
      <c r="AF1173" t="n">
        <v>0</v>
      </c>
      <c r="AG1173" t="n">
        <v>0</v>
      </c>
      <c r="AH1173" t="n">
        <v>0</v>
      </c>
      <c r="AI1173" t="n">
        <v>0</v>
      </c>
      <c r="AJ1173" t="n">
        <v>0</v>
      </c>
      <c r="AK1173" t="n">
        <v>0</v>
      </c>
      <c r="AL1173" t="n">
        <v>0</v>
      </c>
      <c r="AM1173" t="n">
        <v>0</v>
      </c>
      <c r="AN1173" t="n">
        <v>0</v>
      </c>
      <c r="AO1173" t="n">
        <v>0</v>
      </c>
      <c r="AP1173" t="inlineStr">
        <is>
          <t>No</t>
        </is>
      </c>
      <c r="AQ1173" t="inlineStr">
        <is>
          <t>Yes</t>
        </is>
      </c>
      <c r="AR1173">
        <f>HYPERLINK("http://catalog.hathitrust.org/Record/010613213","HathiTrust Record")</f>
        <v/>
      </c>
      <c r="AS1173">
        <f>HYPERLINK("https://creighton-primo.hosted.exlibrisgroup.com/primo-explore/search?tab=default_tab&amp;search_scope=EVERYTHING&amp;vid=01CRU&amp;lang=en_US&amp;offset=0&amp;query=any,contains,991003572659702656","Catalog Record")</f>
        <v/>
      </c>
      <c r="AT1173">
        <f>HYPERLINK("http://www.worldcat.org/oclc/1148323","WorldCat Record")</f>
        <v/>
      </c>
      <c r="AU1173" t="inlineStr">
        <is>
          <t>2074807:eng</t>
        </is>
      </c>
      <c r="AV1173" t="inlineStr">
        <is>
          <t>1148323</t>
        </is>
      </c>
      <c r="AW1173" t="inlineStr">
        <is>
          <t>991003572659702656</t>
        </is>
      </c>
      <c r="AX1173" t="inlineStr">
        <is>
          <t>991003572659702656</t>
        </is>
      </c>
      <c r="AY1173" t="inlineStr">
        <is>
          <t>2261197930002656</t>
        </is>
      </c>
      <c r="AZ1173" t="inlineStr">
        <is>
          <t>BOOK</t>
        </is>
      </c>
      <c r="BB1173" t="inlineStr">
        <is>
          <t>9780773600232</t>
        </is>
      </c>
      <c r="BC1173" t="inlineStr">
        <is>
          <t>32285000760255</t>
        </is>
      </c>
      <c r="BD1173" t="inlineStr">
        <is>
          <t>893721984</t>
        </is>
      </c>
    </row>
    <row r="1174">
      <c r="A1174" t="inlineStr">
        <is>
          <t>No</t>
        </is>
      </c>
      <c r="B1174" t="inlineStr">
        <is>
          <t>RC554 .K47 1984</t>
        </is>
      </c>
      <c r="C1174" t="inlineStr">
        <is>
          <t>0                      RC 0554000K  47          1984</t>
        </is>
      </c>
      <c r="D1174" t="inlineStr">
        <is>
          <t>Severe personality disorders : psychotherapeutic strategies / Otto Kernberg.</t>
        </is>
      </c>
      <c r="F1174" t="inlineStr">
        <is>
          <t>No</t>
        </is>
      </c>
      <c r="G1174" t="inlineStr">
        <is>
          <t>1</t>
        </is>
      </c>
      <c r="H1174" t="inlineStr">
        <is>
          <t>No</t>
        </is>
      </c>
      <c r="I1174" t="inlineStr">
        <is>
          <t>No</t>
        </is>
      </c>
      <c r="J1174" t="inlineStr">
        <is>
          <t>0</t>
        </is>
      </c>
      <c r="K1174" t="inlineStr">
        <is>
          <t>Kernberg, Otto F., 1928-</t>
        </is>
      </c>
      <c r="L1174" t="inlineStr">
        <is>
          <t>New Haven : Yale University Press, c1984.</t>
        </is>
      </c>
      <c r="M1174" t="inlineStr">
        <is>
          <t>1984</t>
        </is>
      </c>
      <c r="O1174" t="inlineStr">
        <is>
          <t>eng</t>
        </is>
      </c>
      <c r="P1174" t="inlineStr">
        <is>
          <t>ctu</t>
        </is>
      </c>
      <c r="R1174" t="inlineStr">
        <is>
          <t xml:space="preserve">RC </t>
        </is>
      </c>
      <c r="S1174" t="n">
        <v>14</v>
      </c>
      <c r="T1174" t="n">
        <v>14</v>
      </c>
      <c r="U1174" t="inlineStr">
        <is>
          <t>2005-10-25</t>
        </is>
      </c>
      <c r="V1174" t="inlineStr">
        <is>
          <t>2005-10-25</t>
        </is>
      </c>
      <c r="W1174" t="inlineStr">
        <is>
          <t>1990-06-01</t>
        </is>
      </c>
      <c r="X1174" t="inlineStr">
        <is>
          <t>1990-06-01</t>
        </is>
      </c>
      <c r="Y1174" t="n">
        <v>504</v>
      </c>
      <c r="Z1174" t="n">
        <v>409</v>
      </c>
      <c r="AA1174" t="n">
        <v>616</v>
      </c>
      <c r="AB1174" t="n">
        <v>2</v>
      </c>
      <c r="AC1174" t="n">
        <v>2</v>
      </c>
      <c r="AD1174" t="n">
        <v>19</v>
      </c>
      <c r="AE1174" t="n">
        <v>27</v>
      </c>
      <c r="AF1174" t="n">
        <v>8</v>
      </c>
      <c r="AG1174" t="n">
        <v>13</v>
      </c>
      <c r="AH1174" t="n">
        <v>2</v>
      </c>
      <c r="AI1174" t="n">
        <v>5</v>
      </c>
      <c r="AJ1174" t="n">
        <v>14</v>
      </c>
      <c r="AK1174" t="n">
        <v>17</v>
      </c>
      <c r="AL1174" t="n">
        <v>1</v>
      </c>
      <c r="AM1174" t="n">
        <v>1</v>
      </c>
      <c r="AN1174" t="n">
        <v>0</v>
      </c>
      <c r="AO1174" t="n">
        <v>0</v>
      </c>
      <c r="AP1174" t="inlineStr">
        <is>
          <t>No</t>
        </is>
      </c>
      <c r="AQ1174" t="inlineStr">
        <is>
          <t>No</t>
        </is>
      </c>
      <c r="AS1174">
        <f>HYPERLINK("https://creighton-primo.hosted.exlibrisgroup.com/primo-explore/search?tab=default_tab&amp;search_scope=EVERYTHING&amp;vid=01CRU&amp;lang=en_US&amp;offset=0&amp;query=any,contains,991000415229702656","Catalog Record")</f>
        <v/>
      </c>
      <c r="AT1174">
        <f>HYPERLINK("http://www.worldcat.org/oclc/10724142","WorldCat Record")</f>
        <v/>
      </c>
      <c r="AU1174" t="inlineStr">
        <is>
          <t>329782:eng</t>
        </is>
      </c>
      <c r="AV1174" t="inlineStr">
        <is>
          <t>10724142</t>
        </is>
      </c>
      <c r="AW1174" t="inlineStr">
        <is>
          <t>991000415229702656</t>
        </is>
      </c>
      <c r="AX1174" t="inlineStr">
        <is>
          <t>991000415229702656</t>
        </is>
      </c>
      <c r="AY1174" t="inlineStr">
        <is>
          <t>2263128720002656</t>
        </is>
      </c>
      <c r="AZ1174" t="inlineStr">
        <is>
          <t>BOOK</t>
        </is>
      </c>
      <c r="BB1174" t="inlineStr">
        <is>
          <t>9780300032734</t>
        </is>
      </c>
      <c r="BC1174" t="inlineStr">
        <is>
          <t>32285000180173</t>
        </is>
      </c>
      <c r="BD1174" t="inlineStr">
        <is>
          <t>893689672</t>
        </is>
      </c>
    </row>
    <row r="1175">
      <c r="A1175" t="inlineStr">
        <is>
          <t>No</t>
        </is>
      </c>
      <c r="B1175" t="inlineStr">
        <is>
          <t>RC554 .L55 1986</t>
        </is>
      </c>
      <c r="C1175" t="inlineStr">
        <is>
          <t>0                      RC 0554000L  55          1986</t>
        </is>
      </c>
      <c r="D1175" t="inlineStr">
        <is>
          <t>Personality disorders : diagnosis and management/ John R. Lion.</t>
        </is>
      </c>
      <c r="F1175" t="inlineStr">
        <is>
          <t>No</t>
        </is>
      </c>
      <c r="G1175" t="inlineStr">
        <is>
          <t>1</t>
        </is>
      </c>
      <c r="H1175" t="inlineStr">
        <is>
          <t>No</t>
        </is>
      </c>
      <c r="I1175" t="inlineStr">
        <is>
          <t>Yes</t>
        </is>
      </c>
      <c r="J1175" t="inlineStr">
        <is>
          <t>0</t>
        </is>
      </c>
      <c r="K1175" t="inlineStr">
        <is>
          <t>Lion, John R., 1938-</t>
        </is>
      </c>
      <c r="L1175" t="inlineStr">
        <is>
          <t>Malabar, Fla. : R.E. Krieger, 1986, c1981.</t>
        </is>
      </c>
      <c r="M1175" t="inlineStr">
        <is>
          <t>1986</t>
        </is>
      </c>
      <c r="N1175" t="inlineStr">
        <is>
          <t>2nd ed., rev. for DSM III.</t>
        </is>
      </c>
      <c r="O1175" t="inlineStr">
        <is>
          <t>eng</t>
        </is>
      </c>
      <c r="P1175" t="inlineStr">
        <is>
          <t>flu</t>
        </is>
      </c>
      <c r="R1175" t="inlineStr">
        <is>
          <t xml:space="preserve">RC </t>
        </is>
      </c>
      <c r="S1175" t="n">
        <v>26</v>
      </c>
      <c r="T1175" t="n">
        <v>26</v>
      </c>
      <c r="U1175" t="inlineStr">
        <is>
          <t>2008-10-24</t>
        </is>
      </c>
      <c r="V1175" t="inlineStr">
        <is>
          <t>2008-10-24</t>
        </is>
      </c>
      <c r="W1175" t="inlineStr">
        <is>
          <t>1990-03-13</t>
        </is>
      </c>
      <c r="X1175" t="inlineStr">
        <is>
          <t>1990-03-13</t>
        </is>
      </c>
      <c r="Y1175" t="n">
        <v>54</v>
      </c>
      <c r="Z1175" t="n">
        <v>45</v>
      </c>
      <c r="AA1175" t="n">
        <v>381</v>
      </c>
      <c r="AB1175" t="n">
        <v>1</v>
      </c>
      <c r="AC1175" t="n">
        <v>2</v>
      </c>
      <c r="AD1175" t="n">
        <v>3</v>
      </c>
      <c r="AE1175" t="n">
        <v>10</v>
      </c>
      <c r="AF1175" t="n">
        <v>1</v>
      </c>
      <c r="AG1175" t="n">
        <v>5</v>
      </c>
      <c r="AH1175" t="n">
        <v>0</v>
      </c>
      <c r="AI1175" t="n">
        <v>1</v>
      </c>
      <c r="AJ1175" t="n">
        <v>2</v>
      </c>
      <c r="AK1175" t="n">
        <v>7</v>
      </c>
      <c r="AL1175" t="n">
        <v>0</v>
      </c>
      <c r="AM1175" t="n">
        <v>0</v>
      </c>
      <c r="AN1175" t="n">
        <v>0</v>
      </c>
      <c r="AO1175" t="n">
        <v>0</v>
      </c>
      <c r="AP1175" t="inlineStr">
        <is>
          <t>No</t>
        </is>
      </c>
      <c r="AQ1175" t="inlineStr">
        <is>
          <t>No</t>
        </is>
      </c>
      <c r="AS1175">
        <f>HYPERLINK("https://creighton-primo.hosted.exlibrisgroup.com/primo-explore/search?tab=default_tab&amp;search_scope=EVERYTHING&amp;vid=01CRU&amp;lang=en_US&amp;offset=0&amp;query=any,contains,991000429349702656","Catalog Record")</f>
        <v/>
      </c>
      <c r="AT1175">
        <f>HYPERLINK("http://www.worldcat.org/oclc/10777579","WorldCat Record")</f>
        <v/>
      </c>
      <c r="AU1175" t="inlineStr">
        <is>
          <t>1823807:eng</t>
        </is>
      </c>
      <c r="AV1175" t="inlineStr">
        <is>
          <t>10777579</t>
        </is>
      </c>
      <c r="AW1175" t="inlineStr">
        <is>
          <t>991000429349702656</t>
        </is>
      </c>
      <c r="AX1175" t="inlineStr">
        <is>
          <t>991000429349702656</t>
        </is>
      </c>
      <c r="AY1175" t="inlineStr">
        <is>
          <t>2265322680002656</t>
        </is>
      </c>
      <c r="AZ1175" t="inlineStr">
        <is>
          <t>BOOK</t>
        </is>
      </c>
      <c r="BB1175" t="inlineStr">
        <is>
          <t>9780898747683</t>
        </is>
      </c>
      <c r="BC1175" t="inlineStr">
        <is>
          <t>32285000066034</t>
        </is>
      </c>
      <c r="BD1175" t="inlineStr">
        <is>
          <t>893431937</t>
        </is>
      </c>
    </row>
    <row r="1176">
      <c r="A1176" t="inlineStr">
        <is>
          <t>No</t>
        </is>
      </c>
      <c r="B1176" t="inlineStr">
        <is>
          <t>RC554 .P37</t>
        </is>
      </c>
      <c r="C1176" t="inlineStr">
        <is>
          <t>0                      RC 0554000P  37</t>
        </is>
      </c>
      <c r="D1176" t="inlineStr">
        <is>
          <t>Violence and victims / edited by Stefan A. Pasternack.</t>
        </is>
      </c>
      <c r="F1176" t="inlineStr">
        <is>
          <t>No</t>
        </is>
      </c>
      <c r="G1176" t="inlineStr">
        <is>
          <t>1</t>
        </is>
      </c>
      <c r="H1176" t="inlineStr">
        <is>
          <t>No</t>
        </is>
      </c>
      <c r="I1176" t="inlineStr">
        <is>
          <t>No</t>
        </is>
      </c>
      <c r="J1176" t="inlineStr">
        <is>
          <t>0</t>
        </is>
      </c>
      <c r="K1176" t="inlineStr">
        <is>
          <t>Pasternack, Stefan A.</t>
        </is>
      </c>
      <c r="L1176" t="inlineStr">
        <is>
          <t>New York : Spectrum Publications ; distributed by Halsted Press, [1974, c1975]</t>
        </is>
      </c>
      <c r="M1176" t="inlineStr">
        <is>
          <t>1974</t>
        </is>
      </c>
      <c r="O1176" t="inlineStr">
        <is>
          <t>eng</t>
        </is>
      </c>
      <c r="P1176" t="inlineStr">
        <is>
          <t>nyu</t>
        </is>
      </c>
      <c r="R1176" t="inlineStr">
        <is>
          <t xml:space="preserve">RC </t>
        </is>
      </c>
      <c r="S1176" t="n">
        <v>6</v>
      </c>
      <c r="T1176" t="n">
        <v>6</v>
      </c>
      <c r="U1176" t="inlineStr">
        <is>
          <t>1992-04-09</t>
        </is>
      </c>
      <c r="V1176" t="inlineStr">
        <is>
          <t>1992-04-09</t>
        </is>
      </c>
      <c r="W1176" t="inlineStr">
        <is>
          <t>1991-09-27</t>
        </is>
      </c>
      <c r="X1176" t="inlineStr">
        <is>
          <t>1991-09-27</t>
        </is>
      </c>
      <c r="Y1176" t="n">
        <v>360</v>
      </c>
      <c r="Z1176" t="n">
        <v>301</v>
      </c>
      <c r="AA1176" t="n">
        <v>316</v>
      </c>
      <c r="AB1176" t="n">
        <v>3</v>
      </c>
      <c r="AC1176" t="n">
        <v>3</v>
      </c>
      <c r="AD1176" t="n">
        <v>12</v>
      </c>
      <c r="AE1176" t="n">
        <v>13</v>
      </c>
      <c r="AF1176" t="n">
        <v>3</v>
      </c>
      <c r="AG1176" t="n">
        <v>3</v>
      </c>
      <c r="AH1176" t="n">
        <v>2</v>
      </c>
      <c r="AI1176" t="n">
        <v>2</v>
      </c>
      <c r="AJ1176" t="n">
        <v>7</v>
      </c>
      <c r="AK1176" t="n">
        <v>8</v>
      </c>
      <c r="AL1176" t="n">
        <v>2</v>
      </c>
      <c r="AM1176" t="n">
        <v>2</v>
      </c>
      <c r="AN1176" t="n">
        <v>2</v>
      </c>
      <c r="AO1176" t="n">
        <v>2</v>
      </c>
      <c r="AP1176" t="inlineStr">
        <is>
          <t>No</t>
        </is>
      </c>
      <c r="AQ1176" t="inlineStr">
        <is>
          <t>Yes</t>
        </is>
      </c>
      <c r="AR1176">
        <f>HYPERLINK("http://catalog.hathitrust.org/Record/007477555","HathiTrust Record")</f>
        <v/>
      </c>
      <c r="AS1176">
        <f>HYPERLINK("https://creighton-primo.hosted.exlibrisgroup.com/primo-explore/search?tab=default_tab&amp;search_scope=EVERYTHING&amp;vid=01CRU&amp;lang=en_US&amp;offset=0&amp;query=any,contains,991003468159702656","Catalog Record")</f>
        <v/>
      </c>
      <c r="AT1176">
        <f>HYPERLINK("http://www.worldcat.org/oclc/1009475","WorldCat Record")</f>
        <v/>
      </c>
      <c r="AU1176" t="inlineStr">
        <is>
          <t>1929256:eng</t>
        </is>
      </c>
      <c r="AV1176" t="inlineStr">
        <is>
          <t>1009475</t>
        </is>
      </c>
      <c r="AW1176" t="inlineStr">
        <is>
          <t>991003468159702656</t>
        </is>
      </c>
      <c r="AX1176" t="inlineStr">
        <is>
          <t>991003468159702656</t>
        </is>
      </c>
      <c r="AY1176" t="inlineStr">
        <is>
          <t>2263768000002656</t>
        </is>
      </c>
      <c r="AZ1176" t="inlineStr">
        <is>
          <t>BOOK</t>
        </is>
      </c>
      <c r="BB1176" t="inlineStr">
        <is>
          <t>9780470669211</t>
        </is>
      </c>
      <c r="BC1176" t="inlineStr">
        <is>
          <t>32285000760263</t>
        </is>
      </c>
      <c r="BD1176" t="inlineStr">
        <is>
          <t>893252391</t>
        </is>
      </c>
    </row>
    <row r="1177">
      <c r="A1177" t="inlineStr">
        <is>
          <t>No</t>
        </is>
      </c>
      <c r="B1177" t="inlineStr">
        <is>
          <t>RC554 .P47 1986</t>
        </is>
      </c>
      <c r="C1177" t="inlineStr">
        <is>
          <t>0                      RC 0554000P  47          1986</t>
        </is>
      </c>
      <c r="D1177" t="inlineStr">
        <is>
          <t>The Personality disorders and neuroses / [edited by] Arnold M. Cooper, Allen J. Frances, Michael H. Sacks.</t>
        </is>
      </c>
      <c r="F1177" t="inlineStr">
        <is>
          <t>No</t>
        </is>
      </c>
      <c r="G1177" t="inlineStr">
        <is>
          <t>1</t>
        </is>
      </c>
      <c r="H1177" t="inlineStr">
        <is>
          <t>Yes</t>
        </is>
      </c>
      <c r="I1177" t="inlineStr">
        <is>
          <t>No</t>
        </is>
      </c>
      <c r="J1177" t="inlineStr">
        <is>
          <t>0</t>
        </is>
      </c>
      <c r="L1177" t="inlineStr">
        <is>
          <t>New York : Basic Books ; Philadelphia : Lippincott, c1986.</t>
        </is>
      </c>
      <c r="M1177" t="inlineStr">
        <is>
          <t>1986</t>
        </is>
      </c>
      <c r="O1177" t="inlineStr">
        <is>
          <t>eng</t>
        </is>
      </c>
      <c r="P1177" t="inlineStr">
        <is>
          <t>nyu</t>
        </is>
      </c>
      <c r="Q1177" t="inlineStr">
        <is>
          <t>Psychiatry series ; v. 1</t>
        </is>
      </c>
      <c r="R1177" t="inlineStr">
        <is>
          <t xml:space="preserve">RC </t>
        </is>
      </c>
      <c r="S1177" t="n">
        <v>28</v>
      </c>
      <c r="T1177" t="n">
        <v>37</v>
      </c>
      <c r="U1177" t="inlineStr">
        <is>
          <t>2007-06-29</t>
        </is>
      </c>
      <c r="V1177" t="inlineStr">
        <is>
          <t>2007-06-29</t>
        </is>
      </c>
      <c r="W1177" t="inlineStr">
        <is>
          <t>1991-10-28</t>
        </is>
      </c>
      <c r="X1177" t="inlineStr">
        <is>
          <t>1991-10-28</t>
        </is>
      </c>
      <c r="Y1177" t="n">
        <v>158</v>
      </c>
      <c r="Z1177" t="n">
        <v>132</v>
      </c>
      <c r="AA1177" t="n">
        <v>134</v>
      </c>
      <c r="AB1177" t="n">
        <v>2</v>
      </c>
      <c r="AC1177" t="n">
        <v>2</v>
      </c>
      <c r="AD1177" t="n">
        <v>2</v>
      </c>
      <c r="AE1177" t="n">
        <v>2</v>
      </c>
      <c r="AF1177" t="n">
        <v>0</v>
      </c>
      <c r="AG1177" t="n">
        <v>0</v>
      </c>
      <c r="AH1177" t="n">
        <v>0</v>
      </c>
      <c r="AI1177" t="n">
        <v>0</v>
      </c>
      <c r="AJ1177" t="n">
        <v>2</v>
      </c>
      <c r="AK1177" t="n">
        <v>2</v>
      </c>
      <c r="AL1177" t="n">
        <v>0</v>
      </c>
      <c r="AM1177" t="n">
        <v>0</v>
      </c>
      <c r="AN1177" t="n">
        <v>0</v>
      </c>
      <c r="AO1177" t="n">
        <v>0</v>
      </c>
      <c r="AP1177" t="inlineStr">
        <is>
          <t>No</t>
        </is>
      </c>
      <c r="AQ1177" t="inlineStr">
        <is>
          <t>Yes</t>
        </is>
      </c>
      <c r="AR1177">
        <f>HYPERLINK("http://catalog.hathitrust.org/Record/000874421","HathiTrust Record")</f>
        <v/>
      </c>
      <c r="AS1177">
        <f>HYPERLINK("https://creighton-primo.hosted.exlibrisgroup.com/primo-explore/search?tab=default_tab&amp;search_scope=EVERYTHING&amp;vid=01CRU&amp;lang=en_US&amp;offset=0&amp;query=any,contains,991001760859702656","Catalog Record")</f>
        <v/>
      </c>
      <c r="AT1177">
        <f>HYPERLINK("http://www.worldcat.org/oclc/13760024","WorldCat Record")</f>
        <v/>
      </c>
      <c r="AU1177" t="inlineStr">
        <is>
          <t>430189428:eng</t>
        </is>
      </c>
      <c r="AV1177" t="inlineStr">
        <is>
          <t>13760024</t>
        </is>
      </c>
      <c r="AW1177" t="inlineStr">
        <is>
          <t>991001760859702656</t>
        </is>
      </c>
      <c r="AX1177" t="inlineStr">
        <is>
          <t>991001760859702656</t>
        </is>
      </c>
      <c r="AY1177" t="inlineStr">
        <is>
          <t>2266355820002656</t>
        </is>
      </c>
      <c r="AZ1177" t="inlineStr">
        <is>
          <t>BOOK</t>
        </is>
      </c>
      <c r="BB1177" t="inlineStr">
        <is>
          <t>9780397508105</t>
        </is>
      </c>
      <c r="BC1177" t="inlineStr">
        <is>
          <t>32285000802024</t>
        </is>
      </c>
      <c r="BD1177" t="inlineStr">
        <is>
          <t>893885517</t>
        </is>
      </c>
    </row>
    <row r="1178">
      <c r="A1178" t="inlineStr">
        <is>
          <t>No</t>
        </is>
      </c>
      <c r="B1178" t="inlineStr">
        <is>
          <t>RC554 .W4</t>
        </is>
      </c>
      <c r="C1178" t="inlineStr">
        <is>
          <t>0                      RC 0554000W  4</t>
        </is>
      </c>
      <c r="D1178" t="inlineStr">
        <is>
          <t>Society and personality disorders.</t>
        </is>
      </c>
      <c r="F1178" t="inlineStr">
        <is>
          <t>No</t>
        </is>
      </c>
      <c r="G1178" t="inlineStr">
        <is>
          <t>1</t>
        </is>
      </c>
      <c r="H1178" t="inlineStr">
        <is>
          <t>No</t>
        </is>
      </c>
      <c r="I1178" t="inlineStr">
        <is>
          <t>No</t>
        </is>
      </c>
      <c r="J1178" t="inlineStr">
        <is>
          <t>0</t>
        </is>
      </c>
      <c r="K1178" t="inlineStr">
        <is>
          <t>Weinberg, S. Kirson (Samuel Kirson), 1912-2001.</t>
        </is>
      </c>
      <c r="L1178" t="inlineStr">
        <is>
          <t>New York, Prentice-Hall [c1952]</t>
        </is>
      </c>
      <c r="M1178" t="inlineStr">
        <is>
          <t>1952</t>
        </is>
      </c>
      <c r="O1178" t="inlineStr">
        <is>
          <t>eng</t>
        </is>
      </c>
      <c r="P1178" t="inlineStr">
        <is>
          <t>nyu</t>
        </is>
      </c>
      <c r="Q1178" t="inlineStr">
        <is>
          <t>Prentice-Hall sociology series</t>
        </is>
      </c>
      <c r="R1178" t="inlineStr">
        <is>
          <t xml:space="preserve">RC </t>
        </is>
      </c>
      <c r="S1178" t="n">
        <v>4</v>
      </c>
      <c r="T1178" t="n">
        <v>4</v>
      </c>
      <c r="U1178" t="inlineStr">
        <is>
          <t>2007-06-29</t>
        </is>
      </c>
      <c r="V1178" t="inlineStr">
        <is>
          <t>2007-06-29</t>
        </is>
      </c>
      <c r="W1178" t="inlineStr">
        <is>
          <t>1997-08-12</t>
        </is>
      </c>
      <c r="X1178" t="inlineStr">
        <is>
          <t>1997-08-12</t>
        </is>
      </c>
      <c r="Y1178" t="n">
        <v>276</v>
      </c>
      <c r="Z1178" t="n">
        <v>230</v>
      </c>
      <c r="AA1178" t="n">
        <v>317</v>
      </c>
      <c r="AB1178" t="n">
        <v>2</v>
      </c>
      <c r="AC1178" t="n">
        <v>3</v>
      </c>
      <c r="AD1178" t="n">
        <v>11</v>
      </c>
      <c r="AE1178" t="n">
        <v>15</v>
      </c>
      <c r="AF1178" t="n">
        <v>2</v>
      </c>
      <c r="AG1178" t="n">
        <v>4</v>
      </c>
      <c r="AH1178" t="n">
        <v>2</v>
      </c>
      <c r="AI1178" t="n">
        <v>2</v>
      </c>
      <c r="AJ1178" t="n">
        <v>7</v>
      </c>
      <c r="AK1178" t="n">
        <v>8</v>
      </c>
      <c r="AL1178" t="n">
        <v>1</v>
      </c>
      <c r="AM1178" t="n">
        <v>2</v>
      </c>
      <c r="AN1178" t="n">
        <v>0</v>
      </c>
      <c r="AO1178" t="n">
        <v>0</v>
      </c>
      <c r="AP1178" t="inlineStr">
        <is>
          <t>Yes</t>
        </is>
      </c>
      <c r="AQ1178" t="inlineStr">
        <is>
          <t>No</t>
        </is>
      </c>
      <c r="AR1178">
        <f>HYPERLINK("http://catalog.hathitrust.org/Record/000661456","HathiTrust Record")</f>
        <v/>
      </c>
      <c r="AS1178">
        <f>HYPERLINK("https://creighton-primo.hosted.exlibrisgroup.com/primo-explore/search?tab=default_tab&amp;search_scope=EVERYTHING&amp;vid=01CRU&amp;lang=en_US&amp;offset=0&amp;query=any,contains,991003841999702656","Catalog Record")</f>
        <v/>
      </c>
      <c r="AT1178">
        <f>HYPERLINK("http://www.worldcat.org/oclc/1620047","WorldCat Record")</f>
        <v/>
      </c>
      <c r="AU1178" t="inlineStr">
        <is>
          <t>377408365:eng</t>
        </is>
      </c>
      <c r="AV1178" t="inlineStr">
        <is>
          <t>1620047</t>
        </is>
      </c>
      <c r="AW1178" t="inlineStr">
        <is>
          <t>991003841999702656</t>
        </is>
      </c>
      <c r="AX1178" t="inlineStr">
        <is>
          <t>991003841999702656</t>
        </is>
      </c>
      <c r="AY1178" t="inlineStr">
        <is>
          <t>2267129480002656</t>
        </is>
      </c>
      <c r="AZ1178" t="inlineStr">
        <is>
          <t>BOOK</t>
        </is>
      </c>
      <c r="BC1178" t="inlineStr">
        <is>
          <t>32285003092490</t>
        </is>
      </c>
      <c r="BD1178" t="inlineStr">
        <is>
          <t>893623975</t>
        </is>
      </c>
    </row>
    <row r="1179">
      <c r="A1179" t="inlineStr">
        <is>
          <t>No</t>
        </is>
      </c>
      <c r="B1179" t="inlineStr">
        <is>
          <t>RC555 .G65 1996</t>
        </is>
      </c>
      <c r="C1179" t="inlineStr">
        <is>
          <t>0                      RC 0555000G  65          1996</t>
        </is>
      </c>
      <c r="D1179" t="inlineStr">
        <is>
          <t>Speaking with the devil : a dialogue with evil / Carl Goldberg.</t>
        </is>
      </c>
      <c r="F1179" t="inlineStr">
        <is>
          <t>No</t>
        </is>
      </c>
      <c r="G1179" t="inlineStr">
        <is>
          <t>1</t>
        </is>
      </c>
      <c r="H1179" t="inlineStr">
        <is>
          <t>No</t>
        </is>
      </c>
      <c r="I1179" t="inlineStr">
        <is>
          <t>No</t>
        </is>
      </c>
      <c r="J1179" t="inlineStr">
        <is>
          <t>0</t>
        </is>
      </c>
      <c r="K1179" t="inlineStr">
        <is>
          <t>Goldberg, Carl.</t>
        </is>
      </c>
      <c r="L1179" t="inlineStr">
        <is>
          <t>New York, N.Y., U.S.A. : Viking, 1996.</t>
        </is>
      </c>
      <c r="M1179" t="inlineStr">
        <is>
          <t>1996</t>
        </is>
      </c>
      <c r="O1179" t="inlineStr">
        <is>
          <t>eng</t>
        </is>
      </c>
      <c r="P1179" t="inlineStr">
        <is>
          <t>nyu</t>
        </is>
      </c>
      <c r="R1179" t="inlineStr">
        <is>
          <t xml:space="preserve">RC </t>
        </is>
      </c>
      <c r="S1179" t="n">
        <v>6</v>
      </c>
      <c r="T1179" t="n">
        <v>6</v>
      </c>
      <c r="U1179" t="inlineStr">
        <is>
          <t>2000-01-27</t>
        </is>
      </c>
      <c r="V1179" t="inlineStr">
        <is>
          <t>2000-01-27</t>
        </is>
      </c>
      <c r="W1179" t="inlineStr">
        <is>
          <t>1997-11-24</t>
        </is>
      </c>
      <c r="X1179" t="inlineStr">
        <is>
          <t>1997-11-24</t>
        </is>
      </c>
      <c r="Y1179" t="n">
        <v>454</v>
      </c>
      <c r="Z1179" t="n">
        <v>394</v>
      </c>
      <c r="AA1179" t="n">
        <v>407</v>
      </c>
      <c r="AB1179" t="n">
        <v>4</v>
      </c>
      <c r="AC1179" t="n">
        <v>4</v>
      </c>
      <c r="AD1179" t="n">
        <v>18</v>
      </c>
      <c r="AE1179" t="n">
        <v>18</v>
      </c>
      <c r="AF1179" t="n">
        <v>6</v>
      </c>
      <c r="AG1179" t="n">
        <v>6</v>
      </c>
      <c r="AH1179" t="n">
        <v>4</v>
      </c>
      <c r="AI1179" t="n">
        <v>4</v>
      </c>
      <c r="AJ1179" t="n">
        <v>10</v>
      </c>
      <c r="AK1179" t="n">
        <v>10</v>
      </c>
      <c r="AL1179" t="n">
        <v>3</v>
      </c>
      <c r="AM1179" t="n">
        <v>3</v>
      </c>
      <c r="AN1179" t="n">
        <v>0</v>
      </c>
      <c r="AO1179" t="n">
        <v>0</v>
      </c>
      <c r="AP1179" t="inlineStr">
        <is>
          <t>No</t>
        </is>
      </c>
      <c r="AQ1179" t="inlineStr">
        <is>
          <t>Yes</t>
        </is>
      </c>
      <c r="AR1179">
        <f>HYPERLINK("http://catalog.hathitrust.org/Record/003054959","HathiTrust Record")</f>
        <v/>
      </c>
      <c r="AS1179">
        <f>HYPERLINK("https://creighton-primo.hosted.exlibrisgroup.com/primo-explore/search?tab=default_tab&amp;search_scope=EVERYTHING&amp;vid=01CRU&amp;lang=en_US&amp;offset=0&amp;query=any,contains,991002530049702656","Catalog Record")</f>
        <v/>
      </c>
      <c r="AT1179">
        <f>HYPERLINK("http://www.worldcat.org/oclc/32891893","WorldCat Record")</f>
        <v/>
      </c>
      <c r="AU1179" t="inlineStr">
        <is>
          <t>288269123:eng</t>
        </is>
      </c>
      <c r="AV1179" t="inlineStr">
        <is>
          <t>32891893</t>
        </is>
      </c>
      <c r="AW1179" t="inlineStr">
        <is>
          <t>991002530049702656</t>
        </is>
      </c>
      <c r="AX1179" t="inlineStr">
        <is>
          <t>991002530049702656</t>
        </is>
      </c>
      <c r="AY1179" t="inlineStr">
        <is>
          <t>2256875690002656</t>
        </is>
      </c>
      <c r="AZ1179" t="inlineStr">
        <is>
          <t>BOOK</t>
        </is>
      </c>
      <c r="BB1179" t="inlineStr">
        <is>
          <t>9780670855575</t>
        </is>
      </c>
      <c r="BC1179" t="inlineStr">
        <is>
          <t>32285003273322</t>
        </is>
      </c>
      <c r="BD1179" t="inlineStr">
        <is>
          <t>893786258</t>
        </is>
      </c>
    </row>
    <row r="1180">
      <c r="A1180" t="inlineStr">
        <is>
          <t>No</t>
        </is>
      </c>
      <c r="B1180" t="inlineStr">
        <is>
          <t>RC555 .G8313 1980</t>
        </is>
      </c>
      <c r="C1180" t="inlineStr">
        <is>
          <t>0                      RC 0555000G  8313        1980</t>
        </is>
      </c>
      <c r="D1180" t="inlineStr">
        <is>
          <t>Eros on crutches : on the nature of the psychopath / Adolf Guggenbühl-Craig ; translated from the German by Gary V. Hartman ; [edited by Mary Helen Gray].</t>
        </is>
      </c>
      <c r="F1180" t="inlineStr">
        <is>
          <t>No</t>
        </is>
      </c>
      <c r="G1180" t="inlineStr">
        <is>
          <t>1</t>
        </is>
      </c>
      <c r="H1180" t="inlineStr">
        <is>
          <t>No</t>
        </is>
      </c>
      <c r="I1180" t="inlineStr">
        <is>
          <t>No</t>
        </is>
      </c>
      <c r="J1180" t="inlineStr">
        <is>
          <t>0</t>
        </is>
      </c>
      <c r="K1180" t="inlineStr">
        <is>
          <t>Guggenbühl-Craig, Adolf.</t>
        </is>
      </c>
      <c r="L1180" t="inlineStr">
        <is>
          <t>Dallas, Tex. : Spring Publications, c1980, 1986 printing.</t>
        </is>
      </c>
      <c r="M1180" t="inlineStr">
        <is>
          <t>1986</t>
        </is>
      </c>
      <c r="O1180" t="inlineStr">
        <is>
          <t>eng</t>
        </is>
      </c>
      <c r="P1180" t="inlineStr">
        <is>
          <t>txu</t>
        </is>
      </c>
      <c r="R1180" t="inlineStr">
        <is>
          <t xml:space="preserve">RC </t>
        </is>
      </c>
      <c r="S1180" t="n">
        <v>11</v>
      </c>
      <c r="T1180" t="n">
        <v>11</v>
      </c>
      <c r="U1180" t="inlineStr">
        <is>
          <t>2000-07-24</t>
        </is>
      </c>
      <c r="V1180" t="inlineStr">
        <is>
          <t>2000-07-24</t>
        </is>
      </c>
      <c r="W1180" t="inlineStr">
        <is>
          <t>1992-03-30</t>
        </is>
      </c>
      <c r="X1180" t="inlineStr">
        <is>
          <t>1992-03-30</t>
        </is>
      </c>
      <c r="Y1180" t="n">
        <v>32</v>
      </c>
      <c r="Z1180" t="n">
        <v>25</v>
      </c>
      <c r="AA1180" t="n">
        <v>25</v>
      </c>
      <c r="AB1180" t="n">
        <v>2</v>
      </c>
      <c r="AC1180" t="n">
        <v>2</v>
      </c>
      <c r="AD1180" t="n">
        <v>4</v>
      </c>
      <c r="AE1180" t="n">
        <v>4</v>
      </c>
      <c r="AF1180" t="n">
        <v>0</v>
      </c>
      <c r="AG1180" t="n">
        <v>0</v>
      </c>
      <c r="AH1180" t="n">
        <v>1</v>
      </c>
      <c r="AI1180" t="n">
        <v>1</v>
      </c>
      <c r="AJ1180" t="n">
        <v>2</v>
      </c>
      <c r="AK1180" t="n">
        <v>2</v>
      </c>
      <c r="AL1180" t="n">
        <v>1</v>
      </c>
      <c r="AM1180" t="n">
        <v>1</v>
      </c>
      <c r="AN1180" t="n">
        <v>0</v>
      </c>
      <c r="AO1180" t="n">
        <v>0</v>
      </c>
      <c r="AP1180" t="inlineStr">
        <is>
          <t>No</t>
        </is>
      </c>
      <c r="AQ1180" t="inlineStr">
        <is>
          <t>No</t>
        </is>
      </c>
      <c r="AS1180">
        <f>HYPERLINK("https://creighton-primo.hosted.exlibrisgroup.com/primo-explore/search?tab=default_tab&amp;search_scope=EVERYTHING&amp;vid=01CRU&amp;lang=en_US&amp;offset=0&amp;query=any,contains,991000945439702656","Catalog Record")</f>
        <v/>
      </c>
      <c r="AT1180">
        <f>HYPERLINK("http://www.worldcat.org/oclc/14520973","WorldCat Record")</f>
        <v/>
      </c>
      <c r="AU1180" t="inlineStr">
        <is>
          <t>3768468093:eng</t>
        </is>
      </c>
      <c r="AV1180" t="inlineStr">
        <is>
          <t>14520973</t>
        </is>
      </c>
      <c r="AW1180" t="inlineStr">
        <is>
          <t>991000945439702656</t>
        </is>
      </c>
      <c r="AX1180" t="inlineStr">
        <is>
          <t>991000945439702656</t>
        </is>
      </c>
      <c r="AY1180" t="inlineStr">
        <is>
          <t>2261946000002656</t>
        </is>
      </c>
      <c r="AZ1180" t="inlineStr">
        <is>
          <t>BOOK</t>
        </is>
      </c>
      <c r="BB1180" t="inlineStr">
        <is>
          <t>9780882143156</t>
        </is>
      </c>
      <c r="BC1180" t="inlineStr">
        <is>
          <t>32285001041606</t>
        </is>
      </c>
      <c r="BD1180" t="inlineStr">
        <is>
          <t>893791012</t>
        </is>
      </c>
    </row>
    <row r="1181">
      <c r="A1181" t="inlineStr">
        <is>
          <t>No</t>
        </is>
      </c>
      <c r="B1181" t="inlineStr">
        <is>
          <t>RC555 .H37</t>
        </is>
      </c>
      <c r="C1181" t="inlineStr">
        <is>
          <t>0                      RC 0555000H  37</t>
        </is>
      </c>
      <c r="D1181" t="inlineStr">
        <is>
          <t>Psychopaths.</t>
        </is>
      </c>
      <c r="F1181" t="inlineStr">
        <is>
          <t>No</t>
        </is>
      </c>
      <c r="G1181" t="inlineStr">
        <is>
          <t>1</t>
        </is>
      </c>
      <c r="H1181" t="inlineStr">
        <is>
          <t>No</t>
        </is>
      </c>
      <c r="I1181" t="inlineStr">
        <is>
          <t>No</t>
        </is>
      </c>
      <c r="J1181" t="inlineStr">
        <is>
          <t>0</t>
        </is>
      </c>
      <c r="K1181" t="inlineStr">
        <is>
          <t>Harrington, Alan, 1919-</t>
        </is>
      </c>
      <c r="L1181" t="inlineStr">
        <is>
          <t>New York : Simon and Schuster, [1972]</t>
        </is>
      </c>
      <c r="M1181" t="inlineStr">
        <is>
          <t>1972</t>
        </is>
      </c>
      <c r="O1181" t="inlineStr">
        <is>
          <t>eng</t>
        </is>
      </c>
      <c r="P1181" t="inlineStr">
        <is>
          <t>nyu</t>
        </is>
      </c>
      <c r="R1181" t="inlineStr">
        <is>
          <t xml:space="preserve">RC </t>
        </is>
      </c>
      <c r="S1181" t="n">
        <v>11</v>
      </c>
      <c r="T1181" t="n">
        <v>11</v>
      </c>
      <c r="U1181" t="inlineStr">
        <is>
          <t>2003-10-06</t>
        </is>
      </c>
      <c r="V1181" t="inlineStr">
        <is>
          <t>2003-10-06</t>
        </is>
      </c>
      <c r="W1181" t="inlineStr">
        <is>
          <t>1991-09-27</t>
        </is>
      </c>
      <c r="X1181" t="inlineStr">
        <is>
          <t>1991-09-27</t>
        </is>
      </c>
      <c r="Y1181" t="n">
        <v>444</v>
      </c>
      <c r="Z1181" t="n">
        <v>397</v>
      </c>
      <c r="AA1181" t="n">
        <v>409</v>
      </c>
      <c r="AB1181" t="n">
        <v>3</v>
      </c>
      <c r="AC1181" t="n">
        <v>3</v>
      </c>
      <c r="AD1181" t="n">
        <v>12</v>
      </c>
      <c r="AE1181" t="n">
        <v>12</v>
      </c>
      <c r="AF1181" t="n">
        <v>4</v>
      </c>
      <c r="AG1181" t="n">
        <v>4</v>
      </c>
      <c r="AH1181" t="n">
        <v>3</v>
      </c>
      <c r="AI1181" t="n">
        <v>3</v>
      </c>
      <c r="AJ1181" t="n">
        <v>5</v>
      </c>
      <c r="AK1181" t="n">
        <v>5</v>
      </c>
      <c r="AL1181" t="n">
        <v>2</v>
      </c>
      <c r="AM1181" t="n">
        <v>2</v>
      </c>
      <c r="AN1181" t="n">
        <v>1</v>
      </c>
      <c r="AO1181" t="n">
        <v>1</v>
      </c>
      <c r="AP1181" t="inlineStr">
        <is>
          <t>No</t>
        </is>
      </c>
      <c r="AQ1181" t="inlineStr">
        <is>
          <t>Yes</t>
        </is>
      </c>
      <c r="AR1181">
        <f>HYPERLINK("http://catalog.hathitrust.org/Record/001565184","HathiTrust Record")</f>
        <v/>
      </c>
      <c r="AS1181">
        <f>HYPERLINK("https://creighton-primo.hosted.exlibrisgroup.com/primo-explore/search?tab=default_tab&amp;search_scope=EVERYTHING&amp;vid=01CRU&amp;lang=en_US&amp;offset=0&amp;query=any,contains,991002498239702656","Catalog Record")</f>
        <v/>
      </c>
      <c r="AT1181">
        <f>HYPERLINK("http://www.worldcat.org/oclc/364048","WorldCat Record")</f>
        <v/>
      </c>
      <c r="AU1181" t="inlineStr">
        <is>
          <t>1421336:eng</t>
        </is>
      </c>
      <c r="AV1181" t="inlineStr">
        <is>
          <t>364048</t>
        </is>
      </c>
      <c r="AW1181" t="inlineStr">
        <is>
          <t>991002498239702656</t>
        </is>
      </c>
      <c r="AX1181" t="inlineStr">
        <is>
          <t>991002498239702656</t>
        </is>
      </c>
      <c r="AY1181" t="inlineStr">
        <is>
          <t>2263036500002656</t>
        </is>
      </c>
      <c r="AZ1181" t="inlineStr">
        <is>
          <t>BOOK</t>
        </is>
      </c>
      <c r="BB1181" t="inlineStr">
        <is>
          <t>9780671211929</t>
        </is>
      </c>
      <c r="BC1181" t="inlineStr">
        <is>
          <t>32285000760271</t>
        </is>
      </c>
      <c r="BD1181" t="inlineStr">
        <is>
          <t>893603667</t>
        </is>
      </c>
    </row>
    <row r="1182">
      <c r="A1182" t="inlineStr">
        <is>
          <t>No</t>
        </is>
      </c>
      <c r="B1182" t="inlineStr">
        <is>
          <t>RC555 .K36 2006</t>
        </is>
      </c>
      <c r="C1182" t="inlineStr">
        <is>
          <t>0                      RC 0555000K  36          2006</t>
        </is>
      </c>
      <c r="D1182" t="inlineStr">
        <is>
          <t>The psychopathy of everyday life : how antisocial personality disorder affects all of us / Martin Kantor.</t>
        </is>
      </c>
      <c r="F1182" t="inlineStr">
        <is>
          <t>No</t>
        </is>
      </c>
      <c r="G1182" t="inlineStr">
        <is>
          <t>1</t>
        </is>
      </c>
      <c r="H1182" t="inlineStr">
        <is>
          <t>No</t>
        </is>
      </c>
      <c r="I1182" t="inlineStr">
        <is>
          <t>No</t>
        </is>
      </c>
      <c r="J1182" t="inlineStr">
        <is>
          <t>0</t>
        </is>
      </c>
      <c r="K1182" t="inlineStr">
        <is>
          <t>Kantor, Martin.</t>
        </is>
      </c>
      <c r="L1182" t="inlineStr">
        <is>
          <t>Westport, Conn. : Praeger, 2006.</t>
        </is>
      </c>
      <c r="M1182" t="inlineStr">
        <is>
          <t>2006</t>
        </is>
      </c>
      <c r="O1182" t="inlineStr">
        <is>
          <t>eng</t>
        </is>
      </c>
      <c r="P1182" t="inlineStr">
        <is>
          <t>ctu</t>
        </is>
      </c>
      <c r="R1182" t="inlineStr">
        <is>
          <t xml:space="preserve">RC </t>
        </is>
      </c>
      <c r="S1182" t="n">
        <v>1</v>
      </c>
      <c r="T1182" t="n">
        <v>1</v>
      </c>
      <c r="U1182" t="inlineStr">
        <is>
          <t>2010-10-06</t>
        </is>
      </c>
      <c r="V1182" t="inlineStr">
        <is>
          <t>2010-10-06</t>
        </is>
      </c>
      <c r="W1182" t="inlineStr">
        <is>
          <t>2008-05-12</t>
        </is>
      </c>
      <c r="X1182" t="inlineStr">
        <is>
          <t>2008-05-12</t>
        </is>
      </c>
      <c r="Y1182" t="n">
        <v>789</v>
      </c>
      <c r="Z1182" t="n">
        <v>715</v>
      </c>
      <c r="AA1182" t="n">
        <v>1073</v>
      </c>
      <c r="AB1182" t="n">
        <v>3</v>
      </c>
      <c r="AC1182" t="n">
        <v>5</v>
      </c>
      <c r="AD1182" t="n">
        <v>31</v>
      </c>
      <c r="AE1182" t="n">
        <v>37</v>
      </c>
      <c r="AF1182" t="n">
        <v>18</v>
      </c>
      <c r="AG1182" t="n">
        <v>20</v>
      </c>
      <c r="AH1182" t="n">
        <v>4</v>
      </c>
      <c r="AI1182" t="n">
        <v>5</v>
      </c>
      <c r="AJ1182" t="n">
        <v>15</v>
      </c>
      <c r="AK1182" t="n">
        <v>17</v>
      </c>
      <c r="AL1182" t="n">
        <v>2</v>
      </c>
      <c r="AM1182" t="n">
        <v>4</v>
      </c>
      <c r="AN1182" t="n">
        <v>0</v>
      </c>
      <c r="AO1182" t="n">
        <v>0</v>
      </c>
      <c r="AP1182" t="inlineStr">
        <is>
          <t>No</t>
        </is>
      </c>
      <c r="AQ1182" t="inlineStr">
        <is>
          <t>No</t>
        </is>
      </c>
      <c r="AS1182">
        <f>HYPERLINK("https://creighton-primo.hosted.exlibrisgroup.com/primo-explore/search?tab=default_tab&amp;search_scope=EVERYTHING&amp;vid=01CRU&amp;lang=en_US&amp;offset=0&amp;query=any,contains,991005212119702656","Catalog Record")</f>
        <v/>
      </c>
      <c r="AT1182">
        <f>HYPERLINK("http://www.worldcat.org/oclc/67869943","WorldCat Record")</f>
        <v/>
      </c>
      <c r="AU1182" t="inlineStr">
        <is>
          <t>802081196:eng</t>
        </is>
      </c>
      <c r="AV1182" t="inlineStr">
        <is>
          <t>67869943</t>
        </is>
      </c>
      <c r="AW1182" t="inlineStr">
        <is>
          <t>991005212119702656</t>
        </is>
      </c>
      <c r="AX1182" t="inlineStr">
        <is>
          <t>991005212119702656</t>
        </is>
      </c>
      <c r="AY1182" t="inlineStr">
        <is>
          <t>2265598880002656</t>
        </is>
      </c>
      <c r="AZ1182" t="inlineStr">
        <is>
          <t>BOOK</t>
        </is>
      </c>
      <c r="BB1182" t="inlineStr">
        <is>
          <t>9780275987985</t>
        </is>
      </c>
      <c r="BC1182" t="inlineStr">
        <is>
          <t>32285005406540</t>
        </is>
      </c>
      <c r="BD1182" t="inlineStr">
        <is>
          <t>893332610</t>
        </is>
      </c>
    </row>
    <row r="1183">
      <c r="A1183" t="inlineStr">
        <is>
          <t>No</t>
        </is>
      </c>
      <c r="B1183" t="inlineStr">
        <is>
          <t>RC555 .L95 1995</t>
        </is>
      </c>
      <c r="C1183" t="inlineStr">
        <is>
          <t>0                      RC 0555000L  95          1995</t>
        </is>
      </c>
      <c r="D1183" t="inlineStr">
        <is>
          <t>The antisocial personalities / David T. Lykken.</t>
        </is>
      </c>
      <c r="F1183" t="inlineStr">
        <is>
          <t>No</t>
        </is>
      </c>
      <c r="G1183" t="inlineStr">
        <is>
          <t>1</t>
        </is>
      </c>
      <c r="H1183" t="inlineStr">
        <is>
          <t>No</t>
        </is>
      </c>
      <c r="I1183" t="inlineStr">
        <is>
          <t>No</t>
        </is>
      </c>
      <c r="J1183" t="inlineStr">
        <is>
          <t>0</t>
        </is>
      </c>
      <c r="K1183" t="inlineStr">
        <is>
          <t>Lykken, David Thoreson.</t>
        </is>
      </c>
      <c r="L1183" t="inlineStr">
        <is>
          <t>Hillsdale, N.J. : Lawrence Erlbaum Associates, 1995.</t>
        </is>
      </c>
      <c r="M1183" t="inlineStr">
        <is>
          <t>1995</t>
        </is>
      </c>
      <c r="O1183" t="inlineStr">
        <is>
          <t>eng</t>
        </is>
      </c>
      <c r="P1183" t="inlineStr">
        <is>
          <t>nju</t>
        </is>
      </c>
      <c r="R1183" t="inlineStr">
        <is>
          <t xml:space="preserve">RC </t>
        </is>
      </c>
      <c r="S1183" t="n">
        <v>20</v>
      </c>
      <c r="T1183" t="n">
        <v>20</v>
      </c>
      <c r="U1183" t="inlineStr">
        <is>
          <t>2005-10-25</t>
        </is>
      </c>
      <c r="V1183" t="inlineStr">
        <is>
          <t>2005-10-25</t>
        </is>
      </c>
      <c r="W1183" t="inlineStr">
        <is>
          <t>1996-01-10</t>
        </is>
      </c>
      <c r="X1183" t="inlineStr">
        <is>
          <t>1996-01-10</t>
        </is>
      </c>
      <c r="Y1183" t="n">
        <v>602</v>
      </c>
      <c r="Z1183" t="n">
        <v>515</v>
      </c>
      <c r="AA1183" t="n">
        <v>548</v>
      </c>
      <c r="AB1183" t="n">
        <v>3</v>
      </c>
      <c r="AC1183" t="n">
        <v>3</v>
      </c>
      <c r="AD1183" t="n">
        <v>26</v>
      </c>
      <c r="AE1183" t="n">
        <v>27</v>
      </c>
      <c r="AF1183" t="n">
        <v>12</v>
      </c>
      <c r="AG1183" t="n">
        <v>12</v>
      </c>
      <c r="AH1183" t="n">
        <v>6</v>
      </c>
      <c r="AI1183" t="n">
        <v>7</v>
      </c>
      <c r="AJ1183" t="n">
        <v>15</v>
      </c>
      <c r="AK1183" t="n">
        <v>15</v>
      </c>
      <c r="AL1183" t="n">
        <v>2</v>
      </c>
      <c r="AM1183" t="n">
        <v>2</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HYPERLINK("https://creighton-primo.hosted.exlibrisgroup.com/primo-explore/search?tab=default_tab&amp;search_scope=EVERYTHING&amp;vid=01CRU&amp;lang=en_US&amp;offset=0&amp;query=any,contains,991002475279702656","Catalog Record")</f>
        <v/>
      </c>
      <c r="AT1183">
        <f>HYPERLINK("http://www.worldcat.org/oclc/32236181","WorldCat Record")</f>
        <v/>
      </c>
      <c r="AU1183" t="inlineStr">
        <is>
          <t>479042671:eng</t>
        </is>
      </c>
      <c r="AV1183" t="inlineStr">
        <is>
          <t>32236181</t>
        </is>
      </c>
      <c r="AW1183" t="inlineStr">
        <is>
          <t>991002475279702656</t>
        </is>
      </c>
      <c r="AX1183" t="inlineStr">
        <is>
          <t>991002475279702656</t>
        </is>
      </c>
      <c r="AY1183" t="inlineStr">
        <is>
          <t>2266420920002656</t>
        </is>
      </c>
      <c r="AZ1183" t="inlineStr">
        <is>
          <t>BOOK</t>
        </is>
      </c>
      <c r="BB1183" t="inlineStr">
        <is>
          <t>9780805819410</t>
        </is>
      </c>
      <c r="BC1183" t="inlineStr">
        <is>
          <t>32285002089810</t>
        </is>
      </c>
      <c r="BD1183" t="inlineStr">
        <is>
          <t>893779863</t>
        </is>
      </c>
    </row>
    <row r="1184">
      <c r="A1184" t="inlineStr">
        <is>
          <t>No</t>
        </is>
      </c>
      <c r="B1184" t="inlineStr">
        <is>
          <t>RC555 .S3</t>
        </is>
      </c>
      <c r="C1184" t="inlineStr">
        <is>
          <t>0                      RC 0555000S  3</t>
        </is>
      </c>
      <c r="D1184" t="inlineStr">
        <is>
          <t>Emotion, obesity, and crime.</t>
        </is>
      </c>
      <c r="F1184" t="inlineStr">
        <is>
          <t>No</t>
        </is>
      </c>
      <c r="G1184" t="inlineStr">
        <is>
          <t>1</t>
        </is>
      </c>
      <c r="H1184" t="inlineStr">
        <is>
          <t>No</t>
        </is>
      </c>
      <c r="I1184" t="inlineStr">
        <is>
          <t>No</t>
        </is>
      </c>
      <c r="J1184" t="inlineStr">
        <is>
          <t>0</t>
        </is>
      </c>
      <c r="K1184" t="inlineStr">
        <is>
          <t>Schachter, Stanley, 1922-1997.</t>
        </is>
      </c>
      <c r="L1184" t="inlineStr">
        <is>
          <t>New York, Academic Press, 1971.</t>
        </is>
      </c>
      <c r="M1184" t="inlineStr">
        <is>
          <t>1971</t>
        </is>
      </c>
      <c r="O1184" t="inlineStr">
        <is>
          <t>eng</t>
        </is>
      </c>
      <c r="P1184" t="inlineStr">
        <is>
          <t>nyu</t>
        </is>
      </c>
      <c r="Q1184" t="inlineStr">
        <is>
          <t>Social psychology</t>
        </is>
      </c>
      <c r="R1184" t="inlineStr">
        <is>
          <t xml:space="preserve">RC </t>
        </is>
      </c>
      <c r="S1184" t="n">
        <v>2</v>
      </c>
      <c r="T1184" t="n">
        <v>2</v>
      </c>
      <c r="U1184" t="inlineStr">
        <is>
          <t>2003-10-30</t>
        </is>
      </c>
      <c r="V1184" t="inlineStr">
        <is>
          <t>2003-10-30</t>
        </is>
      </c>
      <c r="W1184" t="inlineStr">
        <is>
          <t>1997-09-09</t>
        </is>
      </c>
      <c r="X1184" t="inlineStr">
        <is>
          <t>1997-09-09</t>
        </is>
      </c>
      <c r="Y1184" t="n">
        <v>702</v>
      </c>
      <c r="Z1184" t="n">
        <v>516</v>
      </c>
      <c r="AA1184" t="n">
        <v>519</v>
      </c>
      <c r="AB1184" t="n">
        <v>6</v>
      </c>
      <c r="AC1184" t="n">
        <v>6</v>
      </c>
      <c r="AD1184" t="n">
        <v>21</v>
      </c>
      <c r="AE1184" t="n">
        <v>21</v>
      </c>
      <c r="AF1184" t="n">
        <v>5</v>
      </c>
      <c r="AG1184" t="n">
        <v>5</v>
      </c>
      <c r="AH1184" t="n">
        <v>5</v>
      </c>
      <c r="AI1184" t="n">
        <v>5</v>
      </c>
      <c r="AJ1184" t="n">
        <v>10</v>
      </c>
      <c r="AK1184" t="n">
        <v>10</v>
      </c>
      <c r="AL1184" t="n">
        <v>4</v>
      </c>
      <c r="AM1184" t="n">
        <v>4</v>
      </c>
      <c r="AN1184" t="n">
        <v>1</v>
      </c>
      <c r="AO1184" t="n">
        <v>1</v>
      </c>
      <c r="AP1184" t="inlineStr">
        <is>
          <t>No</t>
        </is>
      </c>
      <c r="AQ1184" t="inlineStr">
        <is>
          <t>Yes</t>
        </is>
      </c>
      <c r="AR1184">
        <f>HYPERLINK("http://catalog.hathitrust.org/Record/001565189","HathiTrust Record")</f>
        <v/>
      </c>
      <c r="AS1184">
        <f>HYPERLINK("https://creighton-primo.hosted.exlibrisgroup.com/primo-explore/search?tab=default_tab&amp;search_scope=EVERYTHING&amp;vid=01CRU&amp;lang=en_US&amp;offset=0&amp;query=any,contains,991000917249702656","Catalog Record")</f>
        <v/>
      </c>
      <c r="AT1184">
        <f>HYPERLINK("http://www.worldcat.org/oclc/160712","WorldCat Record")</f>
        <v/>
      </c>
      <c r="AU1184" t="inlineStr">
        <is>
          <t>835843624:eng</t>
        </is>
      </c>
      <c r="AV1184" t="inlineStr">
        <is>
          <t>160712</t>
        </is>
      </c>
      <c r="AW1184" t="inlineStr">
        <is>
          <t>991000917249702656</t>
        </is>
      </c>
      <c r="AX1184" t="inlineStr">
        <is>
          <t>991000917249702656</t>
        </is>
      </c>
      <c r="AY1184" t="inlineStr">
        <is>
          <t>2267362030002656</t>
        </is>
      </c>
      <c r="AZ1184" t="inlineStr">
        <is>
          <t>BOOK</t>
        </is>
      </c>
      <c r="BB1184" t="inlineStr">
        <is>
          <t>9780126213508</t>
        </is>
      </c>
      <c r="BC1184" t="inlineStr">
        <is>
          <t>32285003168928</t>
        </is>
      </c>
      <c r="BD1184" t="inlineStr">
        <is>
          <t>893803169</t>
        </is>
      </c>
    </row>
    <row r="1185">
      <c r="A1185" t="inlineStr">
        <is>
          <t>No</t>
        </is>
      </c>
      <c r="B1185" t="inlineStr">
        <is>
          <t>RC555 .U55 1986</t>
        </is>
      </c>
      <c r="C1185" t="inlineStr">
        <is>
          <t>0                      RC 0555000U  55          1986</t>
        </is>
      </c>
      <c r="D1185" t="inlineStr">
        <is>
          <t>Unmasking the psychopath : antisocial personality and related syndromes / edited by William H. Reid ... [et al.].</t>
        </is>
      </c>
      <c r="F1185" t="inlineStr">
        <is>
          <t>No</t>
        </is>
      </c>
      <c r="G1185" t="inlineStr">
        <is>
          <t>1</t>
        </is>
      </c>
      <c r="H1185" t="inlineStr">
        <is>
          <t>No</t>
        </is>
      </c>
      <c r="I1185" t="inlineStr">
        <is>
          <t>No</t>
        </is>
      </c>
      <c r="J1185" t="inlineStr">
        <is>
          <t>0</t>
        </is>
      </c>
      <c r="L1185" t="inlineStr">
        <is>
          <t>New York : Norton, c1986.</t>
        </is>
      </c>
      <c r="M1185" t="inlineStr">
        <is>
          <t>1986</t>
        </is>
      </c>
      <c r="N1185" t="inlineStr">
        <is>
          <t>1st ed.</t>
        </is>
      </c>
      <c r="O1185" t="inlineStr">
        <is>
          <t>eng</t>
        </is>
      </c>
      <c r="P1185" t="inlineStr">
        <is>
          <t>nyu</t>
        </is>
      </c>
      <c r="R1185" t="inlineStr">
        <is>
          <t xml:space="preserve">RC </t>
        </is>
      </c>
      <c r="S1185" t="n">
        <v>21</v>
      </c>
      <c r="T1185" t="n">
        <v>21</v>
      </c>
      <c r="U1185" t="inlineStr">
        <is>
          <t>2005-10-24</t>
        </is>
      </c>
      <c r="V1185" t="inlineStr">
        <is>
          <t>2005-10-24</t>
        </is>
      </c>
      <c r="W1185" t="inlineStr">
        <is>
          <t>1992-01-08</t>
        </is>
      </c>
      <c r="X1185" t="inlineStr">
        <is>
          <t>1992-01-08</t>
        </is>
      </c>
      <c r="Y1185" t="n">
        <v>409</v>
      </c>
      <c r="Z1185" t="n">
        <v>344</v>
      </c>
      <c r="AA1185" t="n">
        <v>350</v>
      </c>
      <c r="AB1185" t="n">
        <v>3</v>
      </c>
      <c r="AC1185" t="n">
        <v>3</v>
      </c>
      <c r="AD1185" t="n">
        <v>20</v>
      </c>
      <c r="AE1185" t="n">
        <v>20</v>
      </c>
      <c r="AF1185" t="n">
        <v>6</v>
      </c>
      <c r="AG1185" t="n">
        <v>6</v>
      </c>
      <c r="AH1185" t="n">
        <v>7</v>
      </c>
      <c r="AI1185" t="n">
        <v>7</v>
      </c>
      <c r="AJ1185" t="n">
        <v>10</v>
      </c>
      <c r="AK1185" t="n">
        <v>10</v>
      </c>
      <c r="AL1185" t="n">
        <v>2</v>
      </c>
      <c r="AM1185" t="n">
        <v>2</v>
      </c>
      <c r="AN1185" t="n">
        <v>0</v>
      </c>
      <c r="AO1185" t="n">
        <v>0</v>
      </c>
      <c r="AP1185" t="inlineStr">
        <is>
          <t>No</t>
        </is>
      </c>
      <c r="AQ1185" t="inlineStr">
        <is>
          <t>No</t>
        </is>
      </c>
      <c r="AR1185">
        <f>HYPERLINK("http://catalog.hathitrust.org/Record/010385724","HathiTrust Record")</f>
        <v/>
      </c>
      <c r="AS1185">
        <f>HYPERLINK("https://creighton-primo.hosted.exlibrisgroup.com/primo-explore/search?tab=default_tab&amp;search_scope=EVERYTHING&amp;vid=01CRU&amp;lang=en_US&amp;offset=0&amp;query=any,contains,991000778629702656","Catalog Record")</f>
        <v/>
      </c>
      <c r="AT1185">
        <f>HYPERLINK("http://www.worldcat.org/oclc/13093493","WorldCat Record")</f>
        <v/>
      </c>
      <c r="AU1185" t="inlineStr">
        <is>
          <t>906399619:eng</t>
        </is>
      </c>
      <c r="AV1185" t="inlineStr">
        <is>
          <t>13093493</t>
        </is>
      </c>
      <c r="AW1185" t="inlineStr">
        <is>
          <t>991000778629702656</t>
        </is>
      </c>
      <c r="AX1185" t="inlineStr">
        <is>
          <t>991000778629702656</t>
        </is>
      </c>
      <c r="AY1185" t="inlineStr">
        <is>
          <t>2269667980002656</t>
        </is>
      </c>
      <c r="AZ1185" t="inlineStr">
        <is>
          <t>BOOK</t>
        </is>
      </c>
      <c r="BB1185" t="inlineStr">
        <is>
          <t>9780393700251</t>
        </is>
      </c>
      <c r="BC1185" t="inlineStr">
        <is>
          <t>32285000884238</t>
        </is>
      </c>
      <c r="BD1185" t="inlineStr">
        <is>
          <t>893614493</t>
        </is>
      </c>
    </row>
    <row r="1186">
      <c r="A1186" t="inlineStr">
        <is>
          <t>No</t>
        </is>
      </c>
      <c r="B1186" t="inlineStr">
        <is>
          <t>RC555 .V5613 2001</t>
        </is>
      </c>
      <c r="C1186" t="inlineStr">
        <is>
          <t>0                      RC 0555000V  5613        2001</t>
        </is>
      </c>
      <c r="D1186" t="inlineStr">
        <is>
          <t>Violence and psychopathy / edited by Adrian Raine, José Sanmartín.</t>
        </is>
      </c>
      <c r="F1186" t="inlineStr">
        <is>
          <t>No</t>
        </is>
      </c>
      <c r="G1186" t="inlineStr">
        <is>
          <t>1</t>
        </is>
      </c>
      <c r="H1186" t="inlineStr">
        <is>
          <t>No</t>
        </is>
      </c>
      <c r="I1186" t="inlineStr">
        <is>
          <t>No</t>
        </is>
      </c>
      <c r="J1186" t="inlineStr">
        <is>
          <t>0</t>
        </is>
      </c>
      <c r="K1186" t="inlineStr">
        <is>
          <t>Violencia y psicopatía. English.</t>
        </is>
      </c>
      <c r="L1186" t="inlineStr">
        <is>
          <t>New York : Kluwer Academic/Plenum, c2001.</t>
        </is>
      </c>
      <c r="M1186" t="inlineStr">
        <is>
          <t>2001</t>
        </is>
      </c>
      <c r="O1186" t="inlineStr">
        <is>
          <t>eng</t>
        </is>
      </c>
      <c r="P1186" t="inlineStr">
        <is>
          <t>nyu</t>
        </is>
      </c>
      <c r="R1186" t="inlineStr">
        <is>
          <t xml:space="preserve">RC </t>
        </is>
      </c>
      <c r="S1186" t="n">
        <v>8</v>
      </c>
      <c r="T1186" t="n">
        <v>8</v>
      </c>
      <c r="U1186" t="inlineStr">
        <is>
          <t>2007-02-05</t>
        </is>
      </c>
      <c r="V1186" t="inlineStr">
        <is>
          <t>2007-02-05</t>
        </is>
      </c>
      <c r="W1186" t="inlineStr">
        <is>
          <t>2003-09-11</t>
        </is>
      </c>
      <c r="X1186" t="inlineStr">
        <is>
          <t>2003-09-11</t>
        </is>
      </c>
      <c r="Y1186" t="n">
        <v>132</v>
      </c>
      <c r="Z1186" t="n">
        <v>100</v>
      </c>
      <c r="AA1186" t="n">
        <v>125</v>
      </c>
      <c r="AB1186" t="n">
        <v>1</v>
      </c>
      <c r="AC1186" t="n">
        <v>1</v>
      </c>
      <c r="AD1186" t="n">
        <v>3</v>
      </c>
      <c r="AE1186" t="n">
        <v>5</v>
      </c>
      <c r="AF1186" t="n">
        <v>2</v>
      </c>
      <c r="AG1186" t="n">
        <v>3</v>
      </c>
      <c r="AH1186" t="n">
        <v>0</v>
      </c>
      <c r="AI1186" t="n">
        <v>1</v>
      </c>
      <c r="AJ1186" t="n">
        <v>2</v>
      </c>
      <c r="AK1186" t="n">
        <v>3</v>
      </c>
      <c r="AL1186" t="n">
        <v>0</v>
      </c>
      <c r="AM1186" t="n">
        <v>0</v>
      </c>
      <c r="AN1186" t="n">
        <v>0</v>
      </c>
      <c r="AO1186" t="n">
        <v>0</v>
      </c>
      <c r="AP1186" t="inlineStr">
        <is>
          <t>No</t>
        </is>
      </c>
      <c r="AQ1186" t="inlineStr">
        <is>
          <t>No</t>
        </is>
      </c>
      <c r="AS1186">
        <f>HYPERLINK("https://creighton-primo.hosted.exlibrisgroup.com/primo-explore/search?tab=default_tab&amp;search_scope=EVERYTHING&amp;vid=01CRU&amp;lang=en_US&amp;offset=0&amp;query=any,contains,991004121329702656","Catalog Record")</f>
        <v/>
      </c>
      <c r="AT1186">
        <f>HYPERLINK("http://www.worldcat.org/oclc/47270595","WorldCat Record")</f>
        <v/>
      </c>
      <c r="AU1186" t="inlineStr">
        <is>
          <t>394739605:eng</t>
        </is>
      </c>
      <c r="AV1186" t="inlineStr">
        <is>
          <t>47270595</t>
        </is>
      </c>
      <c r="AW1186" t="inlineStr">
        <is>
          <t>991004121329702656</t>
        </is>
      </c>
      <c r="AX1186" t="inlineStr">
        <is>
          <t>991004121329702656</t>
        </is>
      </c>
      <c r="AY1186" t="inlineStr">
        <is>
          <t>2262684370002656</t>
        </is>
      </c>
      <c r="AZ1186" t="inlineStr">
        <is>
          <t>BOOK</t>
        </is>
      </c>
      <c r="BB1186" t="inlineStr">
        <is>
          <t>9780306466694</t>
        </is>
      </c>
      <c r="BC1186" t="inlineStr">
        <is>
          <t>32285004795638</t>
        </is>
      </c>
      <c r="BD1186" t="inlineStr">
        <is>
          <t>893810365</t>
        </is>
      </c>
    </row>
    <row r="1187">
      <c r="A1187" t="inlineStr">
        <is>
          <t>No</t>
        </is>
      </c>
      <c r="B1187" t="inlineStr">
        <is>
          <t>RC556 .A55 1974</t>
        </is>
      </c>
      <c r="C1187" t="inlineStr">
        <is>
          <t>0                      RC 0556000A  55          1974</t>
        </is>
      </c>
      <c r="D1187" t="inlineStr">
        <is>
          <t>The behavioral treatment of sexual problems / Jack S. Annon. --</t>
        </is>
      </c>
      <c r="E1187" t="inlineStr">
        <is>
          <t>V.2</t>
        </is>
      </c>
      <c r="F1187" t="inlineStr">
        <is>
          <t>Yes</t>
        </is>
      </c>
      <c r="G1187" t="inlineStr">
        <is>
          <t>1</t>
        </is>
      </c>
      <c r="H1187" t="inlineStr">
        <is>
          <t>No</t>
        </is>
      </c>
      <c r="I1187" t="inlineStr">
        <is>
          <t>No</t>
        </is>
      </c>
      <c r="J1187" t="inlineStr">
        <is>
          <t>0</t>
        </is>
      </c>
      <c r="K1187" t="inlineStr">
        <is>
          <t>Annon, Jack S., 1929-</t>
        </is>
      </c>
      <c r="L1187" t="inlineStr">
        <is>
          <t>Honolulu, Hawaii : Enabling Systems, [1974]</t>
        </is>
      </c>
      <c r="M1187" t="inlineStr">
        <is>
          <t>1974</t>
        </is>
      </c>
      <c r="O1187" t="inlineStr">
        <is>
          <t>eng</t>
        </is>
      </c>
      <c r="P1187" t="inlineStr">
        <is>
          <t xml:space="preserve">xx </t>
        </is>
      </c>
      <c r="R1187" t="inlineStr">
        <is>
          <t xml:space="preserve">RC </t>
        </is>
      </c>
      <c r="S1187" t="n">
        <v>2</v>
      </c>
      <c r="T1187" t="n">
        <v>2</v>
      </c>
      <c r="U1187" t="inlineStr">
        <is>
          <t>1992-11-29</t>
        </is>
      </c>
      <c r="V1187" t="inlineStr">
        <is>
          <t>1992-11-29</t>
        </is>
      </c>
      <c r="W1187" t="inlineStr">
        <is>
          <t>1992-11-10</t>
        </is>
      </c>
      <c r="X1187" t="inlineStr">
        <is>
          <t>1992-11-10</t>
        </is>
      </c>
      <c r="Y1187" t="n">
        <v>74</v>
      </c>
      <c r="Z1187" t="n">
        <v>63</v>
      </c>
      <c r="AA1187" t="n">
        <v>132</v>
      </c>
      <c r="AB1187" t="n">
        <v>2</v>
      </c>
      <c r="AC1187" t="n">
        <v>2</v>
      </c>
      <c r="AD1187" t="n">
        <v>3</v>
      </c>
      <c r="AE1187" t="n">
        <v>4</v>
      </c>
      <c r="AF1187" t="n">
        <v>1</v>
      </c>
      <c r="AG1187" t="n">
        <v>1</v>
      </c>
      <c r="AH1187" t="n">
        <v>0</v>
      </c>
      <c r="AI1187" t="n">
        <v>0</v>
      </c>
      <c r="AJ1187" t="n">
        <v>1</v>
      </c>
      <c r="AK1187" t="n">
        <v>2</v>
      </c>
      <c r="AL1187" t="n">
        <v>1</v>
      </c>
      <c r="AM1187" t="n">
        <v>1</v>
      </c>
      <c r="AN1187" t="n">
        <v>0</v>
      </c>
      <c r="AO1187" t="n">
        <v>0</v>
      </c>
      <c r="AP1187" t="inlineStr">
        <is>
          <t>No</t>
        </is>
      </c>
      <c r="AQ1187" t="inlineStr">
        <is>
          <t>No</t>
        </is>
      </c>
      <c r="AS1187">
        <f>HYPERLINK("https://creighton-primo.hosted.exlibrisgroup.com/primo-explore/search?tab=default_tab&amp;search_scope=EVERYTHING&amp;vid=01CRU&amp;lang=en_US&amp;offset=0&amp;query=any,contains,991003878039702656","Catalog Record")</f>
        <v/>
      </c>
      <c r="AT1187">
        <f>HYPERLINK("http://www.worldcat.org/oclc/1711496","WorldCat Record")</f>
        <v/>
      </c>
      <c r="AU1187" t="inlineStr">
        <is>
          <t>3372113343:eng</t>
        </is>
      </c>
      <c r="AV1187" t="inlineStr">
        <is>
          <t>1711496</t>
        </is>
      </c>
      <c r="AW1187" t="inlineStr">
        <is>
          <t>991003878039702656</t>
        </is>
      </c>
      <c r="AX1187" t="inlineStr">
        <is>
          <t>991003878039702656</t>
        </is>
      </c>
      <c r="AY1187" t="inlineStr">
        <is>
          <t>2268876840002656</t>
        </is>
      </c>
      <c r="AZ1187" t="inlineStr">
        <is>
          <t>BOOK</t>
        </is>
      </c>
      <c r="BC1187" t="inlineStr">
        <is>
          <t>32285001383891</t>
        </is>
      </c>
      <c r="BD1187" t="inlineStr">
        <is>
          <t>893810235</t>
        </is>
      </c>
    </row>
    <row r="1188">
      <c r="A1188" t="inlineStr">
        <is>
          <t>No</t>
        </is>
      </c>
      <c r="B1188" t="inlineStr">
        <is>
          <t>RC556 .A6</t>
        </is>
      </c>
      <c r="C1188" t="inlineStr">
        <is>
          <t>0                      RC 0556000A  6</t>
        </is>
      </c>
      <c r="D1188" t="inlineStr">
        <is>
          <t>Applications of hypnosis in sex therapy / [edited] by Hugo G. Beigel and Warren R. Johnson.</t>
        </is>
      </c>
      <c r="F1188" t="inlineStr">
        <is>
          <t>No</t>
        </is>
      </c>
      <c r="G1188" t="inlineStr">
        <is>
          <t>1</t>
        </is>
      </c>
      <c r="H1188" t="inlineStr">
        <is>
          <t>No</t>
        </is>
      </c>
      <c r="I1188" t="inlineStr">
        <is>
          <t>No</t>
        </is>
      </c>
      <c r="J1188" t="inlineStr">
        <is>
          <t>0</t>
        </is>
      </c>
      <c r="L1188" t="inlineStr">
        <is>
          <t>Springfield, Ill. : Thomas, c1980.</t>
        </is>
      </c>
      <c r="M1188" t="inlineStr">
        <is>
          <t>1980</t>
        </is>
      </c>
      <c r="O1188" t="inlineStr">
        <is>
          <t>eng</t>
        </is>
      </c>
      <c r="P1188" t="inlineStr">
        <is>
          <t>ilu</t>
        </is>
      </c>
      <c r="R1188" t="inlineStr">
        <is>
          <t xml:space="preserve">RC </t>
        </is>
      </c>
      <c r="S1188" t="n">
        <v>3</v>
      </c>
      <c r="T1188" t="n">
        <v>3</v>
      </c>
      <c r="U1188" t="inlineStr">
        <is>
          <t>1995-09-13</t>
        </is>
      </c>
      <c r="V1188" t="inlineStr">
        <is>
          <t>1995-09-13</t>
        </is>
      </c>
      <c r="W1188" t="inlineStr">
        <is>
          <t>1993-03-23</t>
        </is>
      </c>
      <c r="X1188" t="inlineStr">
        <is>
          <t>1993-03-23</t>
        </is>
      </c>
      <c r="Y1188" t="n">
        <v>137</v>
      </c>
      <c r="Z1188" t="n">
        <v>111</v>
      </c>
      <c r="AA1188" t="n">
        <v>123</v>
      </c>
      <c r="AB1188" t="n">
        <v>2</v>
      </c>
      <c r="AC1188" t="n">
        <v>2</v>
      </c>
      <c r="AD1188" t="n">
        <v>2</v>
      </c>
      <c r="AE1188" t="n">
        <v>3</v>
      </c>
      <c r="AF1188" t="n">
        <v>0</v>
      </c>
      <c r="AG1188" t="n">
        <v>1</v>
      </c>
      <c r="AH1188" t="n">
        <v>0</v>
      </c>
      <c r="AI1188" t="n">
        <v>1</v>
      </c>
      <c r="AJ1188" t="n">
        <v>1</v>
      </c>
      <c r="AK1188" t="n">
        <v>1</v>
      </c>
      <c r="AL1188" t="n">
        <v>1</v>
      </c>
      <c r="AM1188" t="n">
        <v>1</v>
      </c>
      <c r="AN1188" t="n">
        <v>0</v>
      </c>
      <c r="AO1188" t="n">
        <v>0</v>
      </c>
      <c r="AP1188" t="inlineStr">
        <is>
          <t>No</t>
        </is>
      </c>
      <c r="AQ1188" t="inlineStr">
        <is>
          <t>No</t>
        </is>
      </c>
      <c r="AS1188">
        <f>HYPERLINK("https://creighton-primo.hosted.exlibrisgroup.com/primo-explore/search?tab=default_tab&amp;search_scope=EVERYTHING&amp;vid=01CRU&amp;lang=en_US&amp;offset=0&amp;query=any,contains,991004808739702656","Catalog Record")</f>
        <v/>
      </c>
      <c r="AT1188">
        <f>HYPERLINK("http://www.worldcat.org/oclc/5264552","WorldCat Record")</f>
        <v/>
      </c>
      <c r="AU1188" t="inlineStr">
        <is>
          <t>425684515:eng</t>
        </is>
      </c>
      <c r="AV1188" t="inlineStr">
        <is>
          <t>5264552</t>
        </is>
      </c>
      <c r="AW1188" t="inlineStr">
        <is>
          <t>991004808739702656</t>
        </is>
      </c>
      <c r="AX1188" t="inlineStr">
        <is>
          <t>991004808739702656</t>
        </is>
      </c>
      <c r="AY1188" t="inlineStr">
        <is>
          <t>2259137800002656</t>
        </is>
      </c>
      <c r="AZ1188" t="inlineStr">
        <is>
          <t>BOOK</t>
        </is>
      </c>
      <c r="BB1188" t="inlineStr">
        <is>
          <t>9780398039653</t>
        </is>
      </c>
      <c r="BC1188" t="inlineStr">
        <is>
          <t>32285001607422</t>
        </is>
      </c>
      <c r="BD1188" t="inlineStr">
        <is>
          <t>893248004</t>
        </is>
      </c>
    </row>
    <row r="1189">
      <c r="A1189" t="inlineStr">
        <is>
          <t>No</t>
        </is>
      </c>
      <c r="B1189" t="inlineStr">
        <is>
          <t>RC556 .A7</t>
        </is>
      </c>
      <c r="C1189" t="inlineStr">
        <is>
          <t>0                      RC 0556000A  7</t>
        </is>
      </c>
      <c r="D1189" t="inlineStr">
        <is>
          <t>Treating psychosexual dysfunction / [by] Ben N. Ard, Jr.</t>
        </is>
      </c>
      <c r="F1189" t="inlineStr">
        <is>
          <t>No</t>
        </is>
      </c>
      <c r="G1189" t="inlineStr">
        <is>
          <t>1</t>
        </is>
      </c>
      <c r="H1189" t="inlineStr">
        <is>
          <t>No</t>
        </is>
      </c>
      <c r="I1189" t="inlineStr">
        <is>
          <t>No</t>
        </is>
      </c>
      <c r="J1189" t="inlineStr">
        <is>
          <t>0</t>
        </is>
      </c>
      <c r="K1189" t="inlineStr">
        <is>
          <t>Ard, Ben N.</t>
        </is>
      </c>
      <c r="L1189" t="inlineStr">
        <is>
          <t>New York : J. Aronson, [1974]</t>
        </is>
      </c>
      <c r="M1189" t="inlineStr">
        <is>
          <t>1974</t>
        </is>
      </c>
      <c r="O1189" t="inlineStr">
        <is>
          <t>eng</t>
        </is>
      </c>
      <c r="P1189" t="inlineStr">
        <is>
          <t>nyu</t>
        </is>
      </c>
      <c r="R1189" t="inlineStr">
        <is>
          <t xml:space="preserve">RC </t>
        </is>
      </c>
      <c r="S1189" t="n">
        <v>8</v>
      </c>
      <c r="T1189" t="n">
        <v>8</v>
      </c>
      <c r="U1189" t="inlineStr">
        <is>
          <t>2005-03-16</t>
        </is>
      </c>
      <c r="V1189" t="inlineStr">
        <is>
          <t>2005-03-16</t>
        </is>
      </c>
      <c r="W1189" t="inlineStr">
        <is>
          <t>1992-11-10</t>
        </is>
      </c>
      <c r="X1189" t="inlineStr">
        <is>
          <t>1992-11-10</t>
        </is>
      </c>
      <c r="Y1189" t="n">
        <v>194</v>
      </c>
      <c r="Z1189" t="n">
        <v>174</v>
      </c>
      <c r="AA1189" t="n">
        <v>177</v>
      </c>
      <c r="AB1189" t="n">
        <v>2</v>
      </c>
      <c r="AC1189" t="n">
        <v>2</v>
      </c>
      <c r="AD1189" t="n">
        <v>4</v>
      </c>
      <c r="AE1189" t="n">
        <v>4</v>
      </c>
      <c r="AF1189" t="n">
        <v>1</v>
      </c>
      <c r="AG1189" t="n">
        <v>1</v>
      </c>
      <c r="AH1189" t="n">
        <v>0</v>
      </c>
      <c r="AI1189" t="n">
        <v>0</v>
      </c>
      <c r="AJ1189" t="n">
        <v>2</v>
      </c>
      <c r="AK1189" t="n">
        <v>2</v>
      </c>
      <c r="AL1189" t="n">
        <v>1</v>
      </c>
      <c r="AM1189" t="n">
        <v>1</v>
      </c>
      <c r="AN1189" t="n">
        <v>0</v>
      </c>
      <c r="AO1189" t="n">
        <v>0</v>
      </c>
      <c r="AP1189" t="inlineStr">
        <is>
          <t>No</t>
        </is>
      </c>
      <c r="AQ1189" t="inlineStr">
        <is>
          <t>Yes</t>
        </is>
      </c>
      <c r="AR1189">
        <f>HYPERLINK("http://catalog.hathitrust.org/Record/000012759","HathiTrust Record")</f>
        <v/>
      </c>
      <c r="AS1189">
        <f>HYPERLINK("https://creighton-primo.hosted.exlibrisgroup.com/primo-explore/search?tab=default_tab&amp;search_scope=EVERYTHING&amp;vid=01CRU&amp;lang=en_US&amp;offset=0&amp;query=any,contains,991003311079702656","Catalog Record")</f>
        <v/>
      </c>
      <c r="AT1189">
        <f>HYPERLINK("http://www.worldcat.org/oclc/834849","WorldCat Record")</f>
        <v/>
      </c>
      <c r="AU1189" t="inlineStr">
        <is>
          <t>1755443:eng</t>
        </is>
      </c>
      <c r="AV1189" t="inlineStr">
        <is>
          <t>834849</t>
        </is>
      </c>
      <c r="AW1189" t="inlineStr">
        <is>
          <t>991003311079702656</t>
        </is>
      </c>
      <c r="AX1189" t="inlineStr">
        <is>
          <t>991003311079702656</t>
        </is>
      </c>
      <c r="AY1189" t="inlineStr">
        <is>
          <t>2267399520002656</t>
        </is>
      </c>
      <c r="AZ1189" t="inlineStr">
        <is>
          <t>BOOK</t>
        </is>
      </c>
      <c r="BB1189" t="inlineStr">
        <is>
          <t>9780876681138</t>
        </is>
      </c>
      <c r="BC1189" t="inlineStr">
        <is>
          <t>32285001383883</t>
        </is>
      </c>
      <c r="BD1189" t="inlineStr">
        <is>
          <t>893511817</t>
        </is>
      </c>
    </row>
    <row r="1190">
      <c r="A1190" t="inlineStr">
        <is>
          <t>No</t>
        </is>
      </c>
      <c r="B1190" t="inlineStr">
        <is>
          <t>RC556 .E76 1985</t>
        </is>
      </c>
      <c r="C1190" t="inlineStr">
        <is>
          <t>0                      RC 0556000E  76          1985</t>
        </is>
      </c>
      <c r="D1190" t="inlineStr">
        <is>
          <t>Erotic preference, gender identity, and aggression in men : new research studies / edited by Ron Langevin.</t>
        </is>
      </c>
      <c r="F1190" t="inlineStr">
        <is>
          <t>No</t>
        </is>
      </c>
      <c r="G1190" t="inlineStr">
        <is>
          <t>1</t>
        </is>
      </c>
      <c r="H1190" t="inlineStr">
        <is>
          <t>No</t>
        </is>
      </c>
      <c r="I1190" t="inlineStr">
        <is>
          <t>No</t>
        </is>
      </c>
      <c r="J1190" t="inlineStr">
        <is>
          <t>0</t>
        </is>
      </c>
      <c r="L1190" t="inlineStr">
        <is>
          <t>Hillsdale, N.J. : L. Erlbaum Associates, 1985.</t>
        </is>
      </c>
      <c r="M1190" t="inlineStr">
        <is>
          <t>1985</t>
        </is>
      </c>
      <c r="O1190" t="inlineStr">
        <is>
          <t>eng</t>
        </is>
      </c>
      <c r="P1190" t="inlineStr">
        <is>
          <t>nju</t>
        </is>
      </c>
      <c r="R1190" t="inlineStr">
        <is>
          <t xml:space="preserve">RC </t>
        </is>
      </c>
      <c r="S1190" t="n">
        <v>11</v>
      </c>
      <c r="T1190" t="n">
        <v>11</v>
      </c>
      <c r="U1190" t="inlineStr">
        <is>
          <t>1995-04-19</t>
        </is>
      </c>
      <c r="V1190" t="inlineStr">
        <is>
          <t>1995-04-19</t>
        </is>
      </c>
      <c r="W1190" t="inlineStr">
        <is>
          <t>1992-03-10</t>
        </is>
      </c>
      <c r="X1190" t="inlineStr">
        <is>
          <t>1992-03-10</t>
        </is>
      </c>
      <c r="Y1190" t="n">
        <v>274</v>
      </c>
      <c r="Z1190" t="n">
        <v>229</v>
      </c>
      <c r="AA1190" t="n">
        <v>265</v>
      </c>
      <c r="AB1190" t="n">
        <v>2</v>
      </c>
      <c r="AC1190" t="n">
        <v>2</v>
      </c>
      <c r="AD1190" t="n">
        <v>11</v>
      </c>
      <c r="AE1190" t="n">
        <v>11</v>
      </c>
      <c r="AF1190" t="n">
        <v>2</v>
      </c>
      <c r="AG1190" t="n">
        <v>2</v>
      </c>
      <c r="AH1190" t="n">
        <v>5</v>
      </c>
      <c r="AI1190" t="n">
        <v>5</v>
      </c>
      <c r="AJ1190" t="n">
        <v>7</v>
      </c>
      <c r="AK1190" t="n">
        <v>7</v>
      </c>
      <c r="AL1190" t="n">
        <v>1</v>
      </c>
      <c r="AM1190" t="n">
        <v>1</v>
      </c>
      <c r="AN1190" t="n">
        <v>0</v>
      </c>
      <c r="AO1190" t="n">
        <v>0</v>
      </c>
      <c r="AP1190" t="inlineStr">
        <is>
          <t>No</t>
        </is>
      </c>
      <c r="AQ1190" t="inlineStr">
        <is>
          <t>No</t>
        </is>
      </c>
      <c r="AS1190">
        <f>HYPERLINK("https://creighton-primo.hosted.exlibrisgroup.com/primo-explore/search?tab=default_tab&amp;search_scope=EVERYTHING&amp;vid=01CRU&amp;lang=en_US&amp;offset=0&amp;query=any,contains,991000483869702656","Catalog Record")</f>
        <v/>
      </c>
      <c r="AT1190">
        <f>HYPERLINK("http://www.worldcat.org/oclc/11067586","WorldCat Record")</f>
        <v/>
      </c>
      <c r="AU1190" t="inlineStr">
        <is>
          <t>906336047:eng</t>
        </is>
      </c>
      <c r="AV1190" t="inlineStr">
        <is>
          <t>11067586</t>
        </is>
      </c>
      <c r="AW1190" t="inlineStr">
        <is>
          <t>991000483869702656</t>
        </is>
      </c>
      <c r="AX1190" t="inlineStr">
        <is>
          <t>991000483869702656</t>
        </is>
      </c>
      <c r="AY1190" t="inlineStr">
        <is>
          <t>2260937530002656</t>
        </is>
      </c>
      <c r="AZ1190" t="inlineStr">
        <is>
          <t>BOOK</t>
        </is>
      </c>
      <c r="BB1190" t="inlineStr">
        <is>
          <t>9780898594454</t>
        </is>
      </c>
      <c r="BC1190" t="inlineStr">
        <is>
          <t>32285000996362</t>
        </is>
      </c>
      <c r="BD1190" t="inlineStr">
        <is>
          <t>893255460</t>
        </is>
      </c>
    </row>
    <row r="1191">
      <c r="A1191" t="inlineStr">
        <is>
          <t>No</t>
        </is>
      </c>
      <c r="B1191" t="inlineStr">
        <is>
          <t>RC556 .G73 1979</t>
        </is>
      </c>
      <c r="C1191" t="inlineStr">
        <is>
          <t>0                      RC 0556000G  73          1979</t>
        </is>
      </c>
      <c r="D1191" t="inlineStr">
        <is>
          <t>Human sexuality : a health practitioner's text / edited by Richard Green ; with 25 contributors.</t>
        </is>
      </c>
      <c r="F1191" t="inlineStr">
        <is>
          <t>No</t>
        </is>
      </c>
      <c r="G1191" t="inlineStr">
        <is>
          <t>1</t>
        </is>
      </c>
      <c r="H1191" t="inlineStr">
        <is>
          <t>Yes</t>
        </is>
      </c>
      <c r="I1191" t="inlineStr">
        <is>
          <t>No</t>
        </is>
      </c>
      <c r="J1191" t="inlineStr">
        <is>
          <t>0</t>
        </is>
      </c>
      <c r="K1191" t="inlineStr">
        <is>
          <t>Green, Richard, 1936-2019.</t>
        </is>
      </c>
      <c r="L1191" t="inlineStr">
        <is>
          <t>Baltimore : Williams &amp; Wilkins Co., c1979.</t>
        </is>
      </c>
      <c r="M1191" t="inlineStr">
        <is>
          <t>1979</t>
        </is>
      </c>
      <c r="N1191" t="inlineStr">
        <is>
          <t>2d ed.</t>
        </is>
      </c>
      <c r="O1191" t="inlineStr">
        <is>
          <t>eng</t>
        </is>
      </c>
      <c r="P1191" t="inlineStr">
        <is>
          <t>mdu</t>
        </is>
      </c>
      <c r="R1191" t="inlineStr">
        <is>
          <t xml:space="preserve">RC </t>
        </is>
      </c>
      <c r="S1191" t="n">
        <v>10</v>
      </c>
      <c r="T1191" t="n">
        <v>21</v>
      </c>
      <c r="U1191" t="inlineStr">
        <is>
          <t>1998-09-05</t>
        </is>
      </c>
      <c r="V1191" t="inlineStr">
        <is>
          <t>2001-09-30</t>
        </is>
      </c>
      <c r="W1191" t="inlineStr">
        <is>
          <t>1990-02-08</t>
        </is>
      </c>
      <c r="X1191" t="inlineStr">
        <is>
          <t>1990-02-08</t>
        </is>
      </c>
      <c r="Y1191" t="n">
        <v>215</v>
      </c>
      <c r="Z1191" t="n">
        <v>168</v>
      </c>
      <c r="AA1191" t="n">
        <v>340</v>
      </c>
      <c r="AB1191" t="n">
        <v>3</v>
      </c>
      <c r="AC1191" t="n">
        <v>3</v>
      </c>
      <c r="AD1191" t="n">
        <v>8</v>
      </c>
      <c r="AE1191" t="n">
        <v>12</v>
      </c>
      <c r="AF1191" t="n">
        <v>1</v>
      </c>
      <c r="AG1191" t="n">
        <v>3</v>
      </c>
      <c r="AH1191" t="n">
        <v>2</v>
      </c>
      <c r="AI1191" t="n">
        <v>3</v>
      </c>
      <c r="AJ1191" t="n">
        <v>6</v>
      </c>
      <c r="AK1191" t="n">
        <v>8</v>
      </c>
      <c r="AL1191" t="n">
        <v>1</v>
      </c>
      <c r="AM1191" t="n">
        <v>1</v>
      </c>
      <c r="AN1191" t="n">
        <v>0</v>
      </c>
      <c r="AO1191" t="n">
        <v>0</v>
      </c>
      <c r="AP1191" t="inlineStr">
        <is>
          <t>No</t>
        </is>
      </c>
      <c r="AQ1191" t="inlineStr">
        <is>
          <t>Yes</t>
        </is>
      </c>
      <c r="AR1191">
        <f>HYPERLINK("http://catalog.hathitrust.org/Record/000137582","HathiTrust Record")</f>
        <v/>
      </c>
      <c r="AS1191">
        <f>HYPERLINK("https://creighton-primo.hosted.exlibrisgroup.com/primo-explore/search?tab=default_tab&amp;search_scope=EVERYTHING&amp;vid=01CRU&amp;lang=en_US&amp;offset=0&amp;query=any,contains,991001765899702656","Catalog Record")</f>
        <v/>
      </c>
      <c r="AT1191">
        <f>HYPERLINK("http://www.worldcat.org/oclc/4076342","WorldCat Record")</f>
        <v/>
      </c>
      <c r="AU1191" t="inlineStr">
        <is>
          <t>432526:eng</t>
        </is>
      </c>
      <c r="AV1191" t="inlineStr">
        <is>
          <t>4076342</t>
        </is>
      </c>
      <c r="AW1191" t="inlineStr">
        <is>
          <t>991001765899702656</t>
        </is>
      </c>
      <c r="AX1191" t="inlineStr">
        <is>
          <t>991001765899702656</t>
        </is>
      </c>
      <c r="AY1191" t="inlineStr">
        <is>
          <t>2262939610002656</t>
        </is>
      </c>
      <c r="AZ1191" t="inlineStr">
        <is>
          <t>BOOK</t>
        </is>
      </c>
      <c r="BB1191" t="inlineStr">
        <is>
          <t>9780683037647</t>
        </is>
      </c>
      <c r="BC1191" t="inlineStr">
        <is>
          <t>32285000034149</t>
        </is>
      </c>
      <c r="BD1191" t="inlineStr">
        <is>
          <t>893244388</t>
        </is>
      </c>
    </row>
    <row r="1192">
      <c r="A1192" t="inlineStr">
        <is>
          <t>No</t>
        </is>
      </c>
      <c r="B1192" t="inlineStr">
        <is>
          <t>RC556 .H37</t>
        </is>
      </c>
      <c r="C1192" t="inlineStr">
        <is>
          <t>0                      RC 0556000H  37</t>
        </is>
      </c>
      <c r="D1192" t="inlineStr">
        <is>
          <t>Treatment of sexual dysfunction; a bio-psycho-social approach [by] William E. Hartman [and] Marilyn A. Fithian.</t>
        </is>
      </c>
      <c r="F1192" t="inlineStr">
        <is>
          <t>No</t>
        </is>
      </c>
      <c r="G1192" t="inlineStr">
        <is>
          <t>1</t>
        </is>
      </c>
      <c r="H1192" t="inlineStr">
        <is>
          <t>No</t>
        </is>
      </c>
      <c r="I1192" t="inlineStr">
        <is>
          <t>No</t>
        </is>
      </c>
      <c r="J1192" t="inlineStr">
        <is>
          <t>0</t>
        </is>
      </c>
      <c r="K1192" t="inlineStr">
        <is>
          <t>Hartman, William E., 1919-</t>
        </is>
      </c>
      <c r="L1192" t="inlineStr">
        <is>
          <t>Long Beach, Calif., Center for Marital and Sexual Studies, [1972]</t>
        </is>
      </c>
      <c r="M1192" t="inlineStr">
        <is>
          <t>1972</t>
        </is>
      </c>
      <c r="N1192" t="inlineStr">
        <is>
          <t>[1st ed.]</t>
        </is>
      </c>
      <c r="O1192" t="inlineStr">
        <is>
          <t>eng</t>
        </is>
      </c>
      <c r="P1192" t="inlineStr">
        <is>
          <t>cau</t>
        </is>
      </c>
      <c r="R1192" t="inlineStr">
        <is>
          <t xml:space="preserve">RC </t>
        </is>
      </c>
      <c r="S1192" t="n">
        <v>5</v>
      </c>
      <c r="T1192" t="n">
        <v>5</v>
      </c>
      <c r="U1192" t="inlineStr">
        <is>
          <t>2009-10-15</t>
        </is>
      </c>
      <c r="V1192" t="inlineStr">
        <is>
          <t>2009-10-15</t>
        </is>
      </c>
      <c r="W1192" t="inlineStr">
        <is>
          <t>1997-08-12</t>
        </is>
      </c>
      <c r="X1192" t="inlineStr">
        <is>
          <t>1997-08-12</t>
        </is>
      </c>
      <c r="Y1192" t="n">
        <v>184</v>
      </c>
      <c r="Z1192" t="n">
        <v>167</v>
      </c>
      <c r="AA1192" t="n">
        <v>169</v>
      </c>
      <c r="AB1192" t="n">
        <v>2</v>
      </c>
      <c r="AC1192" t="n">
        <v>2</v>
      </c>
      <c r="AD1192" t="n">
        <v>5</v>
      </c>
      <c r="AE1192" t="n">
        <v>5</v>
      </c>
      <c r="AF1192" t="n">
        <v>2</v>
      </c>
      <c r="AG1192" t="n">
        <v>2</v>
      </c>
      <c r="AH1192" t="n">
        <v>0</v>
      </c>
      <c r="AI1192" t="n">
        <v>0</v>
      </c>
      <c r="AJ1192" t="n">
        <v>3</v>
      </c>
      <c r="AK1192" t="n">
        <v>3</v>
      </c>
      <c r="AL1192" t="n">
        <v>1</v>
      </c>
      <c r="AM1192" t="n">
        <v>1</v>
      </c>
      <c r="AN1192" t="n">
        <v>0</v>
      </c>
      <c r="AO1192" t="n">
        <v>0</v>
      </c>
      <c r="AP1192" t="inlineStr">
        <is>
          <t>No</t>
        </is>
      </c>
      <c r="AQ1192" t="inlineStr">
        <is>
          <t>Yes</t>
        </is>
      </c>
      <c r="AR1192">
        <f>HYPERLINK("http://catalog.hathitrust.org/Record/004422615","HathiTrust Record")</f>
        <v/>
      </c>
      <c r="AS1192">
        <f>HYPERLINK("https://creighton-primo.hosted.exlibrisgroup.com/primo-explore/search?tab=default_tab&amp;search_scope=EVERYTHING&amp;vid=01CRU&amp;lang=en_US&amp;offset=0&amp;query=any,contains,991002953219702656","Catalog Record")</f>
        <v/>
      </c>
      <c r="AT1192">
        <f>HYPERLINK("http://www.worldcat.org/oclc/540046","WorldCat Record")</f>
        <v/>
      </c>
      <c r="AU1192" t="inlineStr">
        <is>
          <t>9021011608:eng</t>
        </is>
      </c>
      <c r="AV1192" t="inlineStr">
        <is>
          <t>540046</t>
        </is>
      </c>
      <c r="AW1192" t="inlineStr">
        <is>
          <t>991002953219702656</t>
        </is>
      </c>
      <c r="AX1192" t="inlineStr">
        <is>
          <t>991002953219702656</t>
        </is>
      </c>
      <c r="AY1192" t="inlineStr">
        <is>
          <t>2270252750002656</t>
        </is>
      </c>
      <c r="AZ1192" t="inlineStr">
        <is>
          <t>BOOK</t>
        </is>
      </c>
      <c r="BB1192" t="inlineStr">
        <is>
          <t>9780960062614</t>
        </is>
      </c>
      <c r="BC1192" t="inlineStr">
        <is>
          <t>32285003092508</t>
        </is>
      </c>
      <c r="BD1192" t="inlineStr">
        <is>
          <t>893809745</t>
        </is>
      </c>
    </row>
    <row r="1193">
      <c r="A1193" t="inlineStr">
        <is>
          <t>No</t>
        </is>
      </c>
      <c r="B1193" t="inlineStr">
        <is>
          <t>RC556 .H67 1987</t>
        </is>
      </c>
      <c r="C1193" t="inlineStr">
        <is>
          <t>0                      RC 0556000H  67          1987</t>
        </is>
      </c>
      <c r="D1193" t="inlineStr">
        <is>
          <t>Hope &amp; recovery : a twelve step guide to healing from compulsive sexual behavior.</t>
        </is>
      </c>
      <c r="F1193" t="inlineStr">
        <is>
          <t>No</t>
        </is>
      </c>
      <c r="G1193" t="inlineStr">
        <is>
          <t>1</t>
        </is>
      </c>
      <c r="H1193" t="inlineStr">
        <is>
          <t>No</t>
        </is>
      </c>
      <c r="I1193" t="inlineStr">
        <is>
          <t>No</t>
        </is>
      </c>
      <c r="J1193" t="inlineStr">
        <is>
          <t>0</t>
        </is>
      </c>
      <c r="L1193" t="inlineStr">
        <is>
          <t>Minneapolis, Minn. : CompCare Publishers, c1987.</t>
        </is>
      </c>
      <c r="M1193" t="inlineStr">
        <is>
          <t>1987</t>
        </is>
      </c>
      <c r="O1193" t="inlineStr">
        <is>
          <t>eng</t>
        </is>
      </c>
      <c r="P1193" t="inlineStr">
        <is>
          <t>mnu</t>
        </is>
      </c>
      <c r="R1193" t="inlineStr">
        <is>
          <t xml:space="preserve">RC </t>
        </is>
      </c>
      <c r="S1193" t="n">
        <v>9</v>
      </c>
      <c r="T1193" t="n">
        <v>9</v>
      </c>
      <c r="U1193" t="inlineStr">
        <is>
          <t>2009-10-15</t>
        </is>
      </c>
      <c r="V1193" t="inlineStr">
        <is>
          <t>2009-10-15</t>
        </is>
      </c>
      <c r="W1193" t="inlineStr">
        <is>
          <t>1991-10-28</t>
        </is>
      </c>
      <c r="X1193" t="inlineStr">
        <is>
          <t>1991-10-28</t>
        </is>
      </c>
      <c r="Y1193" t="n">
        <v>175</v>
      </c>
      <c r="Z1193" t="n">
        <v>167</v>
      </c>
      <c r="AA1193" t="n">
        <v>580</v>
      </c>
      <c r="AB1193" t="n">
        <v>2</v>
      </c>
      <c r="AC1193" t="n">
        <v>2</v>
      </c>
      <c r="AD1193" t="n">
        <v>3</v>
      </c>
      <c r="AE1193" t="n">
        <v>9</v>
      </c>
      <c r="AF1193" t="n">
        <v>1</v>
      </c>
      <c r="AG1193" t="n">
        <v>5</v>
      </c>
      <c r="AH1193" t="n">
        <v>0</v>
      </c>
      <c r="AI1193" t="n">
        <v>2</v>
      </c>
      <c r="AJ1193" t="n">
        <v>3</v>
      </c>
      <c r="AK1193" t="n">
        <v>5</v>
      </c>
      <c r="AL1193" t="n">
        <v>0</v>
      </c>
      <c r="AM1193" t="n">
        <v>0</v>
      </c>
      <c r="AN1193" t="n">
        <v>0</v>
      </c>
      <c r="AO1193" t="n">
        <v>0</v>
      </c>
      <c r="AP1193" t="inlineStr">
        <is>
          <t>No</t>
        </is>
      </c>
      <c r="AQ1193" t="inlineStr">
        <is>
          <t>No</t>
        </is>
      </c>
      <c r="AS1193">
        <f>HYPERLINK("https://creighton-primo.hosted.exlibrisgroup.com/primo-explore/search?tab=default_tab&amp;search_scope=EVERYTHING&amp;vid=01CRU&amp;lang=en_US&amp;offset=0&amp;query=any,contains,991001024119702656","Catalog Record")</f>
        <v/>
      </c>
      <c r="AT1193">
        <f>HYPERLINK("http://www.worldcat.org/oclc/15427554","WorldCat Record")</f>
        <v/>
      </c>
      <c r="AU1193" t="inlineStr">
        <is>
          <t>55871660:eng</t>
        </is>
      </c>
      <c r="AV1193" t="inlineStr">
        <is>
          <t>15427554</t>
        </is>
      </c>
      <c r="AW1193" t="inlineStr">
        <is>
          <t>991001024119702656</t>
        </is>
      </c>
      <c r="AX1193" t="inlineStr">
        <is>
          <t>991001024119702656</t>
        </is>
      </c>
      <c r="AY1193" t="inlineStr">
        <is>
          <t>2262269110002656</t>
        </is>
      </c>
      <c r="AZ1193" t="inlineStr">
        <is>
          <t>BOOK</t>
        </is>
      </c>
      <c r="BB1193" t="inlineStr">
        <is>
          <t>9780896381025</t>
        </is>
      </c>
      <c r="BC1193" t="inlineStr">
        <is>
          <t>32285000802032</t>
        </is>
      </c>
      <c r="BD1193" t="inlineStr">
        <is>
          <t>893237814</t>
        </is>
      </c>
    </row>
    <row r="1194">
      <c r="A1194" t="inlineStr">
        <is>
          <t>No</t>
        </is>
      </c>
      <c r="B1194" t="inlineStr">
        <is>
          <t>RC556 .K319 1979</t>
        </is>
      </c>
      <c r="C1194" t="inlineStr">
        <is>
          <t>0                      RC 0556000K  319         1979</t>
        </is>
      </c>
      <c r="D1194" t="inlineStr">
        <is>
          <t>Disorders of sexual desire and other new concepts and techniques in sex therapy / Helen Singer Kaplan.</t>
        </is>
      </c>
      <c r="F1194" t="inlineStr">
        <is>
          <t>No</t>
        </is>
      </c>
      <c r="G1194" t="inlineStr">
        <is>
          <t>1</t>
        </is>
      </c>
      <c r="H1194" t="inlineStr">
        <is>
          <t>No</t>
        </is>
      </c>
      <c r="I1194" t="inlineStr">
        <is>
          <t>No</t>
        </is>
      </c>
      <c r="J1194" t="inlineStr">
        <is>
          <t>0</t>
        </is>
      </c>
      <c r="K1194" t="inlineStr">
        <is>
          <t>Kaplan, Helen Singer, 1929-1995.</t>
        </is>
      </c>
      <c r="L1194" t="inlineStr">
        <is>
          <t>New York : Simon and Schuster, c1979.</t>
        </is>
      </c>
      <c r="M1194" t="inlineStr">
        <is>
          <t>1979</t>
        </is>
      </c>
      <c r="O1194" t="inlineStr">
        <is>
          <t>eng</t>
        </is>
      </c>
      <c r="P1194" t="inlineStr">
        <is>
          <t>nyu</t>
        </is>
      </c>
      <c r="R1194" t="inlineStr">
        <is>
          <t xml:space="preserve">RC </t>
        </is>
      </c>
      <c r="S1194" t="n">
        <v>16</v>
      </c>
      <c r="T1194" t="n">
        <v>16</v>
      </c>
      <c r="U1194" t="inlineStr">
        <is>
          <t>2005-03-16</t>
        </is>
      </c>
      <c r="V1194" t="inlineStr">
        <is>
          <t>2005-03-16</t>
        </is>
      </c>
      <c r="W1194" t="inlineStr">
        <is>
          <t>1993-03-23</t>
        </is>
      </c>
      <c r="X1194" t="inlineStr">
        <is>
          <t>1993-03-23</t>
        </is>
      </c>
      <c r="Y1194" t="n">
        <v>459</v>
      </c>
      <c r="Z1194" t="n">
        <v>404</v>
      </c>
      <c r="AA1194" t="n">
        <v>625</v>
      </c>
      <c r="AB1194" t="n">
        <v>4</v>
      </c>
      <c r="AC1194" t="n">
        <v>5</v>
      </c>
      <c r="AD1194" t="n">
        <v>16</v>
      </c>
      <c r="AE1194" t="n">
        <v>27</v>
      </c>
      <c r="AF1194" t="n">
        <v>5</v>
      </c>
      <c r="AG1194" t="n">
        <v>12</v>
      </c>
      <c r="AH1194" t="n">
        <v>4</v>
      </c>
      <c r="AI1194" t="n">
        <v>6</v>
      </c>
      <c r="AJ1194" t="n">
        <v>8</v>
      </c>
      <c r="AK1194" t="n">
        <v>14</v>
      </c>
      <c r="AL1194" t="n">
        <v>2</v>
      </c>
      <c r="AM1194" t="n">
        <v>2</v>
      </c>
      <c r="AN1194" t="n">
        <v>0</v>
      </c>
      <c r="AO1194" t="n">
        <v>0</v>
      </c>
      <c r="AP1194" t="inlineStr">
        <is>
          <t>No</t>
        </is>
      </c>
      <c r="AQ1194" t="inlineStr">
        <is>
          <t>Yes</t>
        </is>
      </c>
      <c r="AR1194">
        <f>HYPERLINK("http://catalog.hathitrust.org/Record/000695040","HathiTrust Record")</f>
        <v/>
      </c>
      <c r="AS1194">
        <f>HYPERLINK("https://creighton-primo.hosted.exlibrisgroup.com/primo-explore/search?tab=default_tab&amp;search_scope=EVERYTHING&amp;vid=01CRU&amp;lang=en_US&amp;offset=0&amp;query=any,contains,991004932149702656","Catalog Record")</f>
        <v/>
      </c>
      <c r="AT1194">
        <f>HYPERLINK("http://www.worldcat.org/oclc/6105673","WorldCat Record")</f>
        <v/>
      </c>
      <c r="AU1194" t="inlineStr">
        <is>
          <t>12454846:eng</t>
        </is>
      </c>
      <c r="AV1194" t="inlineStr">
        <is>
          <t>6105673</t>
        </is>
      </c>
      <c r="AW1194" t="inlineStr">
        <is>
          <t>991004932149702656</t>
        </is>
      </c>
      <c r="AX1194" t="inlineStr">
        <is>
          <t>991004932149702656</t>
        </is>
      </c>
      <c r="AY1194" t="inlineStr">
        <is>
          <t>2259246360002656</t>
        </is>
      </c>
      <c r="AZ1194" t="inlineStr">
        <is>
          <t>BOOK</t>
        </is>
      </c>
      <c r="BB1194" t="inlineStr">
        <is>
          <t>9780671253622</t>
        </is>
      </c>
      <c r="BC1194" t="inlineStr">
        <is>
          <t>32285001607430</t>
        </is>
      </c>
      <c r="BD1194" t="inlineStr">
        <is>
          <t>893612920</t>
        </is>
      </c>
    </row>
    <row r="1195">
      <c r="A1195" t="inlineStr">
        <is>
          <t>No</t>
        </is>
      </c>
      <c r="B1195" t="inlineStr">
        <is>
          <t>RC556 .K3193 1983</t>
        </is>
      </c>
      <c r="C1195" t="inlineStr">
        <is>
          <t>0                      RC 0556000K  3193        1983</t>
        </is>
      </c>
      <c r="D1195" t="inlineStr">
        <is>
          <t>The evaluation of sexual disorders : psychological and medical aspects / Helen Singer Kaplan ; with chapters by Melvin Horwith ... [et al.].</t>
        </is>
      </c>
      <c r="F1195" t="inlineStr">
        <is>
          <t>No</t>
        </is>
      </c>
      <c r="G1195" t="inlineStr">
        <is>
          <t>1</t>
        </is>
      </c>
      <c r="H1195" t="inlineStr">
        <is>
          <t>Yes</t>
        </is>
      </c>
      <c r="I1195" t="inlineStr">
        <is>
          <t>No</t>
        </is>
      </c>
      <c r="J1195" t="inlineStr">
        <is>
          <t>0</t>
        </is>
      </c>
      <c r="K1195" t="inlineStr">
        <is>
          <t>Kaplan, Helen Singer, 1929-1995.</t>
        </is>
      </c>
      <c r="L1195" t="inlineStr">
        <is>
          <t>New York : Brunner/Mazel, c1983.</t>
        </is>
      </c>
      <c r="M1195" t="inlineStr">
        <is>
          <t>1983</t>
        </is>
      </c>
      <c r="O1195" t="inlineStr">
        <is>
          <t>eng</t>
        </is>
      </c>
      <c r="P1195" t="inlineStr">
        <is>
          <t>nyu</t>
        </is>
      </c>
      <c r="R1195" t="inlineStr">
        <is>
          <t xml:space="preserve">RC </t>
        </is>
      </c>
      <c r="S1195" t="n">
        <v>14</v>
      </c>
      <c r="T1195" t="n">
        <v>14</v>
      </c>
      <c r="U1195" t="inlineStr">
        <is>
          <t>2005-03-16</t>
        </is>
      </c>
      <c r="V1195" t="inlineStr">
        <is>
          <t>2005-03-16</t>
        </is>
      </c>
      <c r="W1195" t="inlineStr">
        <is>
          <t>1992-04-09</t>
        </is>
      </c>
      <c r="X1195" t="inlineStr">
        <is>
          <t>1992-04-09</t>
        </is>
      </c>
      <c r="Y1195" t="n">
        <v>414</v>
      </c>
      <c r="Z1195" t="n">
        <v>350</v>
      </c>
      <c r="AA1195" t="n">
        <v>358</v>
      </c>
      <c r="AB1195" t="n">
        <v>2</v>
      </c>
      <c r="AC1195" t="n">
        <v>2</v>
      </c>
      <c r="AD1195" t="n">
        <v>13</v>
      </c>
      <c r="AE1195" t="n">
        <v>13</v>
      </c>
      <c r="AF1195" t="n">
        <v>6</v>
      </c>
      <c r="AG1195" t="n">
        <v>6</v>
      </c>
      <c r="AH1195" t="n">
        <v>1</v>
      </c>
      <c r="AI1195" t="n">
        <v>1</v>
      </c>
      <c r="AJ1195" t="n">
        <v>10</v>
      </c>
      <c r="AK1195" t="n">
        <v>10</v>
      </c>
      <c r="AL1195" t="n">
        <v>0</v>
      </c>
      <c r="AM1195" t="n">
        <v>0</v>
      </c>
      <c r="AN1195" t="n">
        <v>0</v>
      </c>
      <c r="AO1195" t="n">
        <v>0</v>
      </c>
      <c r="AP1195" t="inlineStr">
        <is>
          <t>No</t>
        </is>
      </c>
      <c r="AQ1195" t="inlineStr">
        <is>
          <t>Yes</t>
        </is>
      </c>
      <c r="AR1195">
        <f>HYPERLINK("http://catalog.hathitrust.org/Record/000276549","HathiTrust Record")</f>
        <v/>
      </c>
      <c r="AS1195">
        <f>HYPERLINK("https://creighton-primo.hosted.exlibrisgroup.com/primo-explore/search?tab=default_tab&amp;search_scope=EVERYTHING&amp;vid=01CRU&amp;lang=en_US&amp;offset=0&amp;query=any,contains,991000164699702656","Catalog Record")</f>
        <v/>
      </c>
      <c r="AT1195">
        <f>HYPERLINK("http://www.worldcat.org/oclc/9282538","WorldCat Record")</f>
        <v/>
      </c>
      <c r="AU1195" t="inlineStr">
        <is>
          <t>929818:eng</t>
        </is>
      </c>
      <c r="AV1195" t="inlineStr">
        <is>
          <t>9282538</t>
        </is>
      </c>
      <c r="AW1195" t="inlineStr">
        <is>
          <t>991000164699702656</t>
        </is>
      </c>
      <c r="AX1195" t="inlineStr">
        <is>
          <t>991000164699702656</t>
        </is>
      </c>
      <c r="AY1195" t="inlineStr">
        <is>
          <t>2259972350002656</t>
        </is>
      </c>
      <c r="AZ1195" t="inlineStr">
        <is>
          <t>BOOK</t>
        </is>
      </c>
      <c r="BB1195" t="inlineStr">
        <is>
          <t>9780876302101</t>
        </is>
      </c>
      <c r="BC1195" t="inlineStr">
        <is>
          <t>32285001066595</t>
        </is>
      </c>
      <c r="BD1195" t="inlineStr">
        <is>
          <t>893689486</t>
        </is>
      </c>
    </row>
    <row r="1196">
      <c r="A1196" t="inlineStr">
        <is>
          <t>No</t>
        </is>
      </c>
      <c r="B1196" t="inlineStr">
        <is>
          <t>RC556 .K33</t>
        </is>
      </c>
      <c r="C1196" t="inlineStr">
        <is>
          <t>0                      RC 0556000K  33</t>
        </is>
      </c>
      <c r="D1196" t="inlineStr">
        <is>
          <t>The new sex therapy : active treatment of sexual dysfunctions.</t>
        </is>
      </c>
      <c r="F1196" t="inlineStr">
        <is>
          <t>No</t>
        </is>
      </c>
      <c r="G1196" t="inlineStr">
        <is>
          <t>1</t>
        </is>
      </c>
      <c r="H1196" t="inlineStr">
        <is>
          <t>No</t>
        </is>
      </c>
      <c r="I1196" t="inlineStr">
        <is>
          <t>No</t>
        </is>
      </c>
      <c r="J1196" t="inlineStr">
        <is>
          <t>0</t>
        </is>
      </c>
      <c r="K1196" t="inlineStr">
        <is>
          <t>Kaplan, Helen Singer, 1929-1995.</t>
        </is>
      </c>
      <c r="L1196" t="inlineStr">
        <is>
          <t>New York : Brunner/Mazel, [1974]</t>
        </is>
      </c>
      <c r="M1196" t="inlineStr">
        <is>
          <t>1974</t>
        </is>
      </c>
      <c r="O1196" t="inlineStr">
        <is>
          <t>eng</t>
        </is>
      </c>
      <c r="P1196" t="inlineStr">
        <is>
          <t>nyu</t>
        </is>
      </c>
      <c r="R1196" t="inlineStr">
        <is>
          <t xml:space="preserve">RC </t>
        </is>
      </c>
      <c r="S1196" t="n">
        <v>8</v>
      </c>
      <c r="T1196" t="n">
        <v>8</v>
      </c>
      <c r="U1196" t="inlineStr">
        <is>
          <t>1996-04-12</t>
        </is>
      </c>
      <c r="V1196" t="inlineStr">
        <is>
          <t>1996-04-12</t>
        </is>
      </c>
      <c r="W1196" t="inlineStr">
        <is>
          <t>1992-09-14</t>
        </is>
      </c>
      <c r="X1196" t="inlineStr">
        <is>
          <t>1992-09-14</t>
        </is>
      </c>
      <c r="Y1196" t="n">
        <v>883</v>
      </c>
      <c r="Z1196" t="n">
        <v>778</v>
      </c>
      <c r="AA1196" t="n">
        <v>879</v>
      </c>
      <c r="AB1196" t="n">
        <v>9</v>
      </c>
      <c r="AC1196" t="n">
        <v>10</v>
      </c>
      <c r="AD1196" t="n">
        <v>31</v>
      </c>
      <c r="AE1196" t="n">
        <v>32</v>
      </c>
      <c r="AF1196" t="n">
        <v>11</v>
      </c>
      <c r="AG1196" t="n">
        <v>12</v>
      </c>
      <c r="AH1196" t="n">
        <v>5</v>
      </c>
      <c r="AI1196" t="n">
        <v>5</v>
      </c>
      <c r="AJ1196" t="n">
        <v>17</v>
      </c>
      <c r="AK1196" t="n">
        <v>18</v>
      </c>
      <c r="AL1196" t="n">
        <v>6</v>
      </c>
      <c r="AM1196" t="n">
        <v>6</v>
      </c>
      <c r="AN1196" t="n">
        <v>0</v>
      </c>
      <c r="AO1196" t="n">
        <v>0</v>
      </c>
      <c r="AP1196" t="inlineStr">
        <is>
          <t>No</t>
        </is>
      </c>
      <c r="AQ1196" t="inlineStr">
        <is>
          <t>No</t>
        </is>
      </c>
      <c r="AS1196">
        <f>HYPERLINK("https://creighton-primo.hosted.exlibrisgroup.com/primo-explore/search?tab=default_tab&amp;search_scope=EVERYTHING&amp;vid=01CRU&amp;lang=en_US&amp;offset=0&amp;query=any,contains,991003495039702656","Catalog Record")</f>
        <v/>
      </c>
      <c r="AT1196">
        <f>HYPERLINK("http://www.worldcat.org/oclc/1045894","WorldCat Record")</f>
        <v/>
      </c>
      <c r="AU1196" t="inlineStr">
        <is>
          <t>2999298500:eng</t>
        </is>
      </c>
      <c r="AV1196" t="inlineStr">
        <is>
          <t>1045894</t>
        </is>
      </c>
      <c r="AW1196" t="inlineStr">
        <is>
          <t>991003495039702656</t>
        </is>
      </c>
      <c r="AX1196" t="inlineStr">
        <is>
          <t>991003495039702656</t>
        </is>
      </c>
      <c r="AY1196" t="inlineStr">
        <is>
          <t>2268753660002656</t>
        </is>
      </c>
      <c r="AZ1196" t="inlineStr">
        <is>
          <t>BOOK</t>
        </is>
      </c>
      <c r="BB1196" t="inlineStr">
        <is>
          <t>9780876300831</t>
        </is>
      </c>
      <c r="BC1196" t="inlineStr">
        <is>
          <t>32285001299865</t>
        </is>
      </c>
      <c r="BD1196" t="inlineStr">
        <is>
          <t>893524866</t>
        </is>
      </c>
    </row>
    <row r="1197">
      <c r="A1197" t="inlineStr">
        <is>
          <t>No</t>
        </is>
      </c>
      <c r="B1197" t="inlineStr">
        <is>
          <t>RC556 .M394 1993</t>
        </is>
      </c>
      <c r="C1197" t="inlineStr">
        <is>
          <t>0                      RC 0556000M  394         1993</t>
        </is>
      </c>
      <c r="D1197" t="inlineStr">
        <is>
          <t>Sexual behavior : problems and management / Nathaniel McConaghy.</t>
        </is>
      </c>
      <c r="F1197" t="inlineStr">
        <is>
          <t>No</t>
        </is>
      </c>
      <c r="G1197" t="inlineStr">
        <is>
          <t>1</t>
        </is>
      </c>
      <c r="H1197" t="inlineStr">
        <is>
          <t>No</t>
        </is>
      </c>
      <c r="I1197" t="inlineStr">
        <is>
          <t>No</t>
        </is>
      </c>
      <c r="J1197" t="inlineStr">
        <is>
          <t>0</t>
        </is>
      </c>
      <c r="K1197" t="inlineStr">
        <is>
          <t>McConaghy, Nathaniel.</t>
        </is>
      </c>
      <c r="L1197" t="inlineStr">
        <is>
          <t>New York : Plenum Press, c1993.</t>
        </is>
      </c>
      <c r="M1197" t="inlineStr">
        <is>
          <t>1993</t>
        </is>
      </c>
      <c r="O1197" t="inlineStr">
        <is>
          <t>eng</t>
        </is>
      </c>
      <c r="P1197" t="inlineStr">
        <is>
          <t>nyu</t>
        </is>
      </c>
      <c r="Q1197" t="inlineStr">
        <is>
          <t>Applied clinical psychology</t>
        </is>
      </c>
      <c r="R1197" t="inlineStr">
        <is>
          <t xml:space="preserve">RC </t>
        </is>
      </c>
      <c r="S1197" t="n">
        <v>24</v>
      </c>
      <c r="T1197" t="n">
        <v>24</v>
      </c>
      <c r="U1197" t="inlineStr">
        <is>
          <t>2009-11-17</t>
        </is>
      </c>
      <c r="V1197" t="inlineStr">
        <is>
          <t>2009-11-17</t>
        </is>
      </c>
      <c r="W1197" t="inlineStr">
        <is>
          <t>1994-11-07</t>
        </is>
      </c>
      <c r="X1197" t="inlineStr">
        <is>
          <t>1994-11-07</t>
        </is>
      </c>
      <c r="Y1197" t="n">
        <v>213</v>
      </c>
      <c r="Z1197" t="n">
        <v>143</v>
      </c>
      <c r="AA1197" t="n">
        <v>160</v>
      </c>
      <c r="AB1197" t="n">
        <v>2</v>
      </c>
      <c r="AC1197" t="n">
        <v>2</v>
      </c>
      <c r="AD1197" t="n">
        <v>6</v>
      </c>
      <c r="AE1197" t="n">
        <v>6</v>
      </c>
      <c r="AF1197" t="n">
        <v>2</v>
      </c>
      <c r="AG1197" t="n">
        <v>2</v>
      </c>
      <c r="AH1197" t="n">
        <v>2</v>
      </c>
      <c r="AI1197" t="n">
        <v>2</v>
      </c>
      <c r="AJ1197" t="n">
        <v>2</v>
      </c>
      <c r="AK1197" t="n">
        <v>2</v>
      </c>
      <c r="AL1197" t="n">
        <v>1</v>
      </c>
      <c r="AM1197" t="n">
        <v>1</v>
      </c>
      <c r="AN1197" t="n">
        <v>0</v>
      </c>
      <c r="AO1197" t="n">
        <v>0</v>
      </c>
      <c r="AP1197" t="inlineStr">
        <is>
          <t>No</t>
        </is>
      </c>
      <c r="AQ1197" t="inlineStr">
        <is>
          <t>No</t>
        </is>
      </c>
      <c r="AS1197">
        <f>HYPERLINK("https://creighton-primo.hosted.exlibrisgroup.com/primo-explore/search?tab=default_tab&amp;search_scope=EVERYTHING&amp;vid=01CRU&amp;lang=en_US&amp;offset=0&amp;query=any,contains,991005416239702656","Catalog Record")</f>
        <v/>
      </c>
      <c r="AT1197">
        <f>HYPERLINK("http://www.worldcat.org/oclc/27186681","WorldCat Record")</f>
        <v/>
      </c>
      <c r="AU1197" t="inlineStr">
        <is>
          <t>836899024:eng</t>
        </is>
      </c>
      <c r="AV1197" t="inlineStr">
        <is>
          <t>27186681</t>
        </is>
      </c>
      <c r="AW1197" t="inlineStr">
        <is>
          <t>991005416239702656</t>
        </is>
      </c>
      <c r="AX1197" t="inlineStr">
        <is>
          <t>991005416239702656</t>
        </is>
      </c>
      <c r="AY1197" t="inlineStr">
        <is>
          <t>2270404780002656</t>
        </is>
      </c>
      <c r="AZ1197" t="inlineStr">
        <is>
          <t>BOOK</t>
        </is>
      </c>
      <c r="BB1197" t="inlineStr">
        <is>
          <t>9780306441776</t>
        </is>
      </c>
      <c r="BC1197" t="inlineStr">
        <is>
          <t>32285001956431</t>
        </is>
      </c>
      <c r="BD1197" t="inlineStr">
        <is>
          <t>893261126</t>
        </is>
      </c>
    </row>
    <row r="1198">
      <c r="A1198" t="inlineStr">
        <is>
          <t>No</t>
        </is>
      </c>
      <c r="B1198" t="inlineStr">
        <is>
          <t>RC556 .O33</t>
        </is>
      </c>
      <c r="C1198" t="inlineStr">
        <is>
          <t>0                      RC 0556000O  33</t>
        </is>
      </c>
      <c r="D1198" t="inlineStr">
        <is>
          <t>The sexual self / Avodah K. Offit.</t>
        </is>
      </c>
      <c r="F1198" t="inlineStr">
        <is>
          <t>No</t>
        </is>
      </c>
      <c r="G1198" t="inlineStr">
        <is>
          <t>1</t>
        </is>
      </c>
      <c r="H1198" t="inlineStr">
        <is>
          <t>No</t>
        </is>
      </c>
      <c r="I1198" t="inlineStr">
        <is>
          <t>No</t>
        </is>
      </c>
      <c r="J1198" t="inlineStr">
        <is>
          <t>0</t>
        </is>
      </c>
      <c r="K1198" t="inlineStr">
        <is>
          <t>Offit, Avodah K.</t>
        </is>
      </c>
      <c r="L1198" t="inlineStr">
        <is>
          <t>Philadelphia : Lippincott, c1977.</t>
        </is>
      </c>
      <c r="M1198" t="inlineStr">
        <is>
          <t>1977</t>
        </is>
      </c>
      <c r="N1198" t="inlineStr">
        <is>
          <t>1st ed.</t>
        </is>
      </c>
      <c r="O1198" t="inlineStr">
        <is>
          <t>eng</t>
        </is>
      </c>
      <c r="P1198" t="inlineStr">
        <is>
          <t>pau</t>
        </is>
      </c>
      <c r="R1198" t="inlineStr">
        <is>
          <t xml:space="preserve">RC </t>
        </is>
      </c>
      <c r="S1198" t="n">
        <v>7</v>
      </c>
      <c r="T1198" t="n">
        <v>7</v>
      </c>
      <c r="U1198" t="inlineStr">
        <is>
          <t>2002-09-06</t>
        </is>
      </c>
      <c r="V1198" t="inlineStr">
        <is>
          <t>2002-09-06</t>
        </is>
      </c>
      <c r="W1198" t="inlineStr">
        <is>
          <t>1993-03-23</t>
        </is>
      </c>
      <c r="X1198" t="inlineStr">
        <is>
          <t>1993-03-23</t>
        </is>
      </c>
      <c r="Y1198" t="n">
        <v>377</v>
      </c>
      <c r="Z1198" t="n">
        <v>358</v>
      </c>
      <c r="AA1198" t="n">
        <v>494</v>
      </c>
      <c r="AB1198" t="n">
        <v>4</v>
      </c>
      <c r="AC1198" t="n">
        <v>4</v>
      </c>
      <c r="AD1198" t="n">
        <v>10</v>
      </c>
      <c r="AE1198" t="n">
        <v>13</v>
      </c>
      <c r="AF1198" t="n">
        <v>2</v>
      </c>
      <c r="AG1198" t="n">
        <v>4</v>
      </c>
      <c r="AH1198" t="n">
        <v>2</v>
      </c>
      <c r="AI1198" t="n">
        <v>3</v>
      </c>
      <c r="AJ1198" t="n">
        <v>5</v>
      </c>
      <c r="AK1198" t="n">
        <v>7</v>
      </c>
      <c r="AL1198" t="n">
        <v>3</v>
      </c>
      <c r="AM1198" t="n">
        <v>3</v>
      </c>
      <c r="AN1198" t="n">
        <v>0</v>
      </c>
      <c r="AO1198" t="n">
        <v>0</v>
      </c>
      <c r="AP1198" t="inlineStr">
        <is>
          <t>No</t>
        </is>
      </c>
      <c r="AQ1198" t="inlineStr">
        <is>
          <t>No</t>
        </is>
      </c>
      <c r="AS1198">
        <f>HYPERLINK("https://creighton-primo.hosted.exlibrisgroup.com/primo-explore/search?tab=default_tab&amp;search_scope=EVERYTHING&amp;vid=01CRU&amp;lang=en_US&amp;offset=0&amp;query=any,contains,991004157639702656","Catalog Record")</f>
        <v/>
      </c>
      <c r="AT1198">
        <f>HYPERLINK("http://www.worldcat.org/oclc/2542473","WorldCat Record")</f>
        <v/>
      </c>
      <c r="AU1198" t="inlineStr">
        <is>
          <t>2822090:eng</t>
        </is>
      </c>
      <c r="AV1198" t="inlineStr">
        <is>
          <t>2542473</t>
        </is>
      </c>
      <c r="AW1198" t="inlineStr">
        <is>
          <t>991004157639702656</t>
        </is>
      </c>
      <c r="AX1198" t="inlineStr">
        <is>
          <t>991004157639702656</t>
        </is>
      </c>
      <c r="AY1198" t="inlineStr">
        <is>
          <t>2272141660002656</t>
        </is>
      </c>
      <c r="AZ1198" t="inlineStr">
        <is>
          <t>BOOK</t>
        </is>
      </c>
      <c r="BB1198" t="inlineStr">
        <is>
          <t>9780397011254</t>
        </is>
      </c>
      <c r="BC1198" t="inlineStr">
        <is>
          <t>32285001607448</t>
        </is>
      </c>
      <c r="BD1198" t="inlineStr">
        <is>
          <t>893500185</t>
        </is>
      </c>
    </row>
    <row r="1199">
      <c r="A1199" t="inlineStr">
        <is>
          <t>No</t>
        </is>
      </c>
      <c r="B1199" t="inlineStr">
        <is>
          <t>RC556 .P65 1982</t>
        </is>
      </c>
      <c r="C1199" t="inlineStr">
        <is>
          <t>0                      RC 0556000P  65          1982</t>
        </is>
      </c>
      <c r="D1199" t="inlineStr">
        <is>
          <t>Taking a sex history : interviewing and recording / Wardell B. Pomeroy, Carol C. Flax, Connie Christine Wheeler.</t>
        </is>
      </c>
      <c r="F1199" t="inlineStr">
        <is>
          <t>No</t>
        </is>
      </c>
      <c r="G1199" t="inlineStr">
        <is>
          <t>1</t>
        </is>
      </c>
      <c r="H1199" t="inlineStr">
        <is>
          <t>No</t>
        </is>
      </c>
      <c r="I1199" t="inlineStr">
        <is>
          <t>No</t>
        </is>
      </c>
      <c r="J1199" t="inlineStr">
        <is>
          <t>0</t>
        </is>
      </c>
      <c r="K1199" t="inlineStr">
        <is>
          <t>Pomeroy, Wardell B. (Wardell Baxter), 1913-2001.</t>
        </is>
      </c>
      <c r="L1199" t="inlineStr">
        <is>
          <t>New York : Free Press ; London : Collier Macmillan, c1982.</t>
        </is>
      </c>
      <c r="M1199" t="inlineStr">
        <is>
          <t>1982</t>
        </is>
      </c>
      <c r="O1199" t="inlineStr">
        <is>
          <t>eng</t>
        </is>
      </c>
      <c r="P1199" t="inlineStr">
        <is>
          <t>nyu</t>
        </is>
      </c>
      <c r="R1199" t="inlineStr">
        <is>
          <t xml:space="preserve">RC </t>
        </is>
      </c>
      <c r="S1199" t="n">
        <v>1</v>
      </c>
      <c r="T1199" t="n">
        <v>1</v>
      </c>
      <c r="U1199" t="inlineStr">
        <is>
          <t>1993-07-23</t>
        </is>
      </c>
      <c r="V1199" t="inlineStr">
        <is>
          <t>1993-07-23</t>
        </is>
      </c>
      <c r="W1199" t="inlineStr">
        <is>
          <t>1993-03-23</t>
        </is>
      </c>
      <c r="X1199" t="inlineStr">
        <is>
          <t>1993-03-23</t>
        </is>
      </c>
      <c r="Y1199" t="n">
        <v>344</v>
      </c>
      <c r="Z1199" t="n">
        <v>289</v>
      </c>
      <c r="AA1199" t="n">
        <v>296</v>
      </c>
      <c r="AB1199" t="n">
        <v>3</v>
      </c>
      <c r="AC1199" t="n">
        <v>3</v>
      </c>
      <c r="AD1199" t="n">
        <v>14</v>
      </c>
      <c r="AE1199" t="n">
        <v>14</v>
      </c>
      <c r="AF1199" t="n">
        <v>5</v>
      </c>
      <c r="AG1199" t="n">
        <v>5</v>
      </c>
      <c r="AH1199" t="n">
        <v>4</v>
      </c>
      <c r="AI1199" t="n">
        <v>4</v>
      </c>
      <c r="AJ1199" t="n">
        <v>8</v>
      </c>
      <c r="AK1199" t="n">
        <v>8</v>
      </c>
      <c r="AL1199" t="n">
        <v>2</v>
      </c>
      <c r="AM1199" t="n">
        <v>2</v>
      </c>
      <c r="AN1199" t="n">
        <v>0</v>
      </c>
      <c r="AO1199" t="n">
        <v>0</v>
      </c>
      <c r="AP1199" t="inlineStr">
        <is>
          <t>No</t>
        </is>
      </c>
      <c r="AQ1199" t="inlineStr">
        <is>
          <t>Yes</t>
        </is>
      </c>
      <c r="AR1199">
        <f>HYPERLINK("http://catalog.hathitrust.org/Record/000269728","HathiTrust Record")</f>
        <v/>
      </c>
      <c r="AS1199">
        <f>HYPERLINK("https://creighton-primo.hosted.exlibrisgroup.com/primo-explore/search?tab=default_tab&amp;search_scope=EVERYTHING&amp;vid=01CRU&amp;lang=en_US&amp;offset=0&amp;query=any,contains,991005156679702656","Catalog Record")</f>
        <v/>
      </c>
      <c r="AT1199">
        <f>HYPERLINK("http://www.worldcat.org/oclc/7740805","WorldCat Record")</f>
        <v/>
      </c>
      <c r="AU1199" t="inlineStr">
        <is>
          <t>311922033:eng</t>
        </is>
      </c>
      <c r="AV1199" t="inlineStr">
        <is>
          <t>7740805</t>
        </is>
      </c>
      <c r="AW1199" t="inlineStr">
        <is>
          <t>991005156679702656</t>
        </is>
      </c>
      <c r="AX1199" t="inlineStr">
        <is>
          <t>991005156679702656</t>
        </is>
      </c>
      <c r="AY1199" t="inlineStr">
        <is>
          <t>2264217980002656</t>
        </is>
      </c>
      <c r="AZ1199" t="inlineStr">
        <is>
          <t>BOOK</t>
        </is>
      </c>
      <c r="BB1199" t="inlineStr">
        <is>
          <t>9780029253700</t>
        </is>
      </c>
      <c r="BC1199" t="inlineStr">
        <is>
          <t>32285001607455</t>
        </is>
      </c>
      <c r="BD1199" t="inlineStr">
        <is>
          <t>893895973</t>
        </is>
      </c>
    </row>
    <row r="1200">
      <c r="A1200" t="inlineStr">
        <is>
          <t>No</t>
        </is>
      </c>
      <c r="B1200" t="inlineStr">
        <is>
          <t>RC556 .P75 1975</t>
        </is>
      </c>
      <c r="C1200" t="inlineStr">
        <is>
          <t>0                      RC 0556000P  75          1975</t>
        </is>
      </c>
      <c r="D1200" t="inlineStr">
        <is>
          <t>Psycho-sexual problems : proceedings of the congress held at the University of Bradford 1974 / edited by Hugo Milne and Shirley J. Hardy.</t>
        </is>
      </c>
      <c r="F1200" t="inlineStr">
        <is>
          <t>No</t>
        </is>
      </c>
      <c r="G1200" t="inlineStr">
        <is>
          <t>1</t>
        </is>
      </c>
      <c r="H1200" t="inlineStr">
        <is>
          <t>No</t>
        </is>
      </c>
      <c r="I1200" t="inlineStr">
        <is>
          <t>No</t>
        </is>
      </c>
      <c r="J1200" t="inlineStr">
        <is>
          <t>0</t>
        </is>
      </c>
      <c r="L1200" t="inlineStr">
        <is>
          <t>Baltimore : University Park Press, c1975.</t>
        </is>
      </c>
      <c r="M1200" t="inlineStr">
        <is>
          <t>1975</t>
        </is>
      </c>
      <c r="O1200" t="inlineStr">
        <is>
          <t>eng</t>
        </is>
      </c>
      <c r="P1200" t="inlineStr">
        <is>
          <t>mdu</t>
        </is>
      </c>
      <c r="R1200" t="inlineStr">
        <is>
          <t xml:space="preserve">RC </t>
        </is>
      </c>
      <c r="S1200" t="n">
        <v>15</v>
      </c>
      <c r="T1200" t="n">
        <v>15</v>
      </c>
      <c r="U1200" t="inlineStr">
        <is>
          <t>2005-03-16</t>
        </is>
      </c>
      <c r="V1200" t="inlineStr">
        <is>
          <t>2005-03-16</t>
        </is>
      </c>
      <c r="W1200" t="inlineStr">
        <is>
          <t>1992-11-05</t>
        </is>
      </c>
      <c r="X1200" t="inlineStr">
        <is>
          <t>1992-11-05</t>
        </is>
      </c>
      <c r="Y1200" t="n">
        <v>243</v>
      </c>
      <c r="Z1200" t="n">
        <v>208</v>
      </c>
      <c r="AA1200" t="n">
        <v>226</v>
      </c>
      <c r="AB1200" t="n">
        <v>2</v>
      </c>
      <c r="AC1200" t="n">
        <v>3</v>
      </c>
      <c r="AD1200" t="n">
        <v>8</v>
      </c>
      <c r="AE1200" t="n">
        <v>10</v>
      </c>
      <c r="AF1200" t="n">
        <v>2</v>
      </c>
      <c r="AG1200" t="n">
        <v>2</v>
      </c>
      <c r="AH1200" t="n">
        <v>3</v>
      </c>
      <c r="AI1200" t="n">
        <v>3</v>
      </c>
      <c r="AJ1200" t="n">
        <v>6</v>
      </c>
      <c r="AK1200" t="n">
        <v>7</v>
      </c>
      <c r="AL1200" t="n">
        <v>1</v>
      </c>
      <c r="AM1200" t="n">
        <v>2</v>
      </c>
      <c r="AN1200" t="n">
        <v>0</v>
      </c>
      <c r="AO1200" t="n">
        <v>0</v>
      </c>
      <c r="AP1200" t="inlineStr">
        <is>
          <t>No</t>
        </is>
      </c>
      <c r="AQ1200" t="inlineStr">
        <is>
          <t>Yes</t>
        </is>
      </c>
      <c r="AR1200">
        <f>HYPERLINK("http://catalog.hathitrust.org/Record/004422627","HathiTrust Record")</f>
        <v/>
      </c>
      <c r="AS1200">
        <f>HYPERLINK("https://creighton-primo.hosted.exlibrisgroup.com/primo-explore/search?tab=default_tab&amp;search_scope=EVERYTHING&amp;vid=01CRU&amp;lang=en_US&amp;offset=0&amp;query=any,contains,991004035959702656","Catalog Record")</f>
        <v/>
      </c>
      <c r="AT1200">
        <f>HYPERLINK("http://www.worldcat.org/oclc/2170022","WorldCat Record")</f>
        <v/>
      </c>
      <c r="AU1200" t="inlineStr">
        <is>
          <t>902064908:eng</t>
        </is>
      </c>
      <c r="AV1200" t="inlineStr">
        <is>
          <t>2170022</t>
        </is>
      </c>
      <c r="AW1200" t="inlineStr">
        <is>
          <t>991004035959702656</t>
        </is>
      </c>
      <c r="AX1200" t="inlineStr">
        <is>
          <t>991004035959702656</t>
        </is>
      </c>
      <c r="AY1200" t="inlineStr">
        <is>
          <t>2262441210002656</t>
        </is>
      </c>
      <c r="AZ1200" t="inlineStr">
        <is>
          <t>BOOK</t>
        </is>
      </c>
      <c r="BB1200" t="inlineStr">
        <is>
          <t>9780839108986</t>
        </is>
      </c>
      <c r="BC1200" t="inlineStr">
        <is>
          <t>32285001380996</t>
        </is>
      </c>
      <c r="BD1200" t="inlineStr">
        <is>
          <t>893240936</t>
        </is>
      </c>
    </row>
    <row r="1201">
      <c r="A1201" t="inlineStr">
        <is>
          <t>No</t>
        </is>
      </c>
      <c r="B1201" t="inlineStr">
        <is>
          <t>RC556 .P76</t>
        </is>
      </c>
      <c r="C1201" t="inlineStr">
        <is>
          <t>0                      RC 0556000P  76</t>
        </is>
      </c>
      <c r="D1201" t="inlineStr">
        <is>
          <t>Psychosexual problems : psychotherapy, counselling and behavioural modification / edited by Sidney Crown.</t>
        </is>
      </c>
      <c r="F1201" t="inlineStr">
        <is>
          <t>No</t>
        </is>
      </c>
      <c r="G1201" t="inlineStr">
        <is>
          <t>1</t>
        </is>
      </c>
      <c r="H1201" t="inlineStr">
        <is>
          <t>No</t>
        </is>
      </c>
      <c r="I1201" t="inlineStr">
        <is>
          <t>No</t>
        </is>
      </c>
      <c r="J1201" t="inlineStr">
        <is>
          <t>0</t>
        </is>
      </c>
      <c r="L1201" t="inlineStr">
        <is>
          <t>London : Academic Press ; New York : Grune &amp; Stratton, 1976.</t>
        </is>
      </c>
      <c r="M1201" t="inlineStr">
        <is>
          <t>1976</t>
        </is>
      </c>
      <c r="O1201" t="inlineStr">
        <is>
          <t>eng</t>
        </is>
      </c>
      <c r="P1201" t="inlineStr">
        <is>
          <t>enk</t>
        </is>
      </c>
      <c r="R1201" t="inlineStr">
        <is>
          <t xml:space="preserve">RC </t>
        </is>
      </c>
      <c r="S1201" t="n">
        <v>10</v>
      </c>
      <c r="T1201" t="n">
        <v>10</v>
      </c>
      <c r="U1201" t="inlineStr">
        <is>
          <t>2005-03-16</t>
        </is>
      </c>
      <c r="V1201" t="inlineStr">
        <is>
          <t>2005-03-16</t>
        </is>
      </c>
      <c r="W1201" t="inlineStr">
        <is>
          <t>1992-04-11</t>
        </is>
      </c>
      <c r="X1201" t="inlineStr">
        <is>
          <t>1992-04-11</t>
        </is>
      </c>
      <c r="Y1201" t="n">
        <v>273</v>
      </c>
      <c r="Z1201" t="n">
        <v>165</v>
      </c>
      <c r="AA1201" t="n">
        <v>167</v>
      </c>
      <c r="AB1201" t="n">
        <v>2</v>
      </c>
      <c r="AC1201" t="n">
        <v>2</v>
      </c>
      <c r="AD1201" t="n">
        <v>6</v>
      </c>
      <c r="AE1201" t="n">
        <v>6</v>
      </c>
      <c r="AF1201" t="n">
        <v>2</v>
      </c>
      <c r="AG1201" t="n">
        <v>2</v>
      </c>
      <c r="AH1201" t="n">
        <v>2</v>
      </c>
      <c r="AI1201" t="n">
        <v>2</v>
      </c>
      <c r="AJ1201" t="n">
        <v>4</v>
      </c>
      <c r="AK1201" t="n">
        <v>4</v>
      </c>
      <c r="AL1201" t="n">
        <v>1</v>
      </c>
      <c r="AM1201" t="n">
        <v>1</v>
      </c>
      <c r="AN1201" t="n">
        <v>0</v>
      </c>
      <c r="AO1201" t="n">
        <v>0</v>
      </c>
      <c r="AP1201" t="inlineStr">
        <is>
          <t>No</t>
        </is>
      </c>
      <c r="AQ1201" t="inlineStr">
        <is>
          <t>Yes</t>
        </is>
      </c>
      <c r="AR1201">
        <f>HYPERLINK("http://catalog.hathitrust.org/Record/000210190","HathiTrust Record")</f>
        <v/>
      </c>
      <c r="AS1201">
        <f>HYPERLINK("https://creighton-primo.hosted.exlibrisgroup.com/primo-explore/search?tab=default_tab&amp;search_scope=EVERYTHING&amp;vid=01CRU&amp;lang=en_US&amp;offset=0&amp;query=any,contains,991004251519702656","Catalog Record")</f>
        <v/>
      </c>
      <c r="AT1201">
        <f>HYPERLINK("http://www.worldcat.org/oclc/2814489","WorldCat Record")</f>
        <v/>
      </c>
      <c r="AU1201" t="inlineStr">
        <is>
          <t>6166127:eng</t>
        </is>
      </c>
      <c r="AV1201" t="inlineStr">
        <is>
          <t>2814489</t>
        </is>
      </c>
      <c r="AW1201" t="inlineStr">
        <is>
          <t>991004251519702656</t>
        </is>
      </c>
      <c r="AX1201" t="inlineStr">
        <is>
          <t>991004251519702656</t>
        </is>
      </c>
      <c r="AY1201" t="inlineStr">
        <is>
          <t>2261460800002656</t>
        </is>
      </c>
      <c r="AZ1201" t="inlineStr">
        <is>
          <t>BOOK</t>
        </is>
      </c>
      <c r="BB1201" t="inlineStr">
        <is>
          <t>9780808909538</t>
        </is>
      </c>
      <c r="BC1201" t="inlineStr">
        <is>
          <t>32285001057941</t>
        </is>
      </c>
      <c r="BD1201" t="inlineStr">
        <is>
          <t>893506627</t>
        </is>
      </c>
    </row>
    <row r="1202">
      <c r="A1202" t="inlineStr">
        <is>
          <t>No</t>
        </is>
      </c>
      <c r="B1202" t="inlineStr">
        <is>
          <t>RC556 .S36 1981</t>
        </is>
      </c>
      <c r="C1202" t="inlineStr">
        <is>
          <t>0                      RC 0556000S  36          1981</t>
        </is>
      </c>
      <c r="D1202" t="inlineStr">
        <is>
          <t>The sex profession : what sex therapy can do / by Patricia Schiller.</t>
        </is>
      </c>
      <c r="F1202" t="inlineStr">
        <is>
          <t>No</t>
        </is>
      </c>
      <c r="G1202" t="inlineStr">
        <is>
          <t>1</t>
        </is>
      </c>
      <c r="H1202" t="inlineStr">
        <is>
          <t>No</t>
        </is>
      </c>
      <c r="I1202" t="inlineStr">
        <is>
          <t>No</t>
        </is>
      </c>
      <c r="J1202" t="inlineStr">
        <is>
          <t>0</t>
        </is>
      </c>
      <c r="K1202" t="inlineStr">
        <is>
          <t>Schiller, Patricia.</t>
        </is>
      </c>
      <c r="L1202" t="inlineStr">
        <is>
          <t>Washington, D.C. : Chilmark House, 1981.</t>
        </is>
      </c>
      <c r="M1202" t="inlineStr">
        <is>
          <t>1980</t>
        </is>
      </c>
      <c r="O1202" t="inlineStr">
        <is>
          <t>eng</t>
        </is>
      </c>
      <c r="P1202" t="inlineStr">
        <is>
          <t xml:space="preserve">xx </t>
        </is>
      </c>
      <c r="R1202" t="inlineStr">
        <is>
          <t xml:space="preserve">RC </t>
        </is>
      </c>
      <c r="S1202" t="n">
        <v>4</v>
      </c>
      <c r="T1202" t="n">
        <v>4</v>
      </c>
      <c r="U1202" t="inlineStr">
        <is>
          <t>1996-11-23</t>
        </is>
      </c>
      <c r="V1202" t="inlineStr">
        <is>
          <t>1996-11-23</t>
        </is>
      </c>
      <c r="W1202" t="inlineStr">
        <is>
          <t>1991-10-29</t>
        </is>
      </c>
      <c r="X1202" t="inlineStr">
        <is>
          <t>1991-10-29</t>
        </is>
      </c>
      <c r="Y1202" t="n">
        <v>29</v>
      </c>
      <c r="Z1202" t="n">
        <v>29</v>
      </c>
      <c r="AA1202" t="n">
        <v>31</v>
      </c>
      <c r="AB1202" t="n">
        <v>1</v>
      </c>
      <c r="AC1202" t="n">
        <v>1</v>
      </c>
      <c r="AD1202" t="n">
        <v>0</v>
      </c>
      <c r="AE1202" t="n">
        <v>0</v>
      </c>
      <c r="AF1202" t="n">
        <v>0</v>
      </c>
      <c r="AG1202" t="n">
        <v>0</v>
      </c>
      <c r="AH1202" t="n">
        <v>0</v>
      </c>
      <c r="AI1202" t="n">
        <v>0</v>
      </c>
      <c r="AJ1202" t="n">
        <v>0</v>
      </c>
      <c r="AK1202" t="n">
        <v>0</v>
      </c>
      <c r="AL1202" t="n">
        <v>0</v>
      </c>
      <c r="AM1202" t="n">
        <v>0</v>
      </c>
      <c r="AN1202" t="n">
        <v>0</v>
      </c>
      <c r="AO1202" t="n">
        <v>0</v>
      </c>
      <c r="AP1202" t="inlineStr">
        <is>
          <t>No</t>
        </is>
      </c>
      <c r="AQ1202" t="inlineStr">
        <is>
          <t>Yes</t>
        </is>
      </c>
      <c r="AR1202">
        <f>HYPERLINK("http://catalog.hathitrust.org/Record/004934200","HathiTrust Record")</f>
        <v/>
      </c>
      <c r="AS1202">
        <f>HYPERLINK("https://creighton-primo.hosted.exlibrisgroup.com/primo-explore/search?tab=default_tab&amp;search_scope=EVERYTHING&amp;vid=01CRU&amp;lang=en_US&amp;offset=0&amp;query=any,contains,991005068569702656","Catalog Record")</f>
        <v/>
      </c>
      <c r="AT1202">
        <f>HYPERLINK("http://www.worldcat.org/oclc/6982692","WorldCat Record")</f>
        <v/>
      </c>
      <c r="AU1202" t="inlineStr">
        <is>
          <t>383060:eng</t>
        </is>
      </c>
      <c r="AV1202" t="inlineStr">
        <is>
          <t>6982692</t>
        </is>
      </c>
      <c r="AW1202" t="inlineStr">
        <is>
          <t>991005068569702656</t>
        </is>
      </c>
      <c r="AX1202" t="inlineStr">
        <is>
          <t>991005068569702656</t>
        </is>
      </c>
      <c r="AY1202" t="inlineStr">
        <is>
          <t>2272553520002656</t>
        </is>
      </c>
      <c r="AZ1202" t="inlineStr">
        <is>
          <t>BOOK</t>
        </is>
      </c>
      <c r="BB1202" t="inlineStr">
        <is>
          <t>9780884163404</t>
        </is>
      </c>
      <c r="BC1202" t="inlineStr">
        <is>
          <t>32285000803147</t>
        </is>
      </c>
      <c r="BD1202" t="inlineStr">
        <is>
          <t>893905207</t>
        </is>
      </c>
    </row>
    <row r="1203">
      <c r="A1203" t="inlineStr">
        <is>
          <t>No</t>
        </is>
      </c>
      <c r="B1203" t="inlineStr">
        <is>
          <t>RC556 .S95</t>
        </is>
      </c>
      <c r="C1203" t="inlineStr">
        <is>
          <t>0                      RC 0556000S  95</t>
        </is>
      </c>
      <c r="D1203" t="inlineStr">
        <is>
          <t>Sex by prescription / Thomas Szasz.</t>
        </is>
      </c>
      <c r="F1203" t="inlineStr">
        <is>
          <t>No</t>
        </is>
      </c>
      <c r="G1203" t="inlineStr">
        <is>
          <t>1</t>
        </is>
      </c>
      <c r="H1203" t="inlineStr">
        <is>
          <t>No</t>
        </is>
      </c>
      <c r="I1203" t="inlineStr">
        <is>
          <t>No</t>
        </is>
      </c>
      <c r="J1203" t="inlineStr">
        <is>
          <t>0</t>
        </is>
      </c>
      <c r="K1203" t="inlineStr">
        <is>
          <t>Szasz, Thomas, 1920-2012.</t>
        </is>
      </c>
      <c r="L1203" t="inlineStr">
        <is>
          <t>Garden City, N.Y. : Anchor Press/Doubleday, 1980.</t>
        </is>
      </c>
      <c r="M1203" t="inlineStr">
        <is>
          <t>1980</t>
        </is>
      </c>
      <c r="N1203" t="inlineStr">
        <is>
          <t>1st ed.</t>
        </is>
      </c>
      <c r="O1203" t="inlineStr">
        <is>
          <t>eng</t>
        </is>
      </c>
      <c r="P1203" t="inlineStr">
        <is>
          <t>nyu</t>
        </is>
      </c>
      <c r="R1203" t="inlineStr">
        <is>
          <t xml:space="preserve">RC </t>
        </is>
      </c>
      <c r="S1203" t="n">
        <v>3</v>
      </c>
      <c r="T1203" t="n">
        <v>3</v>
      </c>
      <c r="U1203" t="inlineStr">
        <is>
          <t>1992-11-29</t>
        </is>
      </c>
      <c r="V1203" t="inlineStr">
        <is>
          <t>1992-11-29</t>
        </is>
      </c>
      <c r="W1203" t="inlineStr">
        <is>
          <t>1992-04-09</t>
        </is>
      </c>
      <c r="X1203" t="inlineStr">
        <is>
          <t>1992-04-09</t>
        </is>
      </c>
      <c r="Y1203" t="n">
        <v>539</v>
      </c>
      <c r="Z1203" t="n">
        <v>483</v>
      </c>
      <c r="AA1203" t="n">
        <v>588</v>
      </c>
      <c r="AB1203" t="n">
        <v>3</v>
      </c>
      <c r="AC1203" t="n">
        <v>5</v>
      </c>
      <c r="AD1203" t="n">
        <v>16</v>
      </c>
      <c r="AE1203" t="n">
        <v>21</v>
      </c>
      <c r="AF1203" t="n">
        <v>5</v>
      </c>
      <c r="AG1203" t="n">
        <v>5</v>
      </c>
      <c r="AH1203" t="n">
        <v>6</v>
      </c>
      <c r="AI1203" t="n">
        <v>6</v>
      </c>
      <c r="AJ1203" t="n">
        <v>9</v>
      </c>
      <c r="AK1203" t="n">
        <v>12</v>
      </c>
      <c r="AL1203" t="n">
        <v>2</v>
      </c>
      <c r="AM1203" t="n">
        <v>4</v>
      </c>
      <c r="AN1203" t="n">
        <v>0</v>
      </c>
      <c r="AO1203" t="n">
        <v>0</v>
      </c>
      <c r="AP1203" t="inlineStr">
        <is>
          <t>No</t>
        </is>
      </c>
      <c r="AQ1203" t="inlineStr">
        <is>
          <t>No</t>
        </is>
      </c>
      <c r="AS1203">
        <f>HYPERLINK("https://creighton-primo.hosted.exlibrisgroup.com/primo-explore/search?tab=default_tab&amp;search_scope=EVERYTHING&amp;vid=01CRU&amp;lang=en_US&amp;offset=0&amp;query=any,contains,991004985439702656","Catalog Record")</f>
        <v/>
      </c>
      <c r="AT1203">
        <f>HYPERLINK("http://www.worldcat.org/oclc/6447353","WorldCat Record")</f>
        <v/>
      </c>
      <c r="AU1203" t="inlineStr">
        <is>
          <t>455635:eng</t>
        </is>
      </c>
      <c r="AV1203" t="inlineStr">
        <is>
          <t>6447353</t>
        </is>
      </c>
      <c r="AW1203" t="inlineStr">
        <is>
          <t>991004985439702656</t>
        </is>
      </c>
      <c r="AX1203" t="inlineStr">
        <is>
          <t>991004985439702656</t>
        </is>
      </c>
      <c r="AY1203" t="inlineStr">
        <is>
          <t>2255473740002656</t>
        </is>
      </c>
      <c r="AZ1203" t="inlineStr">
        <is>
          <t>BOOK</t>
        </is>
      </c>
      <c r="BB1203" t="inlineStr">
        <is>
          <t>9780385158985</t>
        </is>
      </c>
      <c r="BC1203" t="inlineStr">
        <is>
          <t>32285001066603</t>
        </is>
      </c>
      <c r="BD1203" t="inlineStr">
        <is>
          <t>893801560</t>
        </is>
      </c>
    </row>
    <row r="1204">
      <c r="A1204" t="inlineStr">
        <is>
          <t>No</t>
        </is>
      </c>
      <c r="B1204" t="inlineStr">
        <is>
          <t>RC557 .C47 1971</t>
        </is>
      </c>
      <c r="C1204" t="inlineStr">
        <is>
          <t>0                      RC 0557000C  47          1971</t>
        </is>
      </c>
      <c r="D1204" t="inlineStr">
        <is>
          <t>Strange loves; the human aspects of sexual deviation / Eustace Chesser.</t>
        </is>
      </c>
      <c r="F1204" t="inlineStr">
        <is>
          <t>No</t>
        </is>
      </c>
      <c r="G1204" t="inlineStr">
        <is>
          <t>1</t>
        </is>
      </c>
      <c r="H1204" t="inlineStr">
        <is>
          <t>No</t>
        </is>
      </c>
      <c r="I1204" t="inlineStr">
        <is>
          <t>No</t>
        </is>
      </c>
      <c r="J1204" t="inlineStr">
        <is>
          <t>0</t>
        </is>
      </c>
      <c r="K1204" t="inlineStr">
        <is>
          <t>Chesser, Eustace, 1902-1973.</t>
        </is>
      </c>
      <c r="L1204" t="inlineStr">
        <is>
          <t>New York : Morrow, 1971.</t>
        </is>
      </c>
      <c r="M1204" t="inlineStr">
        <is>
          <t>1971</t>
        </is>
      </c>
      <c r="O1204" t="inlineStr">
        <is>
          <t>eng</t>
        </is>
      </c>
      <c r="P1204" t="inlineStr">
        <is>
          <t>nyu</t>
        </is>
      </c>
      <c r="R1204" t="inlineStr">
        <is>
          <t xml:space="preserve">RC </t>
        </is>
      </c>
      <c r="S1204" t="n">
        <v>11</v>
      </c>
      <c r="T1204" t="n">
        <v>11</v>
      </c>
      <c r="U1204" t="inlineStr">
        <is>
          <t>1995-03-17</t>
        </is>
      </c>
      <c r="V1204" t="inlineStr">
        <is>
          <t>1995-03-17</t>
        </is>
      </c>
      <c r="W1204" t="inlineStr">
        <is>
          <t>1990-02-09</t>
        </is>
      </c>
      <c r="X1204" t="inlineStr">
        <is>
          <t>1990-02-09</t>
        </is>
      </c>
      <c r="Y1204" t="n">
        <v>300</v>
      </c>
      <c r="Z1204" t="n">
        <v>278</v>
      </c>
      <c r="AA1204" t="n">
        <v>296</v>
      </c>
      <c r="AB1204" t="n">
        <v>3</v>
      </c>
      <c r="AC1204" t="n">
        <v>3</v>
      </c>
      <c r="AD1204" t="n">
        <v>4</v>
      </c>
      <c r="AE1204" t="n">
        <v>6</v>
      </c>
      <c r="AF1204" t="n">
        <v>1</v>
      </c>
      <c r="AG1204" t="n">
        <v>2</v>
      </c>
      <c r="AH1204" t="n">
        <v>1</v>
      </c>
      <c r="AI1204" t="n">
        <v>2</v>
      </c>
      <c r="AJ1204" t="n">
        <v>2</v>
      </c>
      <c r="AK1204" t="n">
        <v>2</v>
      </c>
      <c r="AL1204" t="n">
        <v>1</v>
      </c>
      <c r="AM1204" t="n">
        <v>1</v>
      </c>
      <c r="AN1204" t="n">
        <v>0</v>
      </c>
      <c r="AO1204" t="n">
        <v>0</v>
      </c>
      <c r="AP1204" t="inlineStr">
        <is>
          <t>No</t>
        </is>
      </c>
      <c r="AQ1204" t="inlineStr">
        <is>
          <t>No</t>
        </is>
      </c>
      <c r="AS1204">
        <f>HYPERLINK("https://creighton-primo.hosted.exlibrisgroup.com/primo-explore/search?tab=default_tab&amp;search_scope=EVERYTHING&amp;vid=01CRU&amp;lang=en_US&amp;offset=0&amp;query=any,contains,991001220279702656","Catalog Record")</f>
        <v/>
      </c>
      <c r="AT1204">
        <f>HYPERLINK("http://www.worldcat.org/oclc/196483","WorldCat Record")</f>
        <v/>
      </c>
      <c r="AU1204" t="inlineStr">
        <is>
          <t>1417826658:eng</t>
        </is>
      </c>
      <c r="AV1204" t="inlineStr">
        <is>
          <t>196483</t>
        </is>
      </c>
      <c r="AW1204" t="inlineStr">
        <is>
          <t>991001220279702656</t>
        </is>
      </c>
      <c r="AX1204" t="inlineStr">
        <is>
          <t>991001220279702656</t>
        </is>
      </c>
      <c r="AY1204" t="inlineStr">
        <is>
          <t>2270115310002656</t>
        </is>
      </c>
      <c r="AZ1204" t="inlineStr">
        <is>
          <t>BOOK</t>
        </is>
      </c>
      <c r="BC1204" t="inlineStr">
        <is>
          <t>32285000034719</t>
        </is>
      </c>
      <c r="BD1204" t="inlineStr">
        <is>
          <t>893720960</t>
        </is>
      </c>
    </row>
    <row r="1205">
      <c r="A1205" t="inlineStr">
        <is>
          <t>No</t>
        </is>
      </c>
      <c r="B1205" t="inlineStr">
        <is>
          <t>RC557 .L45</t>
        </is>
      </c>
      <c r="C1205" t="inlineStr">
        <is>
          <t>0                      RC 0557000L  45</t>
        </is>
      </c>
      <c r="D1205" t="inlineStr">
        <is>
          <t>Unusual sexual behavior : the standard deviations / by David Lester.</t>
        </is>
      </c>
      <c r="F1205" t="inlineStr">
        <is>
          <t>No</t>
        </is>
      </c>
      <c r="G1205" t="inlineStr">
        <is>
          <t>1</t>
        </is>
      </c>
      <c r="H1205" t="inlineStr">
        <is>
          <t>No</t>
        </is>
      </c>
      <c r="I1205" t="inlineStr">
        <is>
          <t>No</t>
        </is>
      </c>
      <c r="J1205" t="inlineStr">
        <is>
          <t>0</t>
        </is>
      </c>
      <c r="K1205" t="inlineStr">
        <is>
          <t>Lester, David, 1942-</t>
        </is>
      </c>
      <c r="L1205" t="inlineStr">
        <is>
          <t>Springfield, Ill.: Thomas, c1975.</t>
        </is>
      </c>
      <c r="M1205" t="inlineStr">
        <is>
          <t>1975</t>
        </is>
      </c>
      <c r="O1205" t="inlineStr">
        <is>
          <t>eng</t>
        </is>
      </c>
      <c r="P1205" t="inlineStr">
        <is>
          <t>ilu</t>
        </is>
      </c>
      <c r="R1205" t="inlineStr">
        <is>
          <t xml:space="preserve">RC </t>
        </is>
      </c>
      <c r="S1205" t="n">
        <v>17</v>
      </c>
      <c r="T1205" t="n">
        <v>17</v>
      </c>
      <c r="U1205" t="inlineStr">
        <is>
          <t>1996-02-14</t>
        </is>
      </c>
      <c r="V1205" t="inlineStr">
        <is>
          <t>1996-02-14</t>
        </is>
      </c>
      <c r="W1205" t="inlineStr">
        <is>
          <t>1992-04-11</t>
        </is>
      </c>
      <c r="X1205" t="inlineStr">
        <is>
          <t>1992-04-11</t>
        </is>
      </c>
      <c r="Y1205" t="n">
        <v>259</v>
      </c>
      <c r="Z1205" t="n">
        <v>219</v>
      </c>
      <c r="AA1205" t="n">
        <v>277</v>
      </c>
      <c r="AB1205" t="n">
        <v>3</v>
      </c>
      <c r="AC1205" t="n">
        <v>3</v>
      </c>
      <c r="AD1205" t="n">
        <v>7</v>
      </c>
      <c r="AE1205" t="n">
        <v>7</v>
      </c>
      <c r="AF1205" t="n">
        <v>2</v>
      </c>
      <c r="AG1205" t="n">
        <v>2</v>
      </c>
      <c r="AH1205" t="n">
        <v>1</v>
      </c>
      <c r="AI1205" t="n">
        <v>1</v>
      </c>
      <c r="AJ1205" t="n">
        <v>3</v>
      </c>
      <c r="AK1205" t="n">
        <v>3</v>
      </c>
      <c r="AL1205" t="n">
        <v>2</v>
      </c>
      <c r="AM1205" t="n">
        <v>2</v>
      </c>
      <c r="AN1205" t="n">
        <v>1</v>
      </c>
      <c r="AO1205" t="n">
        <v>1</v>
      </c>
      <c r="AP1205" t="inlineStr">
        <is>
          <t>No</t>
        </is>
      </c>
      <c r="AQ1205" t="inlineStr">
        <is>
          <t>Yes</t>
        </is>
      </c>
      <c r="AR1205">
        <f>HYPERLINK("http://catalog.hathitrust.org/Record/000023696","HathiTrust Record")</f>
        <v/>
      </c>
      <c r="AS1205">
        <f>HYPERLINK("https://creighton-primo.hosted.exlibrisgroup.com/primo-explore/search?tab=default_tab&amp;search_scope=EVERYTHING&amp;vid=01CRU&amp;lang=en_US&amp;offset=0&amp;query=any,contains,991003505229702656","Catalog Record")</f>
        <v/>
      </c>
      <c r="AT1205">
        <f>HYPERLINK("http://www.worldcat.org/oclc/1056807","WorldCat Record")</f>
        <v/>
      </c>
      <c r="AU1205" t="inlineStr">
        <is>
          <t>573817:eng</t>
        </is>
      </c>
      <c r="AV1205" t="inlineStr">
        <is>
          <t>1056807</t>
        </is>
      </c>
      <c r="AW1205" t="inlineStr">
        <is>
          <t>991003505229702656</t>
        </is>
      </c>
      <c r="AX1205" t="inlineStr">
        <is>
          <t>991003505229702656</t>
        </is>
      </c>
      <c r="AY1205" t="inlineStr">
        <is>
          <t>2271995670002656</t>
        </is>
      </c>
      <c r="AZ1205" t="inlineStr">
        <is>
          <t>BOOK</t>
        </is>
      </c>
      <c r="BB1205" t="inlineStr">
        <is>
          <t>9780398033439</t>
        </is>
      </c>
      <c r="BC1205" t="inlineStr">
        <is>
          <t>32285001057933</t>
        </is>
      </c>
      <c r="BD1205" t="inlineStr">
        <is>
          <t>893435058</t>
        </is>
      </c>
    </row>
    <row r="1206">
      <c r="A1206" t="inlineStr">
        <is>
          <t>No</t>
        </is>
      </c>
      <c r="B1206" t="inlineStr">
        <is>
          <t>RC557 .S76</t>
        </is>
      </c>
      <c r="C1206" t="inlineStr">
        <is>
          <t>0                      RC 0557000S  76</t>
        </is>
      </c>
      <c r="D1206" t="inlineStr">
        <is>
          <t>Perversion : the erotic form of hatred / Robert J. Stoller.</t>
        </is>
      </c>
      <c r="F1206" t="inlineStr">
        <is>
          <t>No</t>
        </is>
      </c>
      <c r="G1206" t="inlineStr">
        <is>
          <t>1</t>
        </is>
      </c>
      <c r="H1206" t="inlineStr">
        <is>
          <t>No</t>
        </is>
      </c>
      <c r="I1206" t="inlineStr">
        <is>
          <t>No</t>
        </is>
      </c>
      <c r="J1206" t="inlineStr">
        <is>
          <t>0</t>
        </is>
      </c>
      <c r="K1206" t="inlineStr">
        <is>
          <t>Stoller, Robert J.</t>
        </is>
      </c>
      <c r="L1206" t="inlineStr">
        <is>
          <t>New York : Pantheon Books, [1975]</t>
        </is>
      </c>
      <c r="M1206" t="inlineStr">
        <is>
          <t>1975</t>
        </is>
      </c>
      <c r="O1206" t="inlineStr">
        <is>
          <t>eng</t>
        </is>
      </c>
      <c r="P1206" t="inlineStr">
        <is>
          <t>nyu</t>
        </is>
      </c>
      <c r="R1206" t="inlineStr">
        <is>
          <t xml:space="preserve">RC </t>
        </is>
      </c>
      <c r="S1206" t="n">
        <v>4</v>
      </c>
      <c r="T1206" t="n">
        <v>4</v>
      </c>
      <c r="U1206" t="inlineStr">
        <is>
          <t>1996-03-25</t>
        </is>
      </c>
      <c r="V1206" t="inlineStr">
        <is>
          <t>1996-03-25</t>
        </is>
      </c>
      <c r="W1206" t="inlineStr">
        <is>
          <t>1992-04-11</t>
        </is>
      </c>
      <c r="X1206" t="inlineStr">
        <is>
          <t>1992-04-11</t>
        </is>
      </c>
      <c r="Y1206" t="n">
        <v>400</v>
      </c>
      <c r="Z1206" t="n">
        <v>345</v>
      </c>
      <c r="AA1206" t="n">
        <v>966</v>
      </c>
      <c r="AB1206" t="n">
        <v>3</v>
      </c>
      <c r="AC1206" t="n">
        <v>10</v>
      </c>
      <c r="AD1206" t="n">
        <v>9</v>
      </c>
      <c r="AE1206" t="n">
        <v>31</v>
      </c>
      <c r="AF1206" t="n">
        <v>1</v>
      </c>
      <c r="AG1206" t="n">
        <v>9</v>
      </c>
      <c r="AH1206" t="n">
        <v>1</v>
      </c>
      <c r="AI1206" t="n">
        <v>7</v>
      </c>
      <c r="AJ1206" t="n">
        <v>7</v>
      </c>
      <c r="AK1206" t="n">
        <v>12</v>
      </c>
      <c r="AL1206" t="n">
        <v>2</v>
      </c>
      <c r="AM1206" t="n">
        <v>8</v>
      </c>
      <c r="AN1206" t="n">
        <v>0</v>
      </c>
      <c r="AO1206" t="n">
        <v>1</v>
      </c>
      <c r="AP1206" t="inlineStr">
        <is>
          <t>No</t>
        </is>
      </c>
      <c r="AQ1206" t="inlineStr">
        <is>
          <t>Yes</t>
        </is>
      </c>
      <c r="AR1206">
        <f>HYPERLINK("http://catalog.hathitrust.org/Record/000034236","HathiTrust Record")</f>
        <v/>
      </c>
      <c r="AS1206">
        <f>HYPERLINK("https://creighton-primo.hosted.exlibrisgroup.com/primo-explore/search?tab=default_tab&amp;search_scope=EVERYTHING&amp;vid=01CRU&amp;lang=en_US&amp;offset=0&amp;query=any,contains,991003784519702656","Catalog Record")</f>
        <v/>
      </c>
      <c r="AT1206">
        <f>HYPERLINK("http://www.worldcat.org/oclc/1500086","WorldCat Record")</f>
        <v/>
      </c>
      <c r="AU1206" t="inlineStr">
        <is>
          <t>836636696:eng</t>
        </is>
      </c>
      <c r="AV1206" t="inlineStr">
        <is>
          <t>1500086</t>
        </is>
      </c>
      <c r="AW1206" t="inlineStr">
        <is>
          <t>991003784519702656</t>
        </is>
      </c>
      <c r="AX1206" t="inlineStr">
        <is>
          <t>991003784519702656</t>
        </is>
      </c>
      <c r="AY1206" t="inlineStr">
        <is>
          <t>2260424790002656</t>
        </is>
      </c>
      <c r="AZ1206" t="inlineStr">
        <is>
          <t>BOOK</t>
        </is>
      </c>
      <c r="BB1206" t="inlineStr">
        <is>
          <t>9780394497778</t>
        </is>
      </c>
      <c r="BC1206" t="inlineStr">
        <is>
          <t>32285001057925</t>
        </is>
      </c>
      <c r="BD1206" t="inlineStr">
        <is>
          <t>893794047</t>
        </is>
      </c>
    </row>
    <row r="1207">
      <c r="A1207" t="inlineStr">
        <is>
          <t>No</t>
        </is>
      </c>
      <c r="B1207" t="inlineStr">
        <is>
          <t>RC557 .S77 1974a</t>
        </is>
      </c>
      <c r="C1207" t="inlineStr">
        <is>
          <t>0                      RC 0557000S  77          1974a</t>
        </is>
      </c>
      <c r="D1207" t="inlineStr">
        <is>
          <t>Sex and gender / Robert J. Stoller.</t>
        </is>
      </c>
      <c r="E1207" t="inlineStr">
        <is>
          <t>V.1</t>
        </is>
      </c>
      <c r="F1207" t="inlineStr">
        <is>
          <t>Yes</t>
        </is>
      </c>
      <c r="G1207" t="inlineStr">
        <is>
          <t>1</t>
        </is>
      </c>
      <c r="H1207" t="inlineStr">
        <is>
          <t>No</t>
        </is>
      </c>
      <c r="I1207" t="inlineStr">
        <is>
          <t>No</t>
        </is>
      </c>
      <c r="J1207" t="inlineStr">
        <is>
          <t>0</t>
        </is>
      </c>
      <c r="K1207" t="inlineStr">
        <is>
          <t>Stoller, Robert J.</t>
        </is>
      </c>
      <c r="L1207" t="inlineStr">
        <is>
          <t>New York : Aronson, [c1974]-</t>
        </is>
      </c>
      <c r="M1207" t="inlineStr">
        <is>
          <t>1974</t>
        </is>
      </c>
      <c r="O1207" t="inlineStr">
        <is>
          <t>eng</t>
        </is>
      </c>
      <c r="P1207" t="inlineStr">
        <is>
          <t xml:space="preserve">xx </t>
        </is>
      </c>
      <c r="R1207" t="inlineStr">
        <is>
          <t xml:space="preserve">RC </t>
        </is>
      </c>
      <c r="S1207" t="n">
        <v>7</v>
      </c>
      <c r="T1207" t="n">
        <v>7</v>
      </c>
      <c r="U1207" t="inlineStr">
        <is>
          <t>2006-03-10</t>
        </is>
      </c>
      <c r="V1207" t="inlineStr">
        <is>
          <t>2006-03-10</t>
        </is>
      </c>
      <c r="W1207" t="inlineStr">
        <is>
          <t>1992-04-11</t>
        </is>
      </c>
      <c r="X1207" t="inlineStr">
        <is>
          <t>1992-04-11</t>
        </is>
      </c>
      <c r="Y1207" t="n">
        <v>248</v>
      </c>
      <c r="Z1207" t="n">
        <v>235</v>
      </c>
      <c r="AA1207" t="n">
        <v>272</v>
      </c>
      <c r="AB1207" t="n">
        <v>2</v>
      </c>
      <c r="AC1207" t="n">
        <v>3</v>
      </c>
      <c r="AD1207" t="n">
        <v>9</v>
      </c>
      <c r="AE1207" t="n">
        <v>11</v>
      </c>
      <c r="AF1207" t="n">
        <v>2</v>
      </c>
      <c r="AG1207" t="n">
        <v>2</v>
      </c>
      <c r="AH1207" t="n">
        <v>2</v>
      </c>
      <c r="AI1207" t="n">
        <v>3</v>
      </c>
      <c r="AJ1207" t="n">
        <v>5</v>
      </c>
      <c r="AK1207" t="n">
        <v>6</v>
      </c>
      <c r="AL1207" t="n">
        <v>1</v>
      </c>
      <c r="AM1207" t="n">
        <v>2</v>
      </c>
      <c r="AN1207" t="n">
        <v>0</v>
      </c>
      <c r="AO1207" t="n">
        <v>0</v>
      </c>
      <c r="AP1207" t="inlineStr">
        <is>
          <t>No</t>
        </is>
      </c>
      <c r="AQ1207" t="inlineStr">
        <is>
          <t>Yes</t>
        </is>
      </c>
      <c r="AR1207">
        <f>HYPERLINK("http://catalog.hathitrust.org/Record/003522585","HathiTrust Record")</f>
        <v/>
      </c>
      <c r="AS1207">
        <f>HYPERLINK("https://creighton-primo.hosted.exlibrisgroup.com/primo-explore/search?tab=default_tab&amp;search_scope=EVERYTHING&amp;vid=01CRU&amp;lang=en_US&amp;offset=0&amp;query=any,contains,991003742469702656","Catalog Record")</f>
        <v/>
      </c>
      <c r="AT1207">
        <f>HYPERLINK("http://www.worldcat.org/oclc/1009658","WorldCat Record")</f>
        <v/>
      </c>
      <c r="AU1207" t="inlineStr">
        <is>
          <t>5576791181:eng</t>
        </is>
      </c>
      <c r="AV1207" t="inlineStr">
        <is>
          <t>1009658</t>
        </is>
      </c>
      <c r="AW1207" t="inlineStr">
        <is>
          <t>991003742469702656</t>
        </is>
      </c>
      <c r="AX1207" t="inlineStr">
        <is>
          <t>991003742469702656</t>
        </is>
      </c>
      <c r="AY1207" t="inlineStr">
        <is>
          <t>2268061150002656</t>
        </is>
      </c>
      <c r="AZ1207" t="inlineStr">
        <is>
          <t>BOOK</t>
        </is>
      </c>
      <c r="BC1207" t="inlineStr">
        <is>
          <t>32285001057917</t>
        </is>
      </c>
      <c r="BD1207" t="inlineStr">
        <is>
          <t>893349079</t>
        </is>
      </c>
    </row>
    <row r="1208">
      <c r="A1208" t="inlineStr">
        <is>
          <t>No</t>
        </is>
      </c>
      <c r="B1208" t="inlineStr">
        <is>
          <t>RC558 .A2 1985</t>
        </is>
      </c>
      <c r="C1208" t="inlineStr">
        <is>
          <t>0                      RC 0558000A  2           1985</t>
        </is>
      </c>
      <c r="D1208" t="inlineStr">
        <is>
          <t>Homosexuality and hope : a psychologist talks about treatment and change / Gerard van den Aardweg ; [introduction by Paul C. Vitz].</t>
        </is>
      </c>
      <c r="F1208" t="inlineStr">
        <is>
          <t>No</t>
        </is>
      </c>
      <c r="G1208" t="inlineStr">
        <is>
          <t>1</t>
        </is>
      </c>
      <c r="H1208" t="inlineStr">
        <is>
          <t>No</t>
        </is>
      </c>
      <c r="I1208" t="inlineStr">
        <is>
          <t>No</t>
        </is>
      </c>
      <c r="J1208" t="inlineStr">
        <is>
          <t>0</t>
        </is>
      </c>
      <c r="K1208" t="inlineStr">
        <is>
          <t>Aardweg, G. J. M. van den, 1936-</t>
        </is>
      </c>
      <c r="L1208" t="inlineStr">
        <is>
          <t>Ann Arbor, Mich. : Servant Books, c1985.</t>
        </is>
      </c>
      <c r="M1208" t="inlineStr">
        <is>
          <t>1985</t>
        </is>
      </c>
      <c r="O1208" t="inlineStr">
        <is>
          <t>eng</t>
        </is>
      </c>
      <c r="P1208" t="inlineStr">
        <is>
          <t>miu</t>
        </is>
      </c>
      <c r="R1208" t="inlineStr">
        <is>
          <t xml:space="preserve">RC </t>
        </is>
      </c>
      <c r="S1208" t="n">
        <v>24</v>
      </c>
      <c r="T1208" t="n">
        <v>24</v>
      </c>
      <c r="U1208" t="inlineStr">
        <is>
          <t>1999-04-05</t>
        </is>
      </c>
      <c r="V1208" t="inlineStr">
        <is>
          <t>1999-04-05</t>
        </is>
      </c>
      <c r="W1208" t="inlineStr">
        <is>
          <t>1992-05-11</t>
        </is>
      </c>
      <c r="X1208" t="inlineStr">
        <is>
          <t>1992-05-11</t>
        </is>
      </c>
      <c r="Y1208" t="n">
        <v>92</v>
      </c>
      <c r="Z1208" t="n">
        <v>74</v>
      </c>
      <c r="AA1208" t="n">
        <v>74</v>
      </c>
      <c r="AB1208" t="n">
        <v>2</v>
      </c>
      <c r="AC1208" t="n">
        <v>2</v>
      </c>
      <c r="AD1208" t="n">
        <v>4</v>
      </c>
      <c r="AE1208" t="n">
        <v>4</v>
      </c>
      <c r="AF1208" t="n">
        <v>0</v>
      </c>
      <c r="AG1208" t="n">
        <v>0</v>
      </c>
      <c r="AH1208" t="n">
        <v>2</v>
      </c>
      <c r="AI1208" t="n">
        <v>2</v>
      </c>
      <c r="AJ1208" t="n">
        <v>2</v>
      </c>
      <c r="AK1208" t="n">
        <v>2</v>
      </c>
      <c r="AL1208" t="n">
        <v>0</v>
      </c>
      <c r="AM1208" t="n">
        <v>0</v>
      </c>
      <c r="AN1208" t="n">
        <v>0</v>
      </c>
      <c r="AO1208" t="n">
        <v>0</v>
      </c>
      <c r="AP1208" t="inlineStr">
        <is>
          <t>No</t>
        </is>
      </c>
      <c r="AQ1208" t="inlineStr">
        <is>
          <t>No</t>
        </is>
      </c>
      <c r="AS1208">
        <f>HYPERLINK("https://creighton-primo.hosted.exlibrisgroup.com/primo-explore/search?tab=default_tab&amp;search_scope=EVERYTHING&amp;vid=01CRU&amp;lang=en_US&amp;offset=0&amp;query=any,contains,991000606829702656","Catalog Record")</f>
        <v/>
      </c>
      <c r="AT1208">
        <f>HYPERLINK("http://www.worldcat.org/oclc/11866997","WorldCat Record")</f>
        <v/>
      </c>
      <c r="AU1208" t="inlineStr">
        <is>
          <t>8907101933:eng</t>
        </is>
      </c>
      <c r="AV1208" t="inlineStr">
        <is>
          <t>11866997</t>
        </is>
      </c>
      <c r="AW1208" t="inlineStr">
        <is>
          <t>991000606829702656</t>
        </is>
      </c>
      <c r="AX1208" t="inlineStr">
        <is>
          <t>991000606829702656</t>
        </is>
      </c>
      <c r="AY1208" t="inlineStr">
        <is>
          <t>2265140620002656</t>
        </is>
      </c>
      <c r="AZ1208" t="inlineStr">
        <is>
          <t>BOOK</t>
        </is>
      </c>
      <c r="BB1208" t="inlineStr">
        <is>
          <t>9780892832651</t>
        </is>
      </c>
      <c r="BC1208" t="inlineStr">
        <is>
          <t>32285001107225</t>
        </is>
      </c>
      <c r="BD1208" t="inlineStr">
        <is>
          <t>893784375</t>
        </is>
      </c>
    </row>
    <row r="1209">
      <c r="A1209" t="inlineStr">
        <is>
          <t>No</t>
        </is>
      </c>
      <c r="B1209" t="inlineStr">
        <is>
          <t>RC558 .A23 1986</t>
        </is>
      </c>
      <c r="C1209" t="inlineStr">
        <is>
          <t>0                      RC 0558000A  23          1986</t>
        </is>
      </c>
      <c r="D1209" t="inlineStr">
        <is>
          <t>On the origins and treatment of homosexuality : a psychoanalytic reinterpretation / Gerard J.M. van den Aardweg.</t>
        </is>
      </c>
      <c r="F1209" t="inlineStr">
        <is>
          <t>No</t>
        </is>
      </c>
      <c r="G1209" t="inlineStr">
        <is>
          <t>1</t>
        </is>
      </c>
      <c r="H1209" t="inlineStr">
        <is>
          <t>No</t>
        </is>
      </c>
      <c r="I1209" t="inlineStr">
        <is>
          <t>No</t>
        </is>
      </c>
      <c r="J1209" t="inlineStr">
        <is>
          <t>0</t>
        </is>
      </c>
      <c r="K1209" t="inlineStr">
        <is>
          <t>Aardweg, G. J. M. van den, 1936-</t>
        </is>
      </c>
      <c r="L1209" t="inlineStr">
        <is>
          <t>New York : Praeger, 1985.</t>
        </is>
      </c>
      <c r="M1209" t="inlineStr">
        <is>
          <t>1985</t>
        </is>
      </c>
      <c r="O1209" t="inlineStr">
        <is>
          <t>eng</t>
        </is>
      </c>
      <c r="P1209" t="inlineStr">
        <is>
          <t>nyu</t>
        </is>
      </c>
      <c r="R1209" t="inlineStr">
        <is>
          <t xml:space="preserve">RC </t>
        </is>
      </c>
      <c r="S1209" t="n">
        <v>40</v>
      </c>
      <c r="T1209" t="n">
        <v>40</v>
      </c>
      <c r="U1209" t="inlineStr">
        <is>
          <t>2003-10-25</t>
        </is>
      </c>
      <c r="V1209" t="inlineStr">
        <is>
          <t>2003-10-25</t>
        </is>
      </c>
      <c r="W1209" t="inlineStr">
        <is>
          <t>1990-03-20</t>
        </is>
      </c>
      <c r="X1209" t="inlineStr">
        <is>
          <t>1990-03-20</t>
        </is>
      </c>
      <c r="Y1209" t="n">
        <v>277</v>
      </c>
      <c r="Z1209" t="n">
        <v>247</v>
      </c>
      <c r="AA1209" t="n">
        <v>256</v>
      </c>
      <c r="AB1209" t="n">
        <v>4</v>
      </c>
      <c r="AC1209" t="n">
        <v>4</v>
      </c>
      <c r="AD1209" t="n">
        <v>9</v>
      </c>
      <c r="AE1209" t="n">
        <v>9</v>
      </c>
      <c r="AF1209" t="n">
        <v>1</v>
      </c>
      <c r="AG1209" t="n">
        <v>1</v>
      </c>
      <c r="AH1209" t="n">
        <v>3</v>
      </c>
      <c r="AI1209" t="n">
        <v>3</v>
      </c>
      <c r="AJ1209" t="n">
        <v>6</v>
      </c>
      <c r="AK1209" t="n">
        <v>6</v>
      </c>
      <c r="AL1209" t="n">
        <v>2</v>
      </c>
      <c r="AM1209" t="n">
        <v>2</v>
      </c>
      <c r="AN1209" t="n">
        <v>0</v>
      </c>
      <c r="AO1209" t="n">
        <v>0</v>
      </c>
      <c r="AP1209" t="inlineStr">
        <is>
          <t>No</t>
        </is>
      </c>
      <c r="AQ1209" t="inlineStr">
        <is>
          <t>Yes</t>
        </is>
      </c>
      <c r="AR1209">
        <f>HYPERLINK("http://catalog.hathitrust.org/Record/007472115","HathiTrust Record")</f>
        <v/>
      </c>
      <c r="AS1209">
        <f>HYPERLINK("https://creighton-primo.hosted.exlibrisgroup.com/primo-explore/search?tab=default_tab&amp;search_scope=EVERYTHING&amp;vid=01CRU&amp;lang=en_US&amp;offset=0&amp;query=any,contains,991000634549702656","Catalog Record")</f>
        <v/>
      </c>
      <c r="AT1209">
        <f>HYPERLINK("http://www.worldcat.org/oclc/12079467","WorldCat Record")</f>
        <v/>
      </c>
      <c r="AU1209" t="inlineStr">
        <is>
          <t>4682164:eng</t>
        </is>
      </c>
      <c r="AV1209" t="inlineStr">
        <is>
          <t>12079467</t>
        </is>
      </c>
      <c r="AW1209" t="inlineStr">
        <is>
          <t>991000634549702656</t>
        </is>
      </c>
      <c r="AX1209" t="inlineStr">
        <is>
          <t>991000634549702656</t>
        </is>
      </c>
      <c r="AY1209" t="inlineStr">
        <is>
          <t>2269302220002656</t>
        </is>
      </c>
      <c r="AZ1209" t="inlineStr">
        <is>
          <t>BOOK</t>
        </is>
      </c>
      <c r="BB1209" t="inlineStr">
        <is>
          <t>9780030047831</t>
        </is>
      </c>
      <c r="BC1209" t="inlineStr">
        <is>
          <t>32285000088574</t>
        </is>
      </c>
      <c r="BD1209" t="inlineStr">
        <is>
          <t>893413539</t>
        </is>
      </c>
    </row>
    <row r="1210">
      <c r="A1210" t="inlineStr">
        <is>
          <t>No</t>
        </is>
      </c>
      <c r="B1210" t="inlineStr">
        <is>
          <t>RC558 .B39</t>
        </is>
      </c>
      <c r="C1210" t="inlineStr">
        <is>
          <t>0                      RC 0558000B  39</t>
        </is>
      </c>
      <c r="D1210" t="inlineStr">
        <is>
          <t>Homosexuality, and American psychiatry : the politics of diagnosis / Ronald Bayer.</t>
        </is>
      </c>
      <c r="F1210" t="inlineStr">
        <is>
          <t>No</t>
        </is>
      </c>
      <c r="G1210" t="inlineStr">
        <is>
          <t>1</t>
        </is>
      </c>
      <c r="H1210" t="inlineStr">
        <is>
          <t>No</t>
        </is>
      </c>
      <c r="I1210" t="inlineStr">
        <is>
          <t>No</t>
        </is>
      </c>
      <c r="J1210" t="inlineStr">
        <is>
          <t>0</t>
        </is>
      </c>
      <c r="K1210" t="inlineStr">
        <is>
          <t>Bayer, Ronald.</t>
        </is>
      </c>
      <c r="L1210" t="inlineStr">
        <is>
          <t>New York : Basic Books, c1981.</t>
        </is>
      </c>
      <c r="M1210" t="inlineStr">
        <is>
          <t>1981</t>
        </is>
      </c>
      <c r="O1210" t="inlineStr">
        <is>
          <t>eng</t>
        </is>
      </c>
      <c r="P1210" t="inlineStr">
        <is>
          <t>nyu</t>
        </is>
      </c>
      <c r="R1210" t="inlineStr">
        <is>
          <t xml:space="preserve">RC </t>
        </is>
      </c>
      <c r="S1210" t="n">
        <v>25</v>
      </c>
      <c r="T1210" t="n">
        <v>25</v>
      </c>
      <c r="U1210" t="inlineStr">
        <is>
          <t>2004-02-03</t>
        </is>
      </c>
      <c r="V1210" t="inlineStr">
        <is>
          <t>2004-02-03</t>
        </is>
      </c>
      <c r="W1210" t="inlineStr">
        <is>
          <t>1992-05-07</t>
        </is>
      </c>
      <c r="X1210" t="inlineStr">
        <is>
          <t>1992-05-07</t>
        </is>
      </c>
      <c r="Y1210" t="n">
        <v>655</v>
      </c>
      <c r="Z1210" t="n">
        <v>574</v>
      </c>
      <c r="AA1210" t="n">
        <v>833</v>
      </c>
      <c r="AB1210" t="n">
        <v>3</v>
      </c>
      <c r="AC1210" t="n">
        <v>4</v>
      </c>
      <c r="AD1210" t="n">
        <v>22</v>
      </c>
      <c r="AE1210" t="n">
        <v>33</v>
      </c>
      <c r="AF1210" t="n">
        <v>9</v>
      </c>
      <c r="AG1210" t="n">
        <v>14</v>
      </c>
      <c r="AH1210" t="n">
        <v>5</v>
      </c>
      <c r="AI1210" t="n">
        <v>8</v>
      </c>
      <c r="AJ1210" t="n">
        <v>12</v>
      </c>
      <c r="AK1210" t="n">
        <v>16</v>
      </c>
      <c r="AL1210" t="n">
        <v>2</v>
      </c>
      <c r="AM1210" t="n">
        <v>3</v>
      </c>
      <c r="AN1210" t="n">
        <v>0</v>
      </c>
      <c r="AO1210" t="n">
        <v>0</v>
      </c>
      <c r="AP1210" t="inlineStr">
        <is>
          <t>No</t>
        </is>
      </c>
      <c r="AQ1210" t="inlineStr">
        <is>
          <t>Yes</t>
        </is>
      </c>
      <c r="AR1210">
        <f>HYPERLINK("http://catalog.hathitrust.org/Record/000083977","HathiTrust Record")</f>
        <v/>
      </c>
      <c r="AS1210">
        <f>HYPERLINK("https://creighton-primo.hosted.exlibrisgroup.com/primo-explore/search?tab=default_tab&amp;search_scope=EVERYTHING&amp;vid=01CRU&amp;lang=en_US&amp;offset=0&amp;query=any,contains,991005085809702656","Catalog Record")</f>
        <v/>
      </c>
      <c r="AT1210">
        <f>HYPERLINK("http://www.worldcat.org/oclc/7196584","WorldCat Record")</f>
        <v/>
      </c>
      <c r="AU1210" t="inlineStr">
        <is>
          <t>487421:eng</t>
        </is>
      </c>
      <c r="AV1210" t="inlineStr">
        <is>
          <t>7196584</t>
        </is>
      </c>
      <c r="AW1210" t="inlineStr">
        <is>
          <t>991005085809702656</t>
        </is>
      </c>
      <c r="AX1210" t="inlineStr">
        <is>
          <t>991005085809702656</t>
        </is>
      </c>
      <c r="AY1210" t="inlineStr">
        <is>
          <t>2255713420002656</t>
        </is>
      </c>
      <c r="AZ1210" t="inlineStr">
        <is>
          <t>BOOK</t>
        </is>
      </c>
      <c r="BB1210" t="inlineStr">
        <is>
          <t>9780465030484</t>
        </is>
      </c>
      <c r="BC1210" t="inlineStr">
        <is>
          <t>32285001105468</t>
        </is>
      </c>
      <c r="BD1210" t="inlineStr">
        <is>
          <t>893789412</t>
        </is>
      </c>
    </row>
    <row r="1211">
      <c r="A1211" t="inlineStr">
        <is>
          <t>No</t>
        </is>
      </c>
      <c r="B1211" t="inlineStr">
        <is>
          <t>RC558 .E98 2006</t>
        </is>
      </c>
      <c r="C1211" t="inlineStr">
        <is>
          <t>0                      RC 0558000E  98          2006</t>
        </is>
      </c>
      <c r="D1211" t="inlineStr">
        <is>
          <t>Ex-gay research : analyzing the Spitzer study and its relation to science, religion, politics, and culture / Jack Drescher, Kenneth J. Zucker, editors.</t>
        </is>
      </c>
      <c r="F1211" t="inlineStr">
        <is>
          <t>No</t>
        </is>
      </c>
      <c r="G1211" t="inlineStr">
        <is>
          <t>1</t>
        </is>
      </c>
      <c r="H1211" t="inlineStr">
        <is>
          <t>No</t>
        </is>
      </c>
      <c r="I1211" t="inlineStr">
        <is>
          <t>No</t>
        </is>
      </c>
      <c r="J1211" t="inlineStr">
        <is>
          <t>0</t>
        </is>
      </c>
      <c r="L1211" t="inlineStr">
        <is>
          <t>New York : Harrington Park Press, c2006.</t>
        </is>
      </c>
      <c r="M1211" t="inlineStr">
        <is>
          <t>2006</t>
        </is>
      </c>
      <c r="O1211" t="inlineStr">
        <is>
          <t>eng</t>
        </is>
      </c>
      <c r="P1211" t="inlineStr">
        <is>
          <t>nyu</t>
        </is>
      </c>
      <c r="R1211" t="inlineStr">
        <is>
          <t xml:space="preserve">RC </t>
        </is>
      </c>
      <c r="S1211" t="n">
        <v>2</v>
      </c>
      <c r="T1211" t="n">
        <v>2</v>
      </c>
      <c r="U1211" t="inlineStr">
        <is>
          <t>2008-12-16</t>
        </is>
      </c>
      <c r="V1211" t="inlineStr">
        <is>
          <t>2008-12-16</t>
        </is>
      </c>
      <c r="W1211" t="inlineStr">
        <is>
          <t>2008-12-16</t>
        </is>
      </c>
      <c r="X1211" t="inlineStr">
        <is>
          <t>2008-12-16</t>
        </is>
      </c>
      <c r="Y1211" t="n">
        <v>223</v>
      </c>
      <c r="Z1211" t="n">
        <v>190</v>
      </c>
      <c r="AA1211" t="n">
        <v>218</v>
      </c>
      <c r="AB1211" t="n">
        <v>2</v>
      </c>
      <c r="AC1211" t="n">
        <v>2</v>
      </c>
      <c r="AD1211" t="n">
        <v>6</v>
      </c>
      <c r="AE1211" t="n">
        <v>6</v>
      </c>
      <c r="AF1211" t="n">
        <v>2</v>
      </c>
      <c r="AG1211" t="n">
        <v>2</v>
      </c>
      <c r="AH1211" t="n">
        <v>2</v>
      </c>
      <c r="AI1211" t="n">
        <v>2</v>
      </c>
      <c r="AJ1211" t="n">
        <v>2</v>
      </c>
      <c r="AK1211" t="n">
        <v>2</v>
      </c>
      <c r="AL1211" t="n">
        <v>1</v>
      </c>
      <c r="AM1211" t="n">
        <v>1</v>
      </c>
      <c r="AN1211" t="n">
        <v>0</v>
      </c>
      <c r="AO1211" t="n">
        <v>0</v>
      </c>
      <c r="AP1211" t="inlineStr">
        <is>
          <t>No</t>
        </is>
      </c>
      <c r="AQ1211" t="inlineStr">
        <is>
          <t>No</t>
        </is>
      </c>
      <c r="AS1211">
        <f>HYPERLINK("https://creighton-primo.hosted.exlibrisgroup.com/primo-explore/search?tab=default_tab&amp;search_scope=EVERYTHING&amp;vid=01CRU&amp;lang=en_US&amp;offset=0&amp;query=any,contains,991005277939702656","Catalog Record")</f>
        <v/>
      </c>
      <c r="AT1211">
        <f>HYPERLINK("http://www.worldcat.org/oclc/62161080","WorldCat Record")</f>
        <v/>
      </c>
      <c r="AU1211" t="inlineStr">
        <is>
          <t>364229734:eng</t>
        </is>
      </c>
      <c r="AV1211" t="inlineStr">
        <is>
          <t>62161080</t>
        </is>
      </c>
      <c r="AW1211" t="inlineStr">
        <is>
          <t>991005277939702656</t>
        </is>
      </c>
      <c r="AX1211" t="inlineStr">
        <is>
          <t>991005277939702656</t>
        </is>
      </c>
      <c r="AY1211" t="inlineStr">
        <is>
          <t>2270632450002656</t>
        </is>
      </c>
      <c r="AZ1211" t="inlineStr">
        <is>
          <t>BOOK</t>
        </is>
      </c>
      <c r="BB1211" t="inlineStr">
        <is>
          <t>9781560235569</t>
        </is>
      </c>
      <c r="BC1211" t="inlineStr">
        <is>
          <t>32285005473524</t>
        </is>
      </c>
      <c r="BD1211" t="inlineStr">
        <is>
          <t>893607125</t>
        </is>
      </c>
    </row>
    <row r="1212">
      <c r="A1212" t="inlineStr">
        <is>
          <t>No</t>
        </is>
      </c>
      <c r="B1212" t="inlineStr">
        <is>
          <t>RC558 .G74 1987</t>
        </is>
      </c>
      <c r="C1212" t="inlineStr">
        <is>
          <t>0                      RC 0558000G  74          1987</t>
        </is>
      </c>
      <c r="D1212" t="inlineStr">
        <is>
          <t>The "sissy boy syndrome" and the development of homosexuality / Richard Green.</t>
        </is>
      </c>
      <c r="F1212" t="inlineStr">
        <is>
          <t>No</t>
        </is>
      </c>
      <c r="G1212" t="inlineStr">
        <is>
          <t>1</t>
        </is>
      </c>
      <c r="H1212" t="inlineStr">
        <is>
          <t>Yes</t>
        </is>
      </c>
      <c r="I1212" t="inlineStr">
        <is>
          <t>No</t>
        </is>
      </c>
      <c r="J1212" t="inlineStr">
        <is>
          <t>0</t>
        </is>
      </c>
      <c r="K1212" t="inlineStr">
        <is>
          <t>Green, Richard, 1936-2019.</t>
        </is>
      </c>
      <c r="L1212" t="inlineStr">
        <is>
          <t>New Haven : Yale University Press, c1987.</t>
        </is>
      </c>
      <c r="M1212" t="inlineStr">
        <is>
          <t>1987</t>
        </is>
      </c>
      <c r="O1212" t="inlineStr">
        <is>
          <t>eng</t>
        </is>
      </c>
      <c r="P1212" t="inlineStr">
        <is>
          <t>ctu</t>
        </is>
      </c>
      <c r="R1212" t="inlineStr">
        <is>
          <t xml:space="preserve">RC </t>
        </is>
      </c>
      <c r="S1212" t="n">
        <v>2</v>
      </c>
      <c r="T1212" t="n">
        <v>2</v>
      </c>
      <c r="U1212" t="inlineStr">
        <is>
          <t>2010-01-11</t>
        </is>
      </c>
      <c r="V1212" t="inlineStr">
        <is>
          <t>2010-01-11</t>
        </is>
      </c>
      <c r="W1212" t="inlineStr">
        <is>
          <t>2010-01-11</t>
        </is>
      </c>
      <c r="X1212" t="inlineStr">
        <is>
          <t>2010-01-11</t>
        </is>
      </c>
      <c r="Y1212" t="n">
        <v>758</v>
      </c>
      <c r="Z1212" t="n">
        <v>621</v>
      </c>
      <c r="AA1212" t="n">
        <v>774</v>
      </c>
      <c r="AB1212" t="n">
        <v>4</v>
      </c>
      <c r="AC1212" t="n">
        <v>4</v>
      </c>
      <c r="AD1212" t="n">
        <v>21</v>
      </c>
      <c r="AE1212" t="n">
        <v>31</v>
      </c>
      <c r="AF1212" t="n">
        <v>7</v>
      </c>
      <c r="AG1212" t="n">
        <v>14</v>
      </c>
      <c r="AH1212" t="n">
        <v>8</v>
      </c>
      <c r="AI1212" t="n">
        <v>11</v>
      </c>
      <c r="AJ1212" t="n">
        <v>8</v>
      </c>
      <c r="AK1212" t="n">
        <v>12</v>
      </c>
      <c r="AL1212" t="n">
        <v>2</v>
      </c>
      <c r="AM1212" t="n">
        <v>2</v>
      </c>
      <c r="AN1212" t="n">
        <v>0</v>
      </c>
      <c r="AO1212" t="n">
        <v>0</v>
      </c>
      <c r="AP1212" t="inlineStr">
        <is>
          <t>No</t>
        </is>
      </c>
      <c r="AQ1212" t="inlineStr">
        <is>
          <t>No</t>
        </is>
      </c>
      <c r="AS1212">
        <f>HYPERLINK("https://creighton-primo.hosted.exlibrisgroup.com/primo-explore/search?tab=default_tab&amp;search_scope=EVERYTHING&amp;vid=01CRU&amp;lang=en_US&amp;offset=0&amp;query=any,contains,991005349089702656","Catalog Record")</f>
        <v/>
      </c>
      <c r="AT1212">
        <f>HYPERLINK("http://www.worldcat.org/oclc/12976186","WorldCat Record")</f>
        <v/>
      </c>
      <c r="AU1212" t="inlineStr">
        <is>
          <t>5652728:eng</t>
        </is>
      </c>
      <c r="AV1212" t="inlineStr">
        <is>
          <t>12976186</t>
        </is>
      </c>
      <c r="AW1212" t="inlineStr">
        <is>
          <t>991005349089702656</t>
        </is>
      </c>
      <c r="AX1212" t="inlineStr">
        <is>
          <t>991005349089702656</t>
        </is>
      </c>
      <c r="AY1212" t="inlineStr">
        <is>
          <t>2264062270002656</t>
        </is>
      </c>
      <c r="AZ1212" t="inlineStr">
        <is>
          <t>BOOK</t>
        </is>
      </c>
      <c r="BB1212" t="inlineStr">
        <is>
          <t>9780300036961</t>
        </is>
      </c>
      <c r="BC1212" t="inlineStr">
        <is>
          <t>32285005556088</t>
        </is>
      </c>
      <c r="BD1212" t="inlineStr">
        <is>
          <t>893254855</t>
        </is>
      </c>
    </row>
    <row r="1213">
      <c r="A1213" t="inlineStr">
        <is>
          <t>No</t>
        </is>
      </c>
      <c r="B1213" t="inlineStr">
        <is>
          <t>RC558 .M35 1987</t>
        </is>
      </c>
      <c r="C1213" t="inlineStr">
        <is>
          <t>0                      RC 0558000M  35          1987</t>
        </is>
      </c>
      <c r="D1213" t="inlineStr">
        <is>
          <t>Male and female homosexuality : psychological approaches / edited by Louis Diamant.</t>
        </is>
      </c>
      <c r="F1213" t="inlineStr">
        <is>
          <t>No</t>
        </is>
      </c>
      <c r="G1213" t="inlineStr">
        <is>
          <t>1</t>
        </is>
      </c>
      <c r="H1213" t="inlineStr">
        <is>
          <t>Yes</t>
        </is>
      </c>
      <c r="I1213" t="inlineStr">
        <is>
          <t>No</t>
        </is>
      </c>
      <c r="J1213" t="inlineStr">
        <is>
          <t>0</t>
        </is>
      </c>
      <c r="L1213" t="inlineStr">
        <is>
          <t>Washington : Hemisphere Pub. Corp., c1987.</t>
        </is>
      </c>
      <c r="M1213" t="inlineStr">
        <is>
          <t>1987</t>
        </is>
      </c>
      <c r="O1213" t="inlineStr">
        <is>
          <t>eng</t>
        </is>
      </c>
      <c r="P1213" t="inlineStr">
        <is>
          <t>dcu</t>
        </is>
      </c>
      <c r="Q1213" t="inlineStr">
        <is>
          <t>The Series in clinical and community psychology</t>
        </is>
      </c>
      <c r="R1213" t="inlineStr">
        <is>
          <t xml:space="preserve">RC </t>
        </is>
      </c>
      <c r="S1213" t="n">
        <v>35</v>
      </c>
      <c r="T1213" t="n">
        <v>35</v>
      </c>
      <c r="U1213" t="inlineStr">
        <is>
          <t>1999-10-03</t>
        </is>
      </c>
      <c r="V1213" t="inlineStr">
        <is>
          <t>1999-10-03</t>
        </is>
      </c>
      <c r="W1213" t="inlineStr">
        <is>
          <t>1992-05-26</t>
        </is>
      </c>
      <c r="X1213" t="inlineStr">
        <is>
          <t>1995-04-20</t>
        </is>
      </c>
      <c r="Y1213" t="n">
        <v>735</v>
      </c>
      <c r="Z1213" t="n">
        <v>650</v>
      </c>
      <c r="AA1213" t="n">
        <v>658</v>
      </c>
      <c r="AB1213" t="n">
        <v>6</v>
      </c>
      <c r="AC1213" t="n">
        <v>6</v>
      </c>
      <c r="AD1213" t="n">
        <v>30</v>
      </c>
      <c r="AE1213" t="n">
        <v>30</v>
      </c>
      <c r="AF1213" t="n">
        <v>11</v>
      </c>
      <c r="AG1213" t="n">
        <v>11</v>
      </c>
      <c r="AH1213" t="n">
        <v>9</v>
      </c>
      <c r="AI1213" t="n">
        <v>9</v>
      </c>
      <c r="AJ1213" t="n">
        <v>16</v>
      </c>
      <c r="AK1213" t="n">
        <v>16</v>
      </c>
      <c r="AL1213" t="n">
        <v>4</v>
      </c>
      <c r="AM1213" t="n">
        <v>4</v>
      </c>
      <c r="AN1213" t="n">
        <v>0</v>
      </c>
      <c r="AO1213" t="n">
        <v>0</v>
      </c>
      <c r="AP1213" t="inlineStr">
        <is>
          <t>No</t>
        </is>
      </c>
      <c r="AQ1213" t="inlineStr">
        <is>
          <t>Yes</t>
        </is>
      </c>
      <c r="AR1213">
        <f>HYPERLINK("http://catalog.hathitrust.org/Record/000825203","HathiTrust Record")</f>
        <v/>
      </c>
      <c r="AS1213">
        <f>HYPERLINK("https://creighton-primo.hosted.exlibrisgroup.com/primo-explore/search?tab=default_tab&amp;search_scope=EVERYTHING&amp;vid=01CRU&amp;lang=en_US&amp;offset=0&amp;query=any,contains,991001634919702656","Catalog Record")</f>
        <v/>
      </c>
      <c r="AT1213">
        <f>HYPERLINK("http://www.worldcat.org/oclc/14413485","WorldCat Record")</f>
        <v/>
      </c>
      <c r="AU1213" t="inlineStr">
        <is>
          <t>836676932:eng</t>
        </is>
      </c>
      <c r="AV1213" t="inlineStr">
        <is>
          <t>14413485</t>
        </is>
      </c>
      <c r="AW1213" t="inlineStr">
        <is>
          <t>991001634919702656</t>
        </is>
      </c>
      <c r="AX1213" t="inlineStr">
        <is>
          <t>991001634919702656</t>
        </is>
      </c>
      <c r="AY1213" t="inlineStr">
        <is>
          <t>2266395310002656</t>
        </is>
      </c>
      <c r="AZ1213" t="inlineStr">
        <is>
          <t>BOOK</t>
        </is>
      </c>
      <c r="BB1213" t="inlineStr">
        <is>
          <t>9780891164494</t>
        </is>
      </c>
      <c r="BC1213" t="inlineStr">
        <is>
          <t>32285001113066</t>
        </is>
      </c>
      <c r="BD1213" t="inlineStr">
        <is>
          <t>893809122</t>
        </is>
      </c>
    </row>
    <row r="1214">
      <c r="A1214" t="inlineStr">
        <is>
          <t>No</t>
        </is>
      </c>
      <c r="B1214" t="inlineStr">
        <is>
          <t>RC558 .O4</t>
        </is>
      </c>
      <c r="C1214" t="inlineStr">
        <is>
          <t>0                      RC 0558000O  4</t>
        </is>
      </c>
      <c r="D1214" t="inlineStr">
        <is>
          <t>The juvenile homosexual experience and its effect on adult sexuality / [by] Robert H.V. Ollendorff.</t>
        </is>
      </c>
      <c r="F1214" t="inlineStr">
        <is>
          <t>No</t>
        </is>
      </c>
      <c r="G1214" t="inlineStr">
        <is>
          <t>1</t>
        </is>
      </c>
      <c r="H1214" t="inlineStr">
        <is>
          <t>No</t>
        </is>
      </c>
      <c r="I1214" t="inlineStr">
        <is>
          <t>No</t>
        </is>
      </c>
      <c r="J1214" t="inlineStr">
        <is>
          <t>0</t>
        </is>
      </c>
      <c r="K1214" t="inlineStr">
        <is>
          <t>Ollendorff, Robert H. V.</t>
        </is>
      </c>
      <c r="L1214" t="inlineStr">
        <is>
          <t>New York : Julian Press, 1966.</t>
        </is>
      </c>
      <c r="M1214" t="inlineStr">
        <is>
          <t>1966</t>
        </is>
      </c>
      <c r="O1214" t="inlineStr">
        <is>
          <t>eng</t>
        </is>
      </c>
      <c r="P1214" t="inlineStr">
        <is>
          <t>nyu</t>
        </is>
      </c>
      <c r="R1214" t="inlineStr">
        <is>
          <t xml:space="preserve">RC </t>
        </is>
      </c>
      <c r="S1214" t="n">
        <v>17</v>
      </c>
      <c r="T1214" t="n">
        <v>17</v>
      </c>
      <c r="U1214" t="inlineStr">
        <is>
          <t>1998-04-26</t>
        </is>
      </c>
      <c r="V1214" t="inlineStr">
        <is>
          <t>1998-04-26</t>
        </is>
      </c>
      <c r="W1214" t="inlineStr">
        <is>
          <t>1992-11-05</t>
        </is>
      </c>
      <c r="X1214" t="inlineStr">
        <is>
          <t>1992-11-05</t>
        </is>
      </c>
      <c r="Y1214" t="n">
        <v>203</v>
      </c>
      <c r="Z1214" t="n">
        <v>173</v>
      </c>
      <c r="AA1214" t="n">
        <v>184</v>
      </c>
      <c r="AB1214" t="n">
        <v>4</v>
      </c>
      <c r="AC1214" t="n">
        <v>4</v>
      </c>
      <c r="AD1214" t="n">
        <v>7</v>
      </c>
      <c r="AE1214" t="n">
        <v>7</v>
      </c>
      <c r="AF1214" t="n">
        <v>2</v>
      </c>
      <c r="AG1214" t="n">
        <v>2</v>
      </c>
      <c r="AH1214" t="n">
        <v>0</v>
      </c>
      <c r="AI1214" t="n">
        <v>0</v>
      </c>
      <c r="AJ1214" t="n">
        <v>2</v>
      </c>
      <c r="AK1214" t="n">
        <v>2</v>
      </c>
      <c r="AL1214" t="n">
        <v>3</v>
      </c>
      <c r="AM1214" t="n">
        <v>3</v>
      </c>
      <c r="AN1214" t="n">
        <v>0</v>
      </c>
      <c r="AO1214" t="n">
        <v>0</v>
      </c>
      <c r="AP1214" t="inlineStr">
        <is>
          <t>No</t>
        </is>
      </c>
      <c r="AQ1214" t="inlineStr">
        <is>
          <t>No</t>
        </is>
      </c>
      <c r="AS1214">
        <f>HYPERLINK("https://creighton-primo.hosted.exlibrisgroup.com/primo-explore/search?tab=default_tab&amp;search_scope=EVERYTHING&amp;vid=01CRU&amp;lang=en_US&amp;offset=0&amp;query=any,contains,991002919689702656","Catalog Record")</f>
        <v/>
      </c>
      <c r="AT1214">
        <f>HYPERLINK("http://www.worldcat.org/oclc/526160","WorldCat Record")</f>
        <v/>
      </c>
      <c r="AU1214" t="inlineStr">
        <is>
          <t>2639054:eng</t>
        </is>
      </c>
      <c r="AV1214" t="inlineStr">
        <is>
          <t>526160</t>
        </is>
      </c>
      <c r="AW1214" t="inlineStr">
        <is>
          <t>991002919689702656</t>
        </is>
      </c>
      <c r="AX1214" t="inlineStr">
        <is>
          <t>991002919689702656</t>
        </is>
      </c>
      <c r="AY1214" t="inlineStr">
        <is>
          <t>2262245950002656</t>
        </is>
      </c>
      <c r="AZ1214" t="inlineStr">
        <is>
          <t>BOOK</t>
        </is>
      </c>
      <c r="BC1214" t="inlineStr">
        <is>
          <t>32285001380988</t>
        </is>
      </c>
      <c r="BD1214" t="inlineStr">
        <is>
          <t>893530638</t>
        </is>
      </c>
    </row>
    <row r="1215">
      <c r="A1215" t="inlineStr">
        <is>
          <t>No</t>
        </is>
      </c>
      <c r="B1215" t="inlineStr">
        <is>
          <t>RC558 .S33</t>
        </is>
      </c>
      <c r="C1215" t="inlineStr">
        <is>
          <t>0                      RC 0558000S  33</t>
        </is>
      </c>
      <c r="D1215" t="inlineStr">
        <is>
          <t>Male and female homosexuality : a comprehensive investigation / [by] Marcel T. Saghir [and] Eli Robins.</t>
        </is>
      </c>
      <c r="F1215" t="inlineStr">
        <is>
          <t>No</t>
        </is>
      </c>
      <c r="G1215" t="inlineStr">
        <is>
          <t>1</t>
        </is>
      </c>
      <c r="H1215" t="inlineStr">
        <is>
          <t>No</t>
        </is>
      </c>
      <c r="I1215" t="inlineStr">
        <is>
          <t>No</t>
        </is>
      </c>
      <c r="J1215" t="inlineStr">
        <is>
          <t>0</t>
        </is>
      </c>
      <c r="K1215" t="inlineStr">
        <is>
          <t>Saghir, Marcel T.</t>
        </is>
      </c>
      <c r="L1215" t="inlineStr">
        <is>
          <t>Baltimore : Williams &amp; Wilkins, [1973]</t>
        </is>
      </c>
      <c r="M1215" t="inlineStr">
        <is>
          <t>1973</t>
        </is>
      </c>
      <c r="O1215" t="inlineStr">
        <is>
          <t>eng</t>
        </is>
      </c>
      <c r="P1215" t="inlineStr">
        <is>
          <t>mdu</t>
        </is>
      </c>
      <c r="R1215" t="inlineStr">
        <is>
          <t xml:space="preserve">RC </t>
        </is>
      </c>
      <c r="S1215" t="n">
        <v>15</v>
      </c>
      <c r="T1215" t="n">
        <v>15</v>
      </c>
      <c r="U1215" t="inlineStr">
        <is>
          <t>1999-04-05</t>
        </is>
      </c>
      <c r="V1215" t="inlineStr">
        <is>
          <t>1999-04-05</t>
        </is>
      </c>
      <c r="W1215" t="inlineStr">
        <is>
          <t>1993-03-24</t>
        </is>
      </c>
      <c r="X1215" t="inlineStr">
        <is>
          <t>1993-03-24</t>
        </is>
      </c>
      <c r="Y1215" t="n">
        <v>487</v>
      </c>
      <c r="Z1215" t="n">
        <v>397</v>
      </c>
      <c r="AA1215" t="n">
        <v>399</v>
      </c>
      <c r="AB1215" t="n">
        <v>6</v>
      </c>
      <c r="AC1215" t="n">
        <v>6</v>
      </c>
      <c r="AD1215" t="n">
        <v>14</v>
      </c>
      <c r="AE1215" t="n">
        <v>14</v>
      </c>
      <c r="AF1215" t="n">
        <v>2</v>
      </c>
      <c r="AG1215" t="n">
        <v>2</v>
      </c>
      <c r="AH1215" t="n">
        <v>4</v>
      </c>
      <c r="AI1215" t="n">
        <v>4</v>
      </c>
      <c r="AJ1215" t="n">
        <v>6</v>
      </c>
      <c r="AK1215" t="n">
        <v>6</v>
      </c>
      <c r="AL1215" t="n">
        <v>3</v>
      </c>
      <c r="AM1215" t="n">
        <v>3</v>
      </c>
      <c r="AN1215" t="n">
        <v>1</v>
      </c>
      <c r="AO1215" t="n">
        <v>1</v>
      </c>
      <c r="AP1215" t="inlineStr">
        <is>
          <t>No</t>
        </is>
      </c>
      <c r="AQ1215" t="inlineStr">
        <is>
          <t>Yes</t>
        </is>
      </c>
      <c r="AR1215">
        <f>HYPERLINK("http://catalog.hathitrust.org/Record/001565209","HathiTrust Record")</f>
        <v/>
      </c>
      <c r="AS1215">
        <f>HYPERLINK("https://creighton-primo.hosted.exlibrisgroup.com/primo-explore/search?tab=default_tab&amp;search_scope=EVERYTHING&amp;vid=01CRU&amp;lang=en_US&amp;offset=0&amp;query=any,contains,991005309319702656","Catalog Record")</f>
        <v/>
      </c>
      <c r="AT1215">
        <f>HYPERLINK("http://www.worldcat.org/oclc/508519","WorldCat Record")</f>
        <v/>
      </c>
      <c r="AU1215" t="inlineStr">
        <is>
          <t>1462184:eng</t>
        </is>
      </c>
      <c r="AV1215" t="inlineStr">
        <is>
          <t>508519</t>
        </is>
      </c>
      <c r="AW1215" t="inlineStr">
        <is>
          <t>991005309319702656</t>
        </is>
      </c>
      <c r="AX1215" t="inlineStr">
        <is>
          <t>991005309319702656</t>
        </is>
      </c>
      <c r="AY1215" t="inlineStr">
        <is>
          <t>2261013150002656</t>
        </is>
      </c>
      <c r="AZ1215" t="inlineStr">
        <is>
          <t>BOOK</t>
        </is>
      </c>
      <c r="BB1215" t="inlineStr">
        <is>
          <t>9780683074901</t>
        </is>
      </c>
      <c r="BC1215" t="inlineStr">
        <is>
          <t>32285001579753</t>
        </is>
      </c>
      <c r="BD1215" t="inlineStr">
        <is>
          <t>893789779</t>
        </is>
      </c>
    </row>
    <row r="1216">
      <c r="A1216" t="inlineStr">
        <is>
          <t>No</t>
        </is>
      </c>
      <c r="B1216" t="inlineStr">
        <is>
          <t>RC558 .S64</t>
        </is>
      </c>
      <c r="C1216" t="inlineStr">
        <is>
          <t>0                      RC 0558000S  64</t>
        </is>
      </c>
      <c r="D1216" t="inlineStr">
        <is>
          <t>The overt homosexual / [by] Charles W. Socarides.</t>
        </is>
      </c>
      <c r="F1216" t="inlineStr">
        <is>
          <t>No</t>
        </is>
      </c>
      <c r="G1216" t="inlineStr">
        <is>
          <t>1</t>
        </is>
      </c>
      <c r="H1216" t="inlineStr">
        <is>
          <t>No</t>
        </is>
      </c>
      <c r="I1216" t="inlineStr">
        <is>
          <t>No</t>
        </is>
      </c>
      <c r="J1216" t="inlineStr">
        <is>
          <t>0</t>
        </is>
      </c>
      <c r="K1216" t="inlineStr">
        <is>
          <t>Socarides, Charles W., 1922-2005.</t>
        </is>
      </c>
      <c r="L1216" t="inlineStr">
        <is>
          <t>New York : Grune &amp; Stratton, [1968].</t>
        </is>
      </c>
      <c r="M1216" t="inlineStr">
        <is>
          <t>1968</t>
        </is>
      </c>
      <c r="O1216" t="inlineStr">
        <is>
          <t>eng</t>
        </is>
      </c>
      <c r="P1216" t="inlineStr">
        <is>
          <t>nyu</t>
        </is>
      </c>
      <c r="R1216" t="inlineStr">
        <is>
          <t xml:space="preserve">RC </t>
        </is>
      </c>
      <c r="S1216" t="n">
        <v>15</v>
      </c>
      <c r="T1216" t="n">
        <v>15</v>
      </c>
      <c r="U1216" t="inlineStr">
        <is>
          <t>1999-04-12</t>
        </is>
      </c>
      <c r="V1216" t="inlineStr">
        <is>
          <t>1999-04-12</t>
        </is>
      </c>
      <c r="W1216" t="inlineStr">
        <is>
          <t>1991-10-21</t>
        </is>
      </c>
      <c r="X1216" t="inlineStr">
        <is>
          <t>1991-10-21</t>
        </is>
      </c>
      <c r="Y1216" t="n">
        <v>302</v>
      </c>
      <c r="Z1216" t="n">
        <v>251</v>
      </c>
      <c r="AA1216" t="n">
        <v>261</v>
      </c>
      <c r="AB1216" t="n">
        <v>3</v>
      </c>
      <c r="AC1216" t="n">
        <v>3</v>
      </c>
      <c r="AD1216" t="n">
        <v>9</v>
      </c>
      <c r="AE1216" t="n">
        <v>9</v>
      </c>
      <c r="AF1216" t="n">
        <v>1</v>
      </c>
      <c r="AG1216" t="n">
        <v>1</v>
      </c>
      <c r="AH1216" t="n">
        <v>2</v>
      </c>
      <c r="AI1216" t="n">
        <v>2</v>
      </c>
      <c r="AJ1216" t="n">
        <v>4</v>
      </c>
      <c r="AK1216" t="n">
        <v>4</v>
      </c>
      <c r="AL1216" t="n">
        <v>2</v>
      </c>
      <c r="AM1216" t="n">
        <v>2</v>
      </c>
      <c r="AN1216" t="n">
        <v>0</v>
      </c>
      <c r="AO1216" t="n">
        <v>0</v>
      </c>
      <c r="AP1216" t="inlineStr">
        <is>
          <t>No</t>
        </is>
      </c>
      <c r="AQ1216" t="inlineStr">
        <is>
          <t>Yes</t>
        </is>
      </c>
      <c r="AR1216">
        <f>HYPERLINK("http://catalog.hathitrust.org/Record/001565211","HathiTrust Record")</f>
        <v/>
      </c>
      <c r="AS1216">
        <f>HYPERLINK("https://creighton-primo.hosted.exlibrisgroup.com/primo-explore/search?tab=default_tab&amp;search_scope=EVERYTHING&amp;vid=01CRU&amp;lang=en_US&amp;offset=0&amp;query=any,contains,991002786029702656","Catalog Record")</f>
        <v/>
      </c>
      <c r="AT1216">
        <f>HYPERLINK("http://www.worldcat.org/oclc/441670","WorldCat Record")</f>
        <v/>
      </c>
      <c r="AU1216" t="inlineStr">
        <is>
          <t>142134482:eng</t>
        </is>
      </c>
      <c r="AV1216" t="inlineStr">
        <is>
          <t>441670</t>
        </is>
      </c>
      <c r="AW1216" t="inlineStr">
        <is>
          <t>991002786029702656</t>
        </is>
      </c>
      <c r="AX1216" t="inlineStr">
        <is>
          <t>991002786029702656</t>
        </is>
      </c>
      <c r="AY1216" t="inlineStr">
        <is>
          <t>2255826150002656</t>
        </is>
      </c>
      <c r="AZ1216" t="inlineStr">
        <is>
          <t>BOOK</t>
        </is>
      </c>
      <c r="BC1216" t="inlineStr">
        <is>
          <t>32285000775394</t>
        </is>
      </c>
      <c r="BD1216" t="inlineStr">
        <is>
          <t>893591773</t>
        </is>
      </c>
    </row>
    <row r="1217">
      <c r="A1217" t="inlineStr">
        <is>
          <t>No</t>
        </is>
      </c>
      <c r="B1217" t="inlineStr">
        <is>
          <t>RC560.C4 G7</t>
        </is>
      </c>
      <c r="C1217" t="inlineStr">
        <is>
          <t>0                      RC 0560000C  4                  G  7</t>
        </is>
      </c>
      <c r="D1217" t="inlineStr">
        <is>
          <t>Transsexualism and sex reassignment / Richard Green and John Money, editors.</t>
        </is>
      </c>
      <c r="F1217" t="inlineStr">
        <is>
          <t>No</t>
        </is>
      </c>
      <c r="G1217" t="inlineStr">
        <is>
          <t>1</t>
        </is>
      </c>
      <c r="H1217" t="inlineStr">
        <is>
          <t>Yes</t>
        </is>
      </c>
      <c r="I1217" t="inlineStr">
        <is>
          <t>No</t>
        </is>
      </c>
      <c r="J1217" t="inlineStr">
        <is>
          <t>0</t>
        </is>
      </c>
      <c r="K1217" t="inlineStr">
        <is>
          <t>Green, Richard, 1936-2019.</t>
        </is>
      </c>
      <c r="L1217" t="inlineStr">
        <is>
          <t>Baltimore : Johns Hopkins Press, [1969]</t>
        </is>
      </c>
      <c r="M1217" t="inlineStr">
        <is>
          <t>1969</t>
        </is>
      </c>
      <c r="O1217" t="inlineStr">
        <is>
          <t>eng</t>
        </is>
      </c>
      <c r="P1217" t="inlineStr">
        <is>
          <t>mdu</t>
        </is>
      </c>
      <c r="R1217" t="inlineStr">
        <is>
          <t xml:space="preserve">RC </t>
        </is>
      </c>
      <c r="S1217" t="n">
        <v>10</v>
      </c>
      <c r="T1217" t="n">
        <v>34</v>
      </c>
      <c r="U1217" t="inlineStr">
        <is>
          <t>1994-11-13</t>
        </is>
      </c>
      <c r="V1217" t="inlineStr">
        <is>
          <t>1994-11-13</t>
        </is>
      </c>
      <c r="W1217" t="inlineStr">
        <is>
          <t>1992-04-11</t>
        </is>
      </c>
      <c r="X1217" t="inlineStr">
        <is>
          <t>1992-04-11</t>
        </is>
      </c>
      <c r="Y1217" t="n">
        <v>459</v>
      </c>
      <c r="Z1217" t="n">
        <v>372</v>
      </c>
      <c r="AA1217" t="n">
        <v>384</v>
      </c>
      <c r="AB1217" t="n">
        <v>2</v>
      </c>
      <c r="AC1217" t="n">
        <v>3</v>
      </c>
      <c r="AD1217" t="n">
        <v>12</v>
      </c>
      <c r="AE1217" t="n">
        <v>14</v>
      </c>
      <c r="AF1217" t="n">
        <v>3</v>
      </c>
      <c r="AG1217" t="n">
        <v>3</v>
      </c>
      <c r="AH1217" t="n">
        <v>2</v>
      </c>
      <c r="AI1217" t="n">
        <v>2</v>
      </c>
      <c r="AJ1217" t="n">
        <v>7</v>
      </c>
      <c r="AK1217" t="n">
        <v>8</v>
      </c>
      <c r="AL1217" t="n">
        <v>0</v>
      </c>
      <c r="AM1217" t="n">
        <v>1</v>
      </c>
      <c r="AN1217" t="n">
        <v>1</v>
      </c>
      <c r="AO1217" t="n">
        <v>1</v>
      </c>
      <c r="AP1217" t="inlineStr">
        <is>
          <t>No</t>
        </is>
      </c>
      <c r="AQ1217" t="inlineStr">
        <is>
          <t>Yes</t>
        </is>
      </c>
      <c r="AR1217">
        <f>HYPERLINK("http://catalog.hathitrust.org/Record/003515317","HathiTrust Record")</f>
        <v/>
      </c>
      <c r="AS1217">
        <f>HYPERLINK("https://creighton-primo.hosted.exlibrisgroup.com/primo-explore/search?tab=default_tab&amp;search_scope=EVERYTHING&amp;vid=01CRU&amp;lang=en_US&amp;offset=0&amp;query=any,contains,991001792679702656","Catalog Record")</f>
        <v/>
      </c>
      <c r="AT1217">
        <f>HYPERLINK("http://www.worldcat.org/oclc/23098","WorldCat Record")</f>
        <v/>
      </c>
      <c r="AU1217" t="inlineStr">
        <is>
          <t>346906238:eng</t>
        </is>
      </c>
      <c r="AV1217" t="inlineStr">
        <is>
          <t>23098</t>
        </is>
      </c>
      <c r="AW1217" t="inlineStr">
        <is>
          <t>991001792679702656</t>
        </is>
      </c>
      <c r="AX1217" t="inlineStr">
        <is>
          <t>991001792679702656</t>
        </is>
      </c>
      <c r="AY1217" t="inlineStr">
        <is>
          <t>2265424270002656</t>
        </is>
      </c>
      <c r="AZ1217" t="inlineStr">
        <is>
          <t>BOOK</t>
        </is>
      </c>
      <c r="BB1217" t="inlineStr">
        <is>
          <t>9780801810381</t>
        </is>
      </c>
      <c r="BC1217" t="inlineStr">
        <is>
          <t>32285001057909</t>
        </is>
      </c>
      <c r="BD1217" t="inlineStr">
        <is>
          <t>893772913</t>
        </is>
      </c>
    </row>
    <row r="1218">
      <c r="A1218" t="inlineStr">
        <is>
          <t>No</t>
        </is>
      </c>
      <c r="B1218" t="inlineStr">
        <is>
          <t>RC560.C4 J6</t>
        </is>
      </c>
      <c r="C1218" t="inlineStr">
        <is>
          <t>0                      RC 0560000C  4                  J  6</t>
        </is>
      </c>
      <c r="D1218" t="inlineStr">
        <is>
          <t>Christine Jorgensen : personal autobiography / with an introd. by Harry Benjamin.</t>
        </is>
      </c>
      <c r="F1218" t="inlineStr">
        <is>
          <t>No</t>
        </is>
      </c>
      <c r="G1218" t="inlineStr">
        <is>
          <t>1</t>
        </is>
      </c>
      <c r="H1218" t="inlineStr">
        <is>
          <t>No</t>
        </is>
      </c>
      <c r="I1218" t="inlineStr">
        <is>
          <t>No</t>
        </is>
      </c>
      <c r="J1218" t="inlineStr">
        <is>
          <t>0</t>
        </is>
      </c>
      <c r="K1218" t="inlineStr">
        <is>
          <t>Jorgensen, Christine, 1926-1989.</t>
        </is>
      </c>
      <c r="L1218" t="inlineStr">
        <is>
          <t>New York : P. S. Eriksson, [1967]</t>
        </is>
      </c>
      <c r="M1218" t="inlineStr">
        <is>
          <t>1967</t>
        </is>
      </c>
      <c r="O1218" t="inlineStr">
        <is>
          <t>eng</t>
        </is>
      </c>
      <c r="P1218" t="inlineStr">
        <is>
          <t>nyu</t>
        </is>
      </c>
      <c r="R1218" t="inlineStr">
        <is>
          <t xml:space="preserve">RC </t>
        </is>
      </c>
      <c r="S1218" t="n">
        <v>1</v>
      </c>
      <c r="T1218" t="n">
        <v>1</v>
      </c>
      <c r="U1218" t="inlineStr">
        <is>
          <t>1993-07-23</t>
        </is>
      </c>
      <c r="V1218" t="inlineStr">
        <is>
          <t>1993-07-23</t>
        </is>
      </c>
      <c r="W1218" t="inlineStr">
        <is>
          <t>1992-04-11</t>
        </is>
      </c>
      <c r="X1218" t="inlineStr">
        <is>
          <t>1992-04-11</t>
        </is>
      </c>
      <c r="Y1218" t="n">
        <v>295</v>
      </c>
      <c r="Z1218" t="n">
        <v>285</v>
      </c>
      <c r="AA1218" t="n">
        <v>453</v>
      </c>
      <c r="AB1218" t="n">
        <v>1</v>
      </c>
      <c r="AC1218" t="n">
        <v>2</v>
      </c>
      <c r="AD1218" t="n">
        <v>1</v>
      </c>
      <c r="AE1218" t="n">
        <v>8</v>
      </c>
      <c r="AF1218" t="n">
        <v>0</v>
      </c>
      <c r="AG1218" t="n">
        <v>4</v>
      </c>
      <c r="AH1218" t="n">
        <v>0</v>
      </c>
      <c r="AI1218" t="n">
        <v>1</v>
      </c>
      <c r="AJ1218" t="n">
        <v>0</v>
      </c>
      <c r="AK1218" t="n">
        <v>3</v>
      </c>
      <c r="AL1218" t="n">
        <v>0</v>
      </c>
      <c r="AM1218" t="n">
        <v>1</v>
      </c>
      <c r="AN1218" t="n">
        <v>1</v>
      </c>
      <c r="AO1218" t="n">
        <v>1</v>
      </c>
      <c r="AP1218" t="inlineStr">
        <is>
          <t>No</t>
        </is>
      </c>
      <c r="AQ1218" t="inlineStr">
        <is>
          <t>No</t>
        </is>
      </c>
      <c r="AS1218">
        <f>HYPERLINK("https://creighton-primo.hosted.exlibrisgroup.com/primo-explore/search?tab=default_tab&amp;search_scope=EVERYTHING&amp;vid=01CRU&amp;lang=en_US&amp;offset=0&amp;query=any,contains,991002115029702656","Catalog Record")</f>
        <v/>
      </c>
      <c r="AT1218">
        <f>HYPERLINK("http://www.worldcat.org/oclc/268214","WorldCat Record")</f>
        <v/>
      </c>
      <c r="AU1218" t="inlineStr">
        <is>
          <t>13634354:eng</t>
        </is>
      </c>
      <c r="AV1218" t="inlineStr">
        <is>
          <t>268214</t>
        </is>
      </c>
      <c r="AW1218" t="inlineStr">
        <is>
          <t>991002115029702656</t>
        </is>
      </c>
      <c r="AX1218" t="inlineStr">
        <is>
          <t>991002115029702656</t>
        </is>
      </c>
      <c r="AY1218" t="inlineStr">
        <is>
          <t>2270520060002656</t>
        </is>
      </c>
      <c r="AZ1218" t="inlineStr">
        <is>
          <t>BOOK</t>
        </is>
      </c>
      <c r="BC1218" t="inlineStr">
        <is>
          <t>32285001057891</t>
        </is>
      </c>
      <c r="BD1218" t="inlineStr">
        <is>
          <t>893433494</t>
        </is>
      </c>
    </row>
    <row r="1219">
      <c r="A1219" t="inlineStr">
        <is>
          <t>No</t>
        </is>
      </c>
      <c r="B1219" t="inlineStr">
        <is>
          <t>RC560.C4 K67</t>
        </is>
      </c>
      <c r="C1219" t="inlineStr">
        <is>
          <t>0                      RC 0560000C  4                  K  67</t>
        </is>
      </c>
      <c r="D1219" t="inlineStr">
        <is>
          <t>Transsexuality in the male : the spectrum of gender dysphoria / by Erwin K. Koranyi ; with a foreword by Ralph Slovenko.</t>
        </is>
      </c>
      <c r="F1219" t="inlineStr">
        <is>
          <t>No</t>
        </is>
      </c>
      <c r="G1219" t="inlineStr">
        <is>
          <t>1</t>
        </is>
      </c>
      <c r="H1219" t="inlineStr">
        <is>
          <t>No</t>
        </is>
      </c>
      <c r="I1219" t="inlineStr">
        <is>
          <t>No</t>
        </is>
      </c>
      <c r="J1219" t="inlineStr">
        <is>
          <t>0</t>
        </is>
      </c>
      <c r="K1219" t="inlineStr">
        <is>
          <t>Koranyi, Erwin K.</t>
        </is>
      </c>
      <c r="L1219" t="inlineStr">
        <is>
          <t>Springfield, Ill. : Thomas, c1980.</t>
        </is>
      </c>
      <c r="M1219" t="inlineStr">
        <is>
          <t>1980</t>
        </is>
      </c>
      <c r="O1219" t="inlineStr">
        <is>
          <t>eng</t>
        </is>
      </c>
      <c r="P1219" t="inlineStr">
        <is>
          <t>ilu</t>
        </is>
      </c>
      <c r="Q1219" t="inlineStr">
        <is>
          <t>American lecture series ; publication no. 1030</t>
        </is>
      </c>
      <c r="R1219" t="inlineStr">
        <is>
          <t xml:space="preserve">RC </t>
        </is>
      </c>
      <c r="S1219" t="n">
        <v>8</v>
      </c>
      <c r="T1219" t="n">
        <v>8</v>
      </c>
      <c r="U1219" t="inlineStr">
        <is>
          <t>2006-03-11</t>
        </is>
      </c>
      <c r="V1219" t="inlineStr">
        <is>
          <t>2006-03-11</t>
        </is>
      </c>
      <c r="W1219" t="inlineStr">
        <is>
          <t>1992-04-09</t>
        </is>
      </c>
      <c r="X1219" t="inlineStr">
        <is>
          <t>1992-04-09</t>
        </is>
      </c>
      <c r="Y1219" t="n">
        <v>171</v>
      </c>
      <c r="Z1219" t="n">
        <v>138</v>
      </c>
      <c r="AA1219" t="n">
        <v>143</v>
      </c>
      <c r="AB1219" t="n">
        <v>2</v>
      </c>
      <c r="AC1219" t="n">
        <v>2</v>
      </c>
      <c r="AD1219" t="n">
        <v>5</v>
      </c>
      <c r="AE1219" t="n">
        <v>5</v>
      </c>
      <c r="AF1219" t="n">
        <v>1</v>
      </c>
      <c r="AG1219" t="n">
        <v>1</v>
      </c>
      <c r="AH1219" t="n">
        <v>0</v>
      </c>
      <c r="AI1219" t="n">
        <v>0</v>
      </c>
      <c r="AJ1219" t="n">
        <v>3</v>
      </c>
      <c r="AK1219" t="n">
        <v>3</v>
      </c>
      <c r="AL1219" t="n">
        <v>1</v>
      </c>
      <c r="AM1219" t="n">
        <v>1</v>
      </c>
      <c r="AN1219" t="n">
        <v>0</v>
      </c>
      <c r="AO1219" t="n">
        <v>0</v>
      </c>
      <c r="AP1219" t="inlineStr">
        <is>
          <t>No</t>
        </is>
      </c>
      <c r="AQ1219" t="inlineStr">
        <is>
          <t>Yes</t>
        </is>
      </c>
      <c r="AR1219">
        <f>HYPERLINK("http://catalog.hathitrust.org/Record/003516307","HathiTrust Record")</f>
        <v/>
      </c>
      <c r="AS1219">
        <f>HYPERLINK("https://creighton-primo.hosted.exlibrisgroup.com/primo-explore/search?tab=default_tab&amp;search_scope=EVERYTHING&amp;vid=01CRU&amp;lang=en_US&amp;offset=0&amp;query=any,contains,991004740899702656","Catalog Record")</f>
        <v/>
      </c>
      <c r="AT1219">
        <f>HYPERLINK("http://www.worldcat.org/oclc/4883399","WorldCat Record")</f>
        <v/>
      </c>
      <c r="AU1219" t="inlineStr">
        <is>
          <t>304437783:eng</t>
        </is>
      </c>
      <c r="AV1219" t="inlineStr">
        <is>
          <t>4883399</t>
        </is>
      </c>
      <c r="AW1219" t="inlineStr">
        <is>
          <t>991004740899702656</t>
        </is>
      </c>
      <c r="AX1219" t="inlineStr">
        <is>
          <t>991004740899702656</t>
        </is>
      </c>
      <c r="AY1219" t="inlineStr">
        <is>
          <t>2264112570002656</t>
        </is>
      </c>
      <c r="AZ1219" t="inlineStr">
        <is>
          <t>BOOK</t>
        </is>
      </c>
      <c r="BB1219" t="inlineStr">
        <is>
          <t>9780398039240</t>
        </is>
      </c>
      <c r="BC1219" t="inlineStr">
        <is>
          <t>32285001066611</t>
        </is>
      </c>
      <c r="BD1219" t="inlineStr">
        <is>
          <t>893436690</t>
        </is>
      </c>
    </row>
    <row r="1220">
      <c r="A1220" t="inlineStr">
        <is>
          <t>No</t>
        </is>
      </c>
      <c r="B1220" t="inlineStr">
        <is>
          <t>RC560.C4 M37 1977</t>
        </is>
      </c>
      <c r="C1220" t="inlineStr">
        <is>
          <t>0                      RC 0560000C  4                  M  37          1977</t>
        </is>
      </c>
      <c r="D1220" t="inlineStr">
        <is>
          <t>Emergence : a transsexual autobiography / Mario Martino, with Harriett.</t>
        </is>
      </c>
      <c r="F1220" t="inlineStr">
        <is>
          <t>No</t>
        </is>
      </c>
      <c r="G1220" t="inlineStr">
        <is>
          <t>1</t>
        </is>
      </c>
      <c r="H1220" t="inlineStr">
        <is>
          <t>No</t>
        </is>
      </c>
      <c r="I1220" t="inlineStr">
        <is>
          <t>No</t>
        </is>
      </c>
      <c r="J1220" t="inlineStr">
        <is>
          <t>0</t>
        </is>
      </c>
      <c r="K1220" t="inlineStr">
        <is>
          <t>Martino, Mario.</t>
        </is>
      </c>
      <c r="L1220" t="inlineStr">
        <is>
          <t>New York : Crown Publishers, c1977.</t>
        </is>
      </c>
      <c r="M1220" t="inlineStr">
        <is>
          <t>1977</t>
        </is>
      </c>
      <c r="O1220" t="inlineStr">
        <is>
          <t>eng</t>
        </is>
      </c>
      <c r="P1220" t="inlineStr">
        <is>
          <t>nyu</t>
        </is>
      </c>
      <c r="R1220" t="inlineStr">
        <is>
          <t xml:space="preserve">RC </t>
        </is>
      </c>
      <c r="S1220" t="n">
        <v>0</v>
      </c>
      <c r="T1220" t="n">
        <v>0</v>
      </c>
      <c r="U1220" t="inlineStr">
        <is>
          <t>2003-12-15</t>
        </is>
      </c>
      <c r="V1220" t="inlineStr">
        <is>
          <t>2003-12-15</t>
        </is>
      </c>
      <c r="W1220" t="inlineStr">
        <is>
          <t>1992-11-10</t>
        </is>
      </c>
      <c r="X1220" t="inlineStr">
        <is>
          <t>1992-11-10</t>
        </is>
      </c>
      <c r="Y1220" t="n">
        <v>305</v>
      </c>
      <c r="Z1220" t="n">
        <v>286</v>
      </c>
      <c r="AA1220" t="n">
        <v>291</v>
      </c>
      <c r="AB1220" t="n">
        <v>4</v>
      </c>
      <c r="AC1220" t="n">
        <v>4</v>
      </c>
      <c r="AD1220" t="n">
        <v>3</v>
      </c>
      <c r="AE1220" t="n">
        <v>3</v>
      </c>
      <c r="AF1220" t="n">
        <v>1</v>
      </c>
      <c r="AG1220" t="n">
        <v>1</v>
      </c>
      <c r="AH1220" t="n">
        <v>0</v>
      </c>
      <c r="AI1220" t="n">
        <v>0</v>
      </c>
      <c r="AJ1220" t="n">
        <v>1</v>
      </c>
      <c r="AK1220" t="n">
        <v>1</v>
      </c>
      <c r="AL1220" t="n">
        <v>1</v>
      </c>
      <c r="AM1220" t="n">
        <v>1</v>
      </c>
      <c r="AN1220" t="n">
        <v>0</v>
      </c>
      <c r="AO1220" t="n">
        <v>0</v>
      </c>
      <c r="AP1220" t="inlineStr">
        <is>
          <t>No</t>
        </is>
      </c>
      <c r="AQ1220" t="inlineStr">
        <is>
          <t>Yes</t>
        </is>
      </c>
      <c r="AR1220">
        <f>HYPERLINK("http://catalog.hathitrust.org/Record/003515346","HathiTrust Record")</f>
        <v/>
      </c>
      <c r="AS1220">
        <f>HYPERLINK("https://creighton-primo.hosted.exlibrisgroup.com/primo-explore/search?tab=default_tab&amp;search_scope=EVERYTHING&amp;vid=01CRU&amp;lang=en_US&amp;offset=0&amp;query=any,contains,991004259719702656","Catalog Record")</f>
        <v/>
      </c>
      <c r="AT1220">
        <f>HYPERLINK("http://www.worldcat.org/oclc/2837410","WorldCat Record")</f>
        <v/>
      </c>
      <c r="AU1220" t="inlineStr">
        <is>
          <t>6494897:eng</t>
        </is>
      </c>
      <c r="AV1220" t="inlineStr">
        <is>
          <t>2837410</t>
        </is>
      </c>
      <c r="AW1220" t="inlineStr">
        <is>
          <t>991004259719702656</t>
        </is>
      </c>
      <c r="AX1220" t="inlineStr">
        <is>
          <t>991004259719702656</t>
        </is>
      </c>
      <c r="AY1220" t="inlineStr">
        <is>
          <t>2262170720002656</t>
        </is>
      </c>
      <c r="AZ1220" t="inlineStr">
        <is>
          <t>BOOK</t>
        </is>
      </c>
      <c r="BB1220" t="inlineStr">
        <is>
          <t>9780517529522</t>
        </is>
      </c>
      <c r="BC1220" t="inlineStr">
        <is>
          <t>32285001383875</t>
        </is>
      </c>
      <c r="BD1220" t="inlineStr">
        <is>
          <t>893325136</t>
        </is>
      </c>
    </row>
    <row r="1221">
      <c r="A1221" t="inlineStr">
        <is>
          <t>No</t>
        </is>
      </c>
      <c r="B1221" t="inlineStr">
        <is>
          <t>RC560.C46 C58 1991</t>
        </is>
      </c>
      <c r="C1221" t="inlineStr">
        <is>
          <t>0                      RC 0560000C  46                 C  58          1991</t>
        </is>
      </c>
      <c r="D1221" t="inlineStr">
        <is>
          <t>Clinical approaches to sex offenders and their victims / edited by Clive R. Hollin and Kevin Howells.</t>
        </is>
      </c>
      <c r="F1221" t="inlineStr">
        <is>
          <t>No</t>
        </is>
      </c>
      <c r="G1221" t="inlineStr">
        <is>
          <t>1</t>
        </is>
      </c>
      <c r="H1221" t="inlineStr">
        <is>
          <t>No</t>
        </is>
      </c>
      <c r="I1221" t="inlineStr">
        <is>
          <t>No</t>
        </is>
      </c>
      <c r="J1221" t="inlineStr">
        <is>
          <t>0</t>
        </is>
      </c>
      <c r="L1221" t="inlineStr">
        <is>
          <t>Chichester ; New York : Wiley, c1991.</t>
        </is>
      </c>
      <c r="M1221" t="inlineStr">
        <is>
          <t>1991</t>
        </is>
      </c>
      <c r="O1221" t="inlineStr">
        <is>
          <t>eng</t>
        </is>
      </c>
      <c r="P1221" t="inlineStr">
        <is>
          <t>enk</t>
        </is>
      </c>
      <c r="Q1221" t="inlineStr">
        <is>
          <t>Wiley series in clinical approaches to criminal behaviour</t>
        </is>
      </c>
      <c r="R1221" t="inlineStr">
        <is>
          <t xml:space="preserve">RC </t>
        </is>
      </c>
      <c r="S1221" t="n">
        <v>22</v>
      </c>
      <c r="T1221" t="n">
        <v>22</v>
      </c>
      <c r="U1221" t="inlineStr">
        <is>
          <t>2009-11-17</t>
        </is>
      </c>
      <c r="V1221" t="inlineStr">
        <is>
          <t>2009-11-17</t>
        </is>
      </c>
      <c r="W1221" t="inlineStr">
        <is>
          <t>1992-08-04</t>
        </is>
      </c>
      <c r="X1221" t="inlineStr">
        <is>
          <t>1992-08-04</t>
        </is>
      </c>
      <c r="Y1221" t="n">
        <v>334</v>
      </c>
      <c r="Z1221" t="n">
        <v>217</v>
      </c>
      <c r="AA1221" t="n">
        <v>224</v>
      </c>
      <c r="AB1221" t="n">
        <v>4</v>
      </c>
      <c r="AC1221" t="n">
        <v>4</v>
      </c>
      <c r="AD1221" t="n">
        <v>15</v>
      </c>
      <c r="AE1221" t="n">
        <v>15</v>
      </c>
      <c r="AF1221" t="n">
        <v>4</v>
      </c>
      <c r="AG1221" t="n">
        <v>4</v>
      </c>
      <c r="AH1221" t="n">
        <v>3</v>
      </c>
      <c r="AI1221" t="n">
        <v>3</v>
      </c>
      <c r="AJ1221" t="n">
        <v>8</v>
      </c>
      <c r="AK1221" t="n">
        <v>8</v>
      </c>
      <c r="AL1221" t="n">
        <v>3</v>
      </c>
      <c r="AM1221" t="n">
        <v>3</v>
      </c>
      <c r="AN1221" t="n">
        <v>0</v>
      </c>
      <c r="AO1221" t="n">
        <v>0</v>
      </c>
      <c r="AP1221" t="inlineStr">
        <is>
          <t>No</t>
        </is>
      </c>
      <c r="AQ1221" t="inlineStr">
        <is>
          <t>Yes</t>
        </is>
      </c>
      <c r="AR1221">
        <f>HYPERLINK("http://catalog.hathitrust.org/Record/002435439","HathiTrust Record")</f>
        <v/>
      </c>
      <c r="AS1221">
        <f>HYPERLINK("https://creighton-primo.hosted.exlibrisgroup.com/primo-explore/search?tab=default_tab&amp;search_scope=EVERYTHING&amp;vid=01CRU&amp;lang=en_US&amp;offset=0&amp;query=any,contains,991001714879702656","Catalog Record")</f>
        <v/>
      </c>
      <c r="AT1221">
        <f>HYPERLINK("http://www.worldcat.org/oclc/21672772","WorldCat Record")</f>
        <v/>
      </c>
      <c r="AU1221" t="inlineStr">
        <is>
          <t>55341633:eng</t>
        </is>
      </c>
      <c r="AV1221" t="inlineStr">
        <is>
          <t>21672772</t>
        </is>
      </c>
      <c r="AW1221" t="inlineStr">
        <is>
          <t>991001714879702656</t>
        </is>
      </c>
      <c r="AX1221" t="inlineStr">
        <is>
          <t>991001714879702656</t>
        </is>
      </c>
      <c r="AY1221" t="inlineStr">
        <is>
          <t>2261980290002656</t>
        </is>
      </c>
      <c r="AZ1221" t="inlineStr">
        <is>
          <t>BOOK</t>
        </is>
      </c>
      <c r="BB1221" t="inlineStr">
        <is>
          <t>9780471928171</t>
        </is>
      </c>
      <c r="BC1221" t="inlineStr">
        <is>
          <t>32285001196160</t>
        </is>
      </c>
      <c r="BD1221" t="inlineStr">
        <is>
          <t>893328320</t>
        </is>
      </c>
    </row>
    <row r="1222">
      <c r="A1222" t="inlineStr">
        <is>
          <t>No</t>
        </is>
      </c>
      <c r="B1222" t="inlineStr">
        <is>
          <t>RC560.C46 F55 1984</t>
        </is>
      </c>
      <c r="C1222" t="inlineStr">
        <is>
          <t>0                      RC 0560000C  46                 F  55          1984</t>
        </is>
      </c>
      <c r="D1222" t="inlineStr">
        <is>
          <t>Child sexual abuse : new theory and research / David Finkelhor.</t>
        </is>
      </c>
      <c r="F1222" t="inlineStr">
        <is>
          <t>No</t>
        </is>
      </c>
      <c r="G1222" t="inlineStr">
        <is>
          <t>1</t>
        </is>
      </c>
      <c r="H1222" t="inlineStr">
        <is>
          <t>No</t>
        </is>
      </c>
      <c r="I1222" t="inlineStr">
        <is>
          <t>No</t>
        </is>
      </c>
      <c r="J1222" t="inlineStr">
        <is>
          <t>0</t>
        </is>
      </c>
      <c r="K1222" t="inlineStr">
        <is>
          <t>Finkelhor, David.</t>
        </is>
      </c>
      <c r="L1222" t="inlineStr">
        <is>
          <t>New York : Free Press, c1984.</t>
        </is>
      </c>
      <c r="M1222" t="inlineStr">
        <is>
          <t>1984</t>
        </is>
      </c>
      <c r="O1222" t="inlineStr">
        <is>
          <t>eng</t>
        </is>
      </c>
      <c r="P1222" t="inlineStr">
        <is>
          <t>nyu</t>
        </is>
      </c>
      <c r="R1222" t="inlineStr">
        <is>
          <t xml:space="preserve">RC </t>
        </is>
      </c>
      <c r="S1222" t="n">
        <v>31</v>
      </c>
      <c r="T1222" t="n">
        <v>31</v>
      </c>
      <c r="U1222" t="inlineStr">
        <is>
          <t>2002-10-23</t>
        </is>
      </c>
      <c r="V1222" t="inlineStr">
        <is>
          <t>2002-10-23</t>
        </is>
      </c>
      <c r="W1222" t="inlineStr">
        <is>
          <t>1990-02-07</t>
        </is>
      </c>
      <c r="X1222" t="inlineStr">
        <is>
          <t>1990-02-07</t>
        </is>
      </c>
      <c r="Y1222" t="n">
        <v>1154</v>
      </c>
      <c r="Z1222" t="n">
        <v>950</v>
      </c>
      <c r="AA1222" t="n">
        <v>957</v>
      </c>
      <c r="AB1222" t="n">
        <v>8</v>
      </c>
      <c r="AC1222" t="n">
        <v>8</v>
      </c>
      <c r="AD1222" t="n">
        <v>44</v>
      </c>
      <c r="AE1222" t="n">
        <v>44</v>
      </c>
      <c r="AF1222" t="n">
        <v>16</v>
      </c>
      <c r="AG1222" t="n">
        <v>16</v>
      </c>
      <c r="AH1222" t="n">
        <v>10</v>
      </c>
      <c r="AI1222" t="n">
        <v>10</v>
      </c>
      <c r="AJ1222" t="n">
        <v>20</v>
      </c>
      <c r="AK1222" t="n">
        <v>20</v>
      </c>
      <c r="AL1222" t="n">
        <v>7</v>
      </c>
      <c r="AM1222" t="n">
        <v>7</v>
      </c>
      <c r="AN1222" t="n">
        <v>2</v>
      </c>
      <c r="AO1222" t="n">
        <v>2</v>
      </c>
      <c r="AP1222" t="inlineStr">
        <is>
          <t>No</t>
        </is>
      </c>
      <c r="AQ1222" t="inlineStr">
        <is>
          <t>Yes</t>
        </is>
      </c>
      <c r="AR1222">
        <f>HYPERLINK("http://catalog.hathitrust.org/Record/000333584","HathiTrust Record")</f>
        <v/>
      </c>
      <c r="AS1222">
        <f>HYPERLINK("https://creighton-primo.hosted.exlibrisgroup.com/primo-explore/search?tab=default_tab&amp;search_scope=EVERYTHING&amp;vid=01CRU&amp;lang=en_US&amp;offset=0&amp;query=any,contains,991000473629702656","Catalog Record")</f>
        <v/>
      </c>
      <c r="AT1222">
        <f>HYPERLINK("http://www.worldcat.org/oclc/10998803","WorldCat Record")</f>
        <v/>
      </c>
      <c r="AU1222" t="inlineStr">
        <is>
          <t>795699800:eng</t>
        </is>
      </c>
      <c r="AV1222" t="inlineStr">
        <is>
          <t>10998803</t>
        </is>
      </c>
      <c r="AW1222" t="inlineStr">
        <is>
          <t>991000473629702656</t>
        </is>
      </c>
      <c r="AX1222" t="inlineStr">
        <is>
          <t>991000473629702656</t>
        </is>
      </c>
      <c r="AY1222" t="inlineStr">
        <is>
          <t>2261309630002656</t>
        </is>
      </c>
      <c r="AZ1222" t="inlineStr">
        <is>
          <t>BOOK</t>
        </is>
      </c>
      <c r="BB1222" t="inlineStr">
        <is>
          <t>9780029100202</t>
        </is>
      </c>
      <c r="BC1222" t="inlineStr">
        <is>
          <t>32285000033711</t>
        </is>
      </c>
      <c r="BD1222" t="inlineStr">
        <is>
          <t>893896907</t>
        </is>
      </c>
    </row>
    <row r="1223">
      <c r="A1223" t="inlineStr">
        <is>
          <t>No</t>
        </is>
      </c>
      <c r="B1223" t="inlineStr">
        <is>
          <t>RC560.C46 K76</t>
        </is>
      </c>
      <c r="C1223" t="inlineStr">
        <is>
          <t>0                      RC 0560000C  46                 K  76</t>
        </is>
      </c>
      <c r="D1223" t="inlineStr">
        <is>
          <t>Child sexual abuse : analysis of a family therapy approach / by Jerome A. Kroth.</t>
        </is>
      </c>
      <c r="F1223" t="inlineStr">
        <is>
          <t>No</t>
        </is>
      </c>
      <c r="G1223" t="inlineStr">
        <is>
          <t>1</t>
        </is>
      </c>
      <c r="H1223" t="inlineStr">
        <is>
          <t>No</t>
        </is>
      </c>
      <c r="I1223" t="inlineStr">
        <is>
          <t>No</t>
        </is>
      </c>
      <c r="J1223" t="inlineStr">
        <is>
          <t>0</t>
        </is>
      </c>
      <c r="K1223" t="inlineStr">
        <is>
          <t>Kroth, Jerome A.</t>
        </is>
      </c>
      <c r="L1223" t="inlineStr">
        <is>
          <t>Springfield, Ill. : Thomas, c1979.</t>
        </is>
      </c>
      <c r="M1223" t="inlineStr">
        <is>
          <t>1979</t>
        </is>
      </c>
      <c r="O1223" t="inlineStr">
        <is>
          <t>eng</t>
        </is>
      </c>
      <c r="P1223" t="inlineStr">
        <is>
          <t>ilu</t>
        </is>
      </c>
      <c r="R1223" t="inlineStr">
        <is>
          <t xml:space="preserve">RC </t>
        </is>
      </c>
      <c r="S1223" t="n">
        <v>8</v>
      </c>
      <c r="T1223" t="n">
        <v>8</v>
      </c>
      <c r="U1223" t="inlineStr">
        <is>
          <t>1996-10-31</t>
        </is>
      </c>
      <c r="V1223" t="inlineStr">
        <is>
          <t>1996-10-31</t>
        </is>
      </c>
      <c r="W1223" t="inlineStr">
        <is>
          <t>1992-03-31</t>
        </is>
      </c>
      <c r="X1223" t="inlineStr">
        <is>
          <t>1992-03-31</t>
        </is>
      </c>
      <c r="Y1223" t="n">
        <v>348</v>
      </c>
      <c r="Z1223" t="n">
        <v>292</v>
      </c>
      <c r="AA1223" t="n">
        <v>297</v>
      </c>
      <c r="AB1223" t="n">
        <v>5</v>
      </c>
      <c r="AC1223" t="n">
        <v>5</v>
      </c>
      <c r="AD1223" t="n">
        <v>10</v>
      </c>
      <c r="AE1223" t="n">
        <v>10</v>
      </c>
      <c r="AF1223" t="n">
        <v>3</v>
      </c>
      <c r="AG1223" t="n">
        <v>3</v>
      </c>
      <c r="AH1223" t="n">
        <v>1</v>
      </c>
      <c r="AI1223" t="n">
        <v>1</v>
      </c>
      <c r="AJ1223" t="n">
        <v>5</v>
      </c>
      <c r="AK1223" t="n">
        <v>5</v>
      </c>
      <c r="AL1223" t="n">
        <v>3</v>
      </c>
      <c r="AM1223" t="n">
        <v>3</v>
      </c>
      <c r="AN1223" t="n">
        <v>0</v>
      </c>
      <c r="AO1223" t="n">
        <v>0</v>
      </c>
      <c r="AP1223" t="inlineStr">
        <is>
          <t>No</t>
        </is>
      </c>
      <c r="AQ1223" t="inlineStr">
        <is>
          <t>No</t>
        </is>
      </c>
      <c r="AS1223">
        <f>HYPERLINK("https://creighton-primo.hosted.exlibrisgroup.com/primo-explore/search?tab=default_tab&amp;search_scope=EVERYTHING&amp;vid=01CRU&amp;lang=en_US&amp;offset=0&amp;query=any,contains,991004695279702656","Catalog Record")</f>
        <v/>
      </c>
      <c r="AT1223">
        <f>HYPERLINK("http://www.worldcat.org/oclc/4638886","WorldCat Record")</f>
        <v/>
      </c>
      <c r="AU1223" t="inlineStr">
        <is>
          <t>425578143:eng</t>
        </is>
      </c>
      <c r="AV1223" t="inlineStr">
        <is>
          <t>4638886</t>
        </is>
      </c>
      <c r="AW1223" t="inlineStr">
        <is>
          <t>991004695279702656</t>
        </is>
      </c>
      <c r="AX1223" t="inlineStr">
        <is>
          <t>991004695279702656</t>
        </is>
      </c>
      <c r="AY1223" t="inlineStr">
        <is>
          <t>2255900950002656</t>
        </is>
      </c>
      <c r="AZ1223" t="inlineStr">
        <is>
          <t>BOOK</t>
        </is>
      </c>
      <c r="BB1223" t="inlineStr">
        <is>
          <t>9780398039066</t>
        </is>
      </c>
      <c r="BC1223" t="inlineStr">
        <is>
          <t>32285001031631</t>
        </is>
      </c>
      <c r="BD1223" t="inlineStr">
        <is>
          <t>893722556</t>
        </is>
      </c>
    </row>
    <row r="1224">
      <c r="A1224" t="inlineStr">
        <is>
          <t>No</t>
        </is>
      </c>
      <c r="B1224" t="inlineStr">
        <is>
          <t>RC560.E9 E96</t>
        </is>
      </c>
      <c r="C1224" t="inlineStr">
        <is>
          <t>0                      RC 0560000E  9                  E  96</t>
        </is>
      </c>
      <c r="D1224" t="inlineStr">
        <is>
          <t>Exhibitionism : description, assessment, and treatment / [edited by] Daniel J. Cox and Reid J. Daitzmann.</t>
        </is>
      </c>
      <c r="F1224" t="inlineStr">
        <is>
          <t>No</t>
        </is>
      </c>
      <c r="G1224" t="inlineStr">
        <is>
          <t>1</t>
        </is>
      </c>
      <c r="H1224" t="inlineStr">
        <is>
          <t>No</t>
        </is>
      </c>
      <c r="I1224" t="inlineStr">
        <is>
          <t>No</t>
        </is>
      </c>
      <c r="J1224" t="inlineStr">
        <is>
          <t>0</t>
        </is>
      </c>
      <c r="L1224" t="inlineStr">
        <is>
          <t>New York : Garland STPM Press, c1980.</t>
        </is>
      </c>
      <c r="M1224" t="inlineStr">
        <is>
          <t>1980</t>
        </is>
      </c>
      <c r="O1224" t="inlineStr">
        <is>
          <t>eng</t>
        </is>
      </c>
      <c r="P1224" t="inlineStr">
        <is>
          <t>nyu</t>
        </is>
      </c>
      <c r="Q1224" t="inlineStr">
        <is>
          <t>Garland series in sexual deviation</t>
        </is>
      </c>
      <c r="R1224" t="inlineStr">
        <is>
          <t xml:space="preserve">RC </t>
        </is>
      </c>
      <c r="S1224" t="n">
        <v>8</v>
      </c>
      <c r="T1224" t="n">
        <v>8</v>
      </c>
      <c r="U1224" t="inlineStr">
        <is>
          <t>2000-03-15</t>
        </is>
      </c>
      <c r="V1224" t="inlineStr">
        <is>
          <t>2000-03-15</t>
        </is>
      </c>
      <c r="W1224" t="inlineStr">
        <is>
          <t>1992-05-04</t>
        </is>
      </c>
      <c r="X1224" t="inlineStr">
        <is>
          <t>1992-05-04</t>
        </is>
      </c>
      <c r="Y1224" t="n">
        <v>219</v>
      </c>
      <c r="Z1224" t="n">
        <v>187</v>
      </c>
      <c r="AA1224" t="n">
        <v>190</v>
      </c>
      <c r="AB1224" t="n">
        <v>2</v>
      </c>
      <c r="AC1224" t="n">
        <v>2</v>
      </c>
      <c r="AD1224" t="n">
        <v>5</v>
      </c>
      <c r="AE1224" t="n">
        <v>5</v>
      </c>
      <c r="AF1224" t="n">
        <v>1</v>
      </c>
      <c r="AG1224" t="n">
        <v>1</v>
      </c>
      <c r="AH1224" t="n">
        <v>1</v>
      </c>
      <c r="AI1224" t="n">
        <v>1</v>
      </c>
      <c r="AJ1224" t="n">
        <v>4</v>
      </c>
      <c r="AK1224" t="n">
        <v>4</v>
      </c>
      <c r="AL1224" t="n">
        <v>1</v>
      </c>
      <c r="AM1224" t="n">
        <v>1</v>
      </c>
      <c r="AN1224" t="n">
        <v>0</v>
      </c>
      <c r="AO1224" t="n">
        <v>0</v>
      </c>
      <c r="AP1224" t="inlineStr">
        <is>
          <t>No</t>
        </is>
      </c>
      <c r="AQ1224" t="inlineStr">
        <is>
          <t>Yes</t>
        </is>
      </c>
      <c r="AR1224">
        <f>HYPERLINK("http://catalog.hathitrust.org/Record/000227658","HathiTrust Record")</f>
        <v/>
      </c>
      <c r="AS1224">
        <f>HYPERLINK("https://creighton-primo.hosted.exlibrisgroup.com/primo-explore/search?tab=default_tab&amp;search_scope=EVERYTHING&amp;vid=01CRU&amp;lang=en_US&amp;offset=0&amp;query=any,contains,991004740849702656","Catalog Record")</f>
        <v/>
      </c>
      <c r="AT1224">
        <f>HYPERLINK("http://www.worldcat.org/oclc/4883384","WorldCat Record")</f>
        <v/>
      </c>
      <c r="AU1224" t="inlineStr">
        <is>
          <t>425681914:eng</t>
        </is>
      </c>
      <c r="AV1224" t="inlineStr">
        <is>
          <t>4883384</t>
        </is>
      </c>
      <c r="AW1224" t="inlineStr">
        <is>
          <t>991004740849702656</t>
        </is>
      </c>
      <c r="AX1224" t="inlineStr">
        <is>
          <t>991004740849702656</t>
        </is>
      </c>
      <c r="AY1224" t="inlineStr">
        <is>
          <t>2264113390002656</t>
        </is>
      </c>
      <c r="AZ1224" t="inlineStr">
        <is>
          <t>BOOK</t>
        </is>
      </c>
      <c r="BB1224" t="inlineStr">
        <is>
          <t>9780824070335</t>
        </is>
      </c>
      <c r="BC1224" t="inlineStr">
        <is>
          <t>32285001092492</t>
        </is>
      </c>
      <c r="BD1224" t="inlineStr">
        <is>
          <t>893594036</t>
        </is>
      </c>
    </row>
    <row r="1225">
      <c r="A1225" t="inlineStr">
        <is>
          <t>No</t>
        </is>
      </c>
      <c r="B1225" t="inlineStr">
        <is>
          <t>RC560.G45 S76 1985</t>
        </is>
      </c>
      <c r="C1225" t="inlineStr">
        <is>
          <t>0                      RC 0560000G  45                 S  76          1985</t>
        </is>
      </c>
      <c r="D1225" t="inlineStr">
        <is>
          <t>Presentations of gender / Robert J. Stoller.</t>
        </is>
      </c>
      <c r="F1225" t="inlineStr">
        <is>
          <t>No</t>
        </is>
      </c>
      <c r="G1225" t="inlineStr">
        <is>
          <t>1</t>
        </is>
      </c>
      <c r="H1225" t="inlineStr">
        <is>
          <t>No</t>
        </is>
      </c>
      <c r="I1225" t="inlineStr">
        <is>
          <t>No</t>
        </is>
      </c>
      <c r="J1225" t="inlineStr">
        <is>
          <t>0</t>
        </is>
      </c>
      <c r="K1225" t="inlineStr">
        <is>
          <t>Stoller, Robert J.</t>
        </is>
      </c>
      <c r="L1225" t="inlineStr">
        <is>
          <t>New Haven : Yale University Press, 1985.</t>
        </is>
      </c>
      <c r="M1225" t="inlineStr">
        <is>
          <t>1985</t>
        </is>
      </c>
      <c r="O1225" t="inlineStr">
        <is>
          <t>eng</t>
        </is>
      </c>
      <c r="P1225" t="inlineStr">
        <is>
          <t>ctu</t>
        </is>
      </c>
      <c r="R1225" t="inlineStr">
        <is>
          <t xml:space="preserve">RC </t>
        </is>
      </c>
      <c r="S1225" t="n">
        <v>4</v>
      </c>
      <c r="T1225" t="n">
        <v>4</v>
      </c>
      <c r="U1225" t="inlineStr">
        <is>
          <t>2000-11-27</t>
        </is>
      </c>
      <c r="V1225" t="inlineStr">
        <is>
          <t>2000-11-27</t>
        </is>
      </c>
      <c r="W1225" t="inlineStr">
        <is>
          <t>1993-03-23</t>
        </is>
      </c>
      <c r="X1225" t="inlineStr">
        <is>
          <t>1993-03-23</t>
        </is>
      </c>
      <c r="Y1225" t="n">
        <v>515</v>
      </c>
      <c r="Z1225" t="n">
        <v>408</v>
      </c>
      <c r="AA1225" t="n">
        <v>414</v>
      </c>
      <c r="AB1225" t="n">
        <v>2</v>
      </c>
      <c r="AC1225" t="n">
        <v>2</v>
      </c>
      <c r="AD1225" t="n">
        <v>18</v>
      </c>
      <c r="AE1225" t="n">
        <v>18</v>
      </c>
      <c r="AF1225" t="n">
        <v>6</v>
      </c>
      <c r="AG1225" t="n">
        <v>6</v>
      </c>
      <c r="AH1225" t="n">
        <v>5</v>
      </c>
      <c r="AI1225" t="n">
        <v>5</v>
      </c>
      <c r="AJ1225" t="n">
        <v>10</v>
      </c>
      <c r="AK1225" t="n">
        <v>10</v>
      </c>
      <c r="AL1225" t="n">
        <v>1</v>
      </c>
      <c r="AM1225" t="n">
        <v>1</v>
      </c>
      <c r="AN1225" t="n">
        <v>0</v>
      </c>
      <c r="AO1225" t="n">
        <v>0</v>
      </c>
      <c r="AP1225" t="inlineStr">
        <is>
          <t>No</t>
        </is>
      </c>
      <c r="AQ1225" t="inlineStr">
        <is>
          <t>No</t>
        </is>
      </c>
      <c r="AS1225">
        <f>HYPERLINK("https://creighton-primo.hosted.exlibrisgroup.com/primo-explore/search?tab=default_tab&amp;search_scope=EVERYTHING&amp;vid=01CRU&amp;lang=en_US&amp;offset=0&amp;query=any,contains,991000612129702656","Catalog Record")</f>
        <v/>
      </c>
      <c r="AT1225">
        <f>HYPERLINK("http://www.worldcat.org/oclc/11916671","WorldCat Record")</f>
        <v/>
      </c>
      <c r="AU1225" t="inlineStr">
        <is>
          <t>4447256:eng</t>
        </is>
      </c>
      <c r="AV1225" t="inlineStr">
        <is>
          <t>11916671</t>
        </is>
      </c>
      <c r="AW1225" t="inlineStr">
        <is>
          <t>991000612129702656</t>
        </is>
      </c>
      <c r="AX1225" t="inlineStr">
        <is>
          <t>991000612129702656</t>
        </is>
      </c>
      <c r="AY1225" t="inlineStr">
        <is>
          <t>2270371700002656</t>
        </is>
      </c>
      <c r="AZ1225" t="inlineStr">
        <is>
          <t>BOOK</t>
        </is>
      </c>
      <c r="BB1225" t="inlineStr">
        <is>
          <t>9780300035070</t>
        </is>
      </c>
      <c r="BC1225" t="inlineStr">
        <is>
          <t>32285001607471</t>
        </is>
      </c>
      <c r="BD1225" t="inlineStr">
        <is>
          <t>893897048</t>
        </is>
      </c>
    </row>
    <row r="1226">
      <c r="A1226" t="inlineStr">
        <is>
          <t>No</t>
        </is>
      </c>
      <c r="B1226" t="inlineStr">
        <is>
          <t>RC560.I5 M4</t>
        </is>
      </c>
      <c r="C1226" t="inlineStr">
        <is>
          <t>0                      RC 0560000I  5                  M  4</t>
        </is>
      </c>
      <c r="D1226" t="inlineStr">
        <is>
          <t>Incest : a psychological study of causes and effects with treatment recommendations / Karin C. Meiselman. --</t>
        </is>
      </c>
      <c r="F1226" t="inlineStr">
        <is>
          <t>No</t>
        </is>
      </c>
      <c r="G1226" t="inlineStr">
        <is>
          <t>1</t>
        </is>
      </c>
      <c r="H1226" t="inlineStr">
        <is>
          <t>No</t>
        </is>
      </c>
      <c r="I1226" t="inlineStr">
        <is>
          <t>No</t>
        </is>
      </c>
      <c r="J1226" t="inlineStr">
        <is>
          <t>0</t>
        </is>
      </c>
      <c r="K1226" t="inlineStr">
        <is>
          <t>Meiselman, Karin C.</t>
        </is>
      </c>
      <c r="L1226" t="inlineStr">
        <is>
          <t>San Francisco : Jossey-Bass, 1978.</t>
        </is>
      </c>
      <c r="M1226" t="inlineStr">
        <is>
          <t>1978</t>
        </is>
      </c>
      <c r="O1226" t="inlineStr">
        <is>
          <t>eng</t>
        </is>
      </c>
      <c r="P1226" t="inlineStr">
        <is>
          <t xml:space="preserve">xx </t>
        </is>
      </c>
      <c r="R1226" t="inlineStr">
        <is>
          <t xml:space="preserve">RC </t>
        </is>
      </c>
      <c r="S1226" t="n">
        <v>9</v>
      </c>
      <c r="T1226" t="n">
        <v>9</v>
      </c>
      <c r="U1226" t="inlineStr">
        <is>
          <t>1995-08-31</t>
        </is>
      </c>
      <c r="V1226" t="inlineStr">
        <is>
          <t>1995-08-31</t>
        </is>
      </c>
      <c r="W1226" t="inlineStr">
        <is>
          <t>1992-07-07</t>
        </is>
      </c>
      <c r="X1226" t="inlineStr">
        <is>
          <t>1992-07-07</t>
        </is>
      </c>
      <c r="Y1226" t="n">
        <v>846</v>
      </c>
      <c r="Z1226" t="n">
        <v>717</v>
      </c>
      <c r="AA1226" t="n">
        <v>766</v>
      </c>
      <c r="AB1226" t="n">
        <v>6</v>
      </c>
      <c r="AC1226" t="n">
        <v>6</v>
      </c>
      <c r="AD1226" t="n">
        <v>29</v>
      </c>
      <c r="AE1226" t="n">
        <v>30</v>
      </c>
      <c r="AF1226" t="n">
        <v>14</v>
      </c>
      <c r="AG1226" t="n">
        <v>14</v>
      </c>
      <c r="AH1226" t="n">
        <v>4</v>
      </c>
      <c r="AI1226" t="n">
        <v>5</v>
      </c>
      <c r="AJ1226" t="n">
        <v>10</v>
      </c>
      <c r="AK1226" t="n">
        <v>10</v>
      </c>
      <c r="AL1226" t="n">
        <v>3</v>
      </c>
      <c r="AM1226" t="n">
        <v>3</v>
      </c>
      <c r="AN1226" t="n">
        <v>4</v>
      </c>
      <c r="AO1226" t="n">
        <v>4</v>
      </c>
      <c r="AP1226" t="inlineStr">
        <is>
          <t>No</t>
        </is>
      </c>
      <c r="AQ1226" t="inlineStr">
        <is>
          <t>Yes</t>
        </is>
      </c>
      <c r="AR1226">
        <f>HYPERLINK("http://catalog.hathitrust.org/Record/000218574","HathiTrust Record")</f>
        <v/>
      </c>
      <c r="AS1226">
        <f>HYPERLINK("https://creighton-primo.hosted.exlibrisgroup.com/primo-explore/search?tab=default_tab&amp;search_scope=EVERYTHING&amp;vid=01CRU&amp;lang=en_US&amp;offset=0&amp;query=any,contains,991004623849702656","Catalog Record")</f>
        <v/>
      </c>
      <c r="AT1226">
        <f>HYPERLINK("http://www.worldcat.org/oclc/4319798","WorldCat Record")</f>
        <v/>
      </c>
      <c r="AU1226" t="inlineStr">
        <is>
          <t>797223195:eng</t>
        </is>
      </c>
      <c r="AV1226" t="inlineStr">
        <is>
          <t>4319798</t>
        </is>
      </c>
      <c r="AW1226" t="inlineStr">
        <is>
          <t>991004623849702656</t>
        </is>
      </c>
      <c r="AX1226" t="inlineStr">
        <is>
          <t>991004623849702656</t>
        </is>
      </c>
      <c r="AY1226" t="inlineStr">
        <is>
          <t>2272076960002656</t>
        </is>
      </c>
      <c r="AZ1226" t="inlineStr">
        <is>
          <t>BOOK</t>
        </is>
      </c>
      <c r="BB1226" t="inlineStr">
        <is>
          <t>9780875893808</t>
        </is>
      </c>
      <c r="BC1226" t="inlineStr">
        <is>
          <t>32285001150118</t>
        </is>
      </c>
      <c r="BD1226" t="inlineStr">
        <is>
          <t>893719142</t>
        </is>
      </c>
    </row>
    <row r="1227">
      <c r="A1227" t="inlineStr">
        <is>
          <t>No</t>
        </is>
      </c>
      <c r="B1227" t="inlineStr">
        <is>
          <t>RC560.I53 C68 1988</t>
        </is>
      </c>
      <c r="C1227" t="inlineStr">
        <is>
          <t>0                      RC 0560000I  53                 C  68          1988</t>
        </is>
      </c>
      <c r="D1227" t="inlineStr">
        <is>
          <t>Healing the incest wound : adult survivors in therapy / Christine A. Courtois.</t>
        </is>
      </c>
      <c r="F1227" t="inlineStr">
        <is>
          <t>No</t>
        </is>
      </c>
      <c r="G1227" t="inlineStr">
        <is>
          <t>1</t>
        </is>
      </c>
      <c r="H1227" t="inlineStr">
        <is>
          <t>No</t>
        </is>
      </c>
      <c r="I1227" t="inlineStr">
        <is>
          <t>No</t>
        </is>
      </c>
      <c r="J1227" t="inlineStr">
        <is>
          <t>0</t>
        </is>
      </c>
      <c r="K1227" t="inlineStr">
        <is>
          <t>Courtois, Christine A.</t>
        </is>
      </c>
      <c r="L1227" t="inlineStr">
        <is>
          <t>New York : Norton, c1988.</t>
        </is>
      </c>
      <c r="M1227" t="inlineStr">
        <is>
          <t>1988</t>
        </is>
      </c>
      <c r="N1227" t="inlineStr">
        <is>
          <t>1st ed.</t>
        </is>
      </c>
      <c r="O1227" t="inlineStr">
        <is>
          <t>eng</t>
        </is>
      </c>
      <c r="P1227" t="inlineStr">
        <is>
          <t>nyu</t>
        </is>
      </c>
      <c r="R1227" t="inlineStr">
        <is>
          <t xml:space="preserve">RC </t>
        </is>
      </c>
      <c r="S1227" t="n">
        <v>14</v>
      </c>
      <c r="T1227" t="n">
        <v>14</v>
      </c>
      <c r="U1227" t="inlineStr">
        <is>
          <t>1999-01-20</t>
        </is>
      </c>
      <c r="V1227" t="inlineStr">
        <is>
          <t>1999-01-20</t>
        </is>
      </c>
      <c r="W1227" t="inlineStr">
        <is>
          <t>1990-11-19</t>
        </is>
      </c>
      <c r="X1227" t="inlineStr">
        <is>
          <t>1990-11-19</t>
        </is>
      </c>
      <c r="Y1227" t="n">
        <v>737</v>
      </c>
      <c r="Z1227" t="n">
        <v>605</v>
      </c>
      <c r="AA1227" t="n">
        <v>765</v>
      </c>
      <c r="AB1227" t="n">
        <v>4</v>
      </c>
      <c r="AC1227" t="n">
        <v>8</v>
      </c>
      <c r="AD1227" t="n">
        <v>25</v>
      </c>
      <c r="AE1227" t="n">
        <v>31</v>
      </c>
      <c r="AF1227" t="n">
        <v>9</v>
      </c>
      <c r="AG1227" t="n">
        <v>10</v>
      </c>
      <c r="AH1227" t="n">
        <v>5</v>
      </c>
      <c r="AI1227" t="n">
        <v>6</v>
      </c>
      <c r="AJ1227" t="n">
        <v>13</v>
      </c>
      <c r="AK1227" t="n">
        <v>15</v>
      </c>
      <c r="AL1227" t="n">
        <v>3</v>
      </c>
      <c r="AM1227" t="n">
        <v>6</v>
      </c>
      <c r="AN1227" t="n">
        <v>0</v>
      </c>
      <c r="AO1227" t="n">
        <v>0</v>
      </c>
      <c r="AP1227" t="inlineStr">
        <is>
          <t>No</t>
        </is>
      </c>
      <c r="AQ1227" t="inlineStr">
        <is>
          <t>No</t>
        </is>
      </c>
      <c r="AS1227">
        <f>HYPERLINK("https://creighton-primo.hosted.exlibrisgroup.com/primo-explore/search?tab=default_tab&amp;search_scope=EVERYTHING&amp;vid=01CRU&amp;lang=en_US&amp;offset=0&amp;query=any,contains,991001226799702656","Catalog Record")</f>
        <v/>
      </c>
      <c r="AT1227">
        <f>HYPERLINK("http://www.worldcat.org/oclc/17508251","WorldCat Record")</f>
        <v/>
      </c>
      <c r="AU1227" t="inlineStr">
        <is>
          <t>1010802:eng</t>
        </is>
      </c>
      <c r="AV1227" t="inlineStr">
        <is>
          <t>17508251</t>
        </is>
      </c>
      <c r="AW1227" t="inlineStr">
        <is>
          <t>991001226799702656</t>
        </is>
      </c>
      <c r="AX1227" t="inlineStr">
        <is>
          <t>991001226799702656</t>
        </is>
      </c>
      <c r="AY1227" t="inlineStr">
        <is>
          <t>2272395020002656</t>
        </is>
      </c>
      <c r="AZ1227" t="inlineStr">
        <is>
          <t>BOOK</t>
        </is>
      </c>
      <c r="BB1227" t="inlineStr">
        <is>
          <t>9780393700510</t>
        </is>
      </c>
      <c r="BC1227" t="inlineStr">
        <is>
          <t>32285000355882</t>
        </is>
      </c>
      <c r="BD1227" t="inlineStr">
        <is>
          <t>893438983</t>
        </is>
      </c>
    </row>
    <row r="1228">
      <c r="A1228" t="inlineStr">
        <is>
          <t>No</t>
        </is>
      </c>
      <c r="B1228" t="inlineStr">
        <is>
          <t>RC560.I53 F67 1978</t>
        </is>
      </c>
      <c r="C1228" t="inlineStr">
        <is>
          <t>0                      RC 0560000I  53                 F  67          1978</t>
        </is>
      </c>
      <c r="D1228" t="inlineStr">
        <is>
          <t>Betrayal of innocence : incest and its devastation / Susan Forward and Craig Buck.</t>
        </is>
      </c>
      <c r="F1228" t="inlineStr">
        <is>
          <t>No</t>
        </is>
      </c>
      <c r="G1228" t="inlineStr">
        <is>
          <t>1</t>
        </is>
      </c>
      <c r="H1228" t="inlineStr">
        <is>
          <t>No</t>
        </is>
      </c>
      <c r="I1228" t="inlineStr">
        <is>
          <t>No</t>
        </is>
      </c>
      <c r="J1228" t="inlineStr">
        <is>
          <t>0</t>
        </is>
      </c>
      <c r="K1228" t="inlineStr">
        <is>
          <t>Forward, Susan.</t>
        </is>
      </c>
      <c r="L1228" t="inlineStr">
        <is>
          <t>Los Angeles : J.P. Tarcher ; New York : distributed by St. Martin's Press, c1978.</t>
        </is>
      </c>
      <c r="M1228" t="inlineStr">
        <is>
          <t>1978</t>
        </is>
      </c>
      <c r="O1228" t="inlineStr">
        <is>
          <t>eng</t>
        </is>
      </c>
      <c r="P1228" t="inlineStr">
        <is>
          <t>cau</t>
        </is>
      </c>
      <c r="R1228" t="inlineStr">
        <is>
          <t xml:space="preserve">RC </t>
        </is>
      </c>
      <c r="S1228" t="n">
        <v>9</v>
      </c>
      <c r="T1228" t="n">
        <v>9</v>
      </c>
      <c r="U1228" t="inlineStr">
        <is>
          <t>1996-01-17</t>
        </is>
      </c>
      <c r="V1228" t="inlineStr">
        <is>
          <t>1996-01-17</t>
        </is>
      </c>
      <c r="W1228" t="inlineStr">
        <is>
          <t>1991-12-06</t>
        </is>
      </c>
      <c r="X1228" t="inlineStr">
        <is>
          <t>1991-12-06</t>
        </is>
      </c>
      <c r="Y1228" t="n">
        <v>301</v>
      </c>
      <c r="Z1228" t="n">
        <v>284</v>
      </c>
      <c r="AA1228" t="n">
        <v>879</v>
      </c>
      <c r="AB1228" t="n">
        <v>5</v>
      </c>
      <c r="AC1228" t="n">
        <v>12</v>
      </c>
      <c r="AD1228" t="n">
        <v>0</v>
      </c>
      <c r="AE1228" t="n">
        <v>21</v>
      </c>
      <c r="AF1228" t="n">
        <v>0</v>
      </c>
      <c r="AG1228" t="n">
        <v>5</v>
      </c>
      <c r="AH1228" t="n">
        <v>0</v>
      </c>
      <c r="AI1228" t="n">
        <v>4</v>
      </c>
      <c r="AJ1228" t="n">
        <v>0</v>
      </c>
      <c r="AK1228" t="n">
        <v>7</v>
      </c>
      <c r="AL1228" t="n">
        <v>0</v>
      </c>
      <c r="AM1228" t="n">
        <v>7</v>
      </c>
      <c r="AN1228" t="n">
        <v>0</v>
      </c>
      <c r="AO1228" t="n">
        <v>0</v>
      </c>
      <c r="AP1228" t="inlineStr">
        <is>
          <t>No</t>
        </is>
      </c>
      <c r="AQ1228" t="inlineStr">
        <is>
          <t>Yes</t>
        </is>
      </c>
      <c r="AR1228">
        <f>HYPERLINK("http://catalog.hathitrust.org/Record/000179953","HathiTrust Record")</f>
        <v/>
      </c>
      <c r="AS1228">
        <f>HYPERLINK("https://creighton-primo.hosted.exlibrisgroup.com/primo-explore/search?tab=default_tab&amp;search_scope=EVERYTHING&amp;vid=01CRU&amp;lang=en_US&amp;offset=0&amp;query=any,contains,991004591699702656","Catalog Record")</f>
        <v/>
      </c>
      <c r="AT1228">
        <f>HYPERLINK("http://www.worldcat.org/oclc/4128205","WorldCat Record")</f>
        <v/>
      </c>
      <c r="AU1228" t="inlineStr">
        <is>
          <t>522382:eng</t>
        </is>
      </c>
      <c r="AV1228" t="inlineStr">
        <is>
          <t>4128205</t>
        </is>
      </c>
      <c r="AW1228" t="inlineStr">
        <is>
          <t>991004591699702656</t>
        </is>
      </c>
      <c r="AX1228" t="inlineStr">
        <is>
          <t>991004591699702656</t>
        </is>
      </c>
      <c r="AY1228" t="inlineStr">
        <is>
          <t>2269368090002656</t>
        </is>
      </c>
      <c r="AZ1228" t="inlineStr">
        <is>
          <t>BOOK</t>
        </is>
      </c>
      <c r="BB1228" t="inlineStr">
        <is>
          <t>9780874770735</t>
        </is>
      </c>
      <c r="BC1228" t="inlineStr">
        <is>
          <t>32285000837921</t>
        </is>
      </c>
      <c r="BD1228" t="inlineStr">
        <is>
          <t>893882645</t>
        </is>
      </c>
    </row>
    <row r="1229">
      <c r="A1229" t="inlineStr">
        <is>
          <t>No</t>
        </is>
      </c>
      <c r="B1229" t="inlineStr">
        <is>
          <t>RC560.I53 I53 1990</t>
        </is>
      </c>
      <c r="C1229" t="inlineStr">
        <is>
          <t>0                      RC 0560000I  53                 I  53          1990</t>
        </is>
      </c>
      <c r="D1229" t="inlineStr">
        <is>
          <t>The Incest perpetrator : a family member no one wants to treat / Anne L. Horton ... [et al.], editors.</t>
        </is>
      </c>
      <c r="F1229" t="inlineStr">
        <is>
          <t>No</t>
        </is>
      </c>
      <c r="G1229" t="inlineStr">
        <is>
          <t>1</t>
        </is>
      </c>
      <c r="H1229" t="inlineStr">
        <is>
          <t>No</t>
        </is>
      </c>
      <c r="I1229" t="inlineStr">
        <is>
          <t>No</t>
        </is>
      </c>
      <c r="J1229" t="inlineStr">
        <is>
          <t>0</t>
        </is>
      </c>
      <c r="L1229" t="inlineStr">
        <is>
          <t>Newbury Park, Calif. : Sage Publications, c1990.</t>
        </is>
      </c>
      <c r="M1229" t="inlineStr">
        <is>
          <t>1990</t>
        </is>
      </c>
      <c r="O1229" t="inlineStr">
        <is>
          <t>eng</t>
        </is>
      </c>
      <c r="P1229" t="inlineStr">
        <is>
          <t>cau</t>
        </is>
      </c>
      <c r="R1229" t="inlineStr">
        <is>
          <t xml:space="preserve">RC </t>
        </is>
      </c>
      <c r="S1229" t="n">
        <v>15</v>
      </c>
      <c r="T1229" t="n">
        <v>15</v>
      </c>
      <c r="U1229" t="inlineStr">
        <is>
          <t>2008-11-11</t>
        </is>
      </c>
      <c r="V1229" t="inlineStr">
        <is>
          <t>2008-11-11</t>
        </is>
      </c>
      <c r="W1229" t="inlineStr">
        <is>
          <t>1990-05-02</t>
        </is>
      </c>
      <c r="X1229" t="inlineStr">
        <is>
          <t>1990-05-02</t>
        </is>
      </c>
      <c r="Y1229" t="n">
        <v>512</v>
      </c>
      <c r="Z1229" t="n">
        <v>388</v>
      </c>
      <c r="AA1229" t="n">
        <v>394</v>
      </c>
      <c r="AB1229" t="n">
        <v>4</v>
      </c>
      <c r="AC1229" t="n">
        <v>4</v>
      </c>
      <c r="AD1229" t="n">
        <v>15</v>
      </c>
      <c r="AE1229" t="n">
        <v>15</v>
      </c>
      <c r="AF1229" t="n">
        <v>4</v>
      </c>
      <c r="AG1229" t="n">
        <v>4</v>
      </c>
      <c r="AH1229" t="n">
        <v>2</v>
      </c>
      <c r="AI1229" t="n">
        <v>2</v>
      </c>
      <c r="AJ1229" t="n">
        <v>9</v>
      </c>
      <c r="AK1229" t="n">
        <v>9</v>
      </c>
      <c r="AL1229" t="n">
        <v>3</v>
      </c>
      <c r="AM1229" t="n">
        <v>3</v>
      </c>
      <c r="AN1229" t="n">
        <v>0</v>
      </c>
      <c r="AO1229" t="n">
        <v>0</v>
      </c>
      <c r="AP1229" t="inlineStr">
        <is>
          <t>No</t>
        </is>
      </c>
      <c r="AQ1229" t="inlineStr">
        <is>
          <t>Yes</t>
        </is>
      </c>
      <c r="AR1229">
        <f>HYPERLINK("http://catalog.hathitrust.org/Record/001949860","HathiTrust Record")</f>
        <v/>
      </c>
      <c r="AS1229">
        <f>HYPERLINK("https://creighton-primo.hosted.exlibrisgroup.com/primo-explore/search?tab=default_tab&amp;search_scope=EVERYTHING&amp;vid=01CRU&amp;lang=en_US&amp;offset=0&amp;query=any,contains,991001538369702656","Catalog Record")</f>
        <v/>
      </c>
      <c r="AT1229">
        <f>HYPERLINK("http://www.worldcat.org/oclc/20094127","WorldCat Record")</f>
        <v/>
      </c>
      <c r="AU1229" t="inlineStr">
        <is>
          <t>836717121:eng</t>
        </is>
      </c>
      <c r="AV1229" t="inlineStr">
        <is>
          <t>20094127</t>
        </is>
      </c>
      <c r="AW1229" t="inlineStr">
        <is>
          <t>991001538369702656</t>
        </is>
      </c>
      <c r="AX1229" t="inlineStr">
        <is>
          <t>991001538369702656</t>
        </is>
      </c>
      <c r="AY1229" t="inlineStr">
        <is>
          <t>2257407330002656</t>
        </is>
      </c>
      <c r="AZ1229" t="inlineStr">
        <is>
          <t>BOOK</t>
        </is>
      </c>
      <c r="BB1229" t="inlineStr">
        <is>
          <t>9780803933927</t>
        </is>
      </c>
      <c r="BC1229" t="inlineStr">
        <is>
          <t>32285000117522</t>
        </is>
      </c>
      <c r="BD1229" t="inlineStr">
        <is>
          <t>893244197</t>
        </is>
      </c>
    </row>
    <row r="1230">
      <c r="A1230" t="inlineStr">
        <is>
          <t>No</t>
        </is>
      </c>
      <c r="B1230" t="inlineStr">
        <is>
          <t>RC560.I53 R45 1982</t>
        </is>
      </c>
      <c r="C1230" t="inlineStr">
        <is>
          <t>0                      RC 0560000I  53                 R  45          1982</t>
        </is>
      </c>
      <c r="D1230" t="inlineStr">
        <is>
          <t>Incest : understanding and treatment / Domeena C. Renshaw ; foreword by Ralph Slovenko.</t>
        </is>
      </c>
      <c r="F1230" t="inlineStr">
        <is>
          <t>No</t>
        </is>
      </c>
      <c r="G1230" t="inlineStr">
        <is>
          <t>1</t>
        </is>
      </c>
      <c r="H1230" t="inlineStr">
        <is>
          <t>Yes</t>
        </is>
      </c>
      <c r="I1230" t="inlineStr">
        <is>
          <t>No</t>
        </is>
      </c>
      <c r="J1230" t="inlineStr">
        <is>
          <t>0</t>
        </is>
      </c>
      <c r="K1230" t="inlineStr">
        <is>
          <t>Renshaw, Domeena C.</t>
        </is>
      </c>
      <c r="L1230" t="inlineStr">
        <is>
          <t>Boston : Little, Brown, c1982.</t>
        </is>
      </c>
      <c r="M1230" t="inlineStr">
        <is>
          <t>1982</t>
        </is>
      </c>
      <c r="N1230" t="inlineStr">
        <is>
          <t>1st ed.</t>
        </is>
      </c>
      <c r="O1230" t="inlineStr">
        <is>
          <t>eng</t>
        </is>
      </c>
      <c r="P1230" t="inlineStr">
        <is>
          <t>mau</t>
        </is>
      </c>
      <c r="R1230" t="inlineStr">
        <is>
          <t xml:space="preserve">RC </t>
        </is>
      </c>
      <c r="S1230" t="n">
        <v>13</v>
      </c>
      <c r="T1230" t="n">
        <v>14</v>
      </c>
      <c r="U1230" t="inlineStr">
        <is>
          <t>2008-11-11</t>
        </is>
      </c>
      <c r="V1230" t="inlineStr">
        <is>
          <t>2008-11-11</t>
        </is>
      </c>
      <c r="W1230" t="inlineStr">
        <is>
          <t>1990-07-11</t>
        </is>
      </c>
      <c r="X1230" t="inlineStr">
        <is>
          <t>1990-07-11</t>
        </is>
      </c>
      <c r="Y1230" t="n">
        <v>305</v>
      </c>
      <c r="Z1230" t="n">
        <v>243</v>
      </c>
      <c r="AA1230" t="n">
        <v>250</v>
      </c>
      <c r="AB1230" t="n">
        <v>3</v>
      </c>
      <c r="AC1230" t="n">
        <v>3</v>
      </c>
      <c r="AD1230" t="n">
        <v>6</v>
      </c>
      <c r="AE1230" t="n">
        <v>6</v>
      </c>
      <c r="AF1230" t="n">
        <v>2</v>
      </c>
      <c r="AG1230" t="n">
        <v>2</v>
      </c>
      <c r="AH1230" t="n">
        <v>1</v>
      </c>
      <c r="AI1230" t="n">
        <v>1</v>
      </c>
      <c r="AJ1230" t="n">
        <v>2</v>
      </c>
      <c r="AK1230" t="n">
        <v>2</v>
      </c>
      <c r="AL1230" t="n">
        <v>1</v>
      </c>
      <c r="AM1230" t="n">
        <v>1</v>
      </c>
      <c r="AN1230" t="n">
        <v>1</v>
      </c>
      <c r="AO1230" t="n">
        <v>1</v>
      </c>
      <c r="AP1230" t="inlineStr">
        <is>
          <t>No</t>
        </is>
      </c>
      <c r="AQ1230" t="inlineStr">
        <is>
          <t>Yes</t>
        </is>
      </c>
      <c r="AR1230">
        <f>HYPERLINK("http://catalog.hathitrust.org/Record/000156916","HathiTrust Record")</f>
        <v/>
      </c>
      <c r="AS1230">
        <f>HYPERLINK("https://creighton-primo.hosted.exlibrisgroup.com/primo-explore/search?tab=default_tab&amp;search_scope=EVERYTHING&amp;vid=01CRU&amp;lang=en_US&amp;offset=0&amp;query=any,contains,991001789749702656","Catalog Record")</f>
        <v/>
      </c>
      <c r="AT1230">
        <f>HYPERLINK("http://www.worldcat.org/oclc/8924924","WorldCat Record")</f>
        <v/>
      </c>
      <c r="AU1230" t="inlineStr">
        <is>
          <t>308979872:eng</t>
        </is>
      </c>
      <c r="AV1230" t="inlineStr">
        <is>
          <t>8924924</t>
        </is>
      </c>
      <c r="AW1230" t="inlineStr">
        <is>
          <t>991001789749702656</t>
        </is>
      </c>
      <c r="AX1230" t="inlineStr">
        <is>
          <t>991001789749702656</t>
        </is>
      </c>
      <c r="AY1230" t="inlineStr">
        <is>
          <t>2261233550002656</t>
        </is>
      </c>
      <c r="AZ1230" t="inlineStr">
        <is>
          <t>BOOK</t>
        </is>
      </c>
      <c r="BB1230" t="inlineStr">
        <is>
          <t>9780316740319</t>
        </is>
      </c>
      <c r="BC1230" t="inlineStr">
        <is>
          <t>32285000235662</t>
        </is>
      </c>
      <c r="BD1230" t="inlineStr">
        <is>
          <t>893903564</t>
        </is>
      </c>
    </row>
    <row r="1231">
      <c r="A1231" t="inlineStr">
        <is>
          <t>No</t>
        </is>
      </c>
      <c r="B1231" t="inlineStr">
        <is>
          <t>RC560.I53 T73 1989</t>
        </is>
      </c>
      <c r="C1231" t="inlineStr">
        <is>
          <t>0                      RC 0560000I  53                 T  73          1989</t>
        </is>
      </c>
      <c r="D1231" t="inlineStr">
        <is>
          <t>Systemic treatment of incest : a therapeutic handbook / by Terry S. Trepper and Mary Jo Barrett.</t>
        </is>
      </c>
      <c r="F1231" t="inlineStr">
        <is>
          <t>No</t>
        </is>
      </c>
      <c r="G1231" t="inlineStr">
        <is>
          <t>1</t>
        </is>
      </c>
      <c r="H1231" t="inlineStr">
        <is>
          <t>No</t>
        </is>
      </c>
      <c r="I1231" t="inlineStr">
        <is>
          <t>No</t>
        </is>
      </c>
      <c r="J1231" t="inlineStr">
        <is>
          <t>0</t>
        </is>
      </c>
      <c r="K1231" t="inlineStr">
        <is>
          <t>Trepper, Terry S.</t>
        </is>
      </c>
      <c r="L1231" t="inlineStr">
        <is>
          <t>New York : Brunner/Mazel, c1989.</t>
        </is>
      </c>
      <c r="M1231" t="inlineStr">
        <is>
          <t>1989</t>
        </is>
      </c>
      <c r="O1231" t="inlineStr">
        <is>
          <t>eng</t>
        </is>
      </c>
      <c r="P1231" t="inlineStr">
        <is>
          <t>nyu</t>
        </is>
      </c>
      <c r="Q1231" t="inlineStr">
        <is>
          <t>Brunner/Mazel psychosocial stress series ; no. 15</t>
        </is>
      </c>
      <c r="R1231" t="inlineStr">
        <is>
          <t xml:space="preserve">RC </t>
        </is>
      </c>
      <c r="S1231" t="n">
        <v>9</v>
      </c>
      <c r="T1231" t="n">
        <v>9</v>
      </c>
      <c r="U1231" t="inlineStr">
        <is>
          <t>2008-11-11</t>
        </is>
      </c>
      <c r="V1231" t="inlineStr">
        <is>
          <t>2008-11-11</t>
        </is>
      </c>
      <c r="W1231" t="inlineStr">
        <is>
          <t>1990-12-04</t>
        </is>
      </c>
      <c r="X1231" t="inlineStr">
        <is>
          <t>1990-12-04</t>
        </is>
      </c>
      <c r="Y1231" t="n">
        <v>335</v>
      </c>
      <c r="Z1231" t="n">
        <v>280</v>
      </c>
      <c r="AA1231" t="n">
        <v>312</v>
      </c>
      <c r="AB1231" t="n">
        <v>4</v>
      </c>
      <c r="AC1231" t="n">
        <v>4</v>
      </c>
      <c r="AD1231" t="n">
        <v>20</v>
      </c>
      <c r="AE1231" t="n">
        <v>20</v>
      </c>
      <c r="AF1231" t="n">
        <v>7</v>
      </c>
      <c r="AG1231" t="n">
        <v>7</v>
      </c>
      <c r="AH1231" t="n">
        <v>4</v>
      </c>
      <c r="AI1231" t="n">
        <v>4</v>
      </c>
      <c r="AJ1231" t="n">
        <v>11</v>
      </c>
      <c r="AK1231" t="n">
        <v>11</v>
      </c>
      <c r="AL1231" t="n">
        <v>3</v>
      </c>
      <c r="AM1231" t="n">
        <v>3</v>
      </c>
      <c r="AN1231" t="n">
        <v>0</v>
      </c>
      <c r="AO1231" t="n">
        <v>0</v>
      </c>
      <c r="AP1231" t="inlineStr">
        <is>
          <t>No</t>
        </is>
      </c>
      <c r="AQ1231" t="inlineStr">
        <is>
          <t>No</t>
        </is>
      </c>
      <c r="AS1231">
        <f>HYPERLINK("https://creighton-primo.hosted.exlibrisgroup.com/primo-explore/search?tab=default_tab&amp;search_scope=EVERYTHING&amp;vid=01CRU&amp;lang=en_US&amp;offset=0&amp;query=any,contains,991001486859702656","Catalog Record")</f>
        <v/>
      </c>
      <c r="AT1231">
        <f>HYPERLINK("http://www.worldcat.org/oclc/19670265","WorldCat Record")</f>
        <v/>
      </c>
      <c r="AU1231" t="inlineStr">
        <is>
          <t>886428:eng</t>
        </is>
      </c>
      <c r="AV1231" t="inlineStr">
        <is>
          <t>19670265</t>
        </is>
      </c>
      <c r="AW1231" t="inlineStr">
        <is>
          <t>991001486859702656</t>
        </is>
      </c>
      <c r="AX1231" t="inlineStr">
        <is>
          <t>991001486859702656</t>
        </is>
      </c>
      <c r="AY1231" t="inlineStr">
        <is>
          <t>2266292320002656</t>
        </is>
      </c>
      <c r="AZ1231" t="inlineStr">
        <is>
          <t>BOOK</t>
        </is>
      </c>
      <c r="BB1231" t="inlineStr">
        <is>
          <t>9780876305607</t>
        </is>
      </c>
      <c r="BC1231" t="inlineStr">
        <is>
          <t>32285000358357</t>
        </is>
      </c>
      <c r="BD1231" t="inlineStr">
        <is>
          <t>893408166</t>
        </is>
      </c>
    </row>
    <row r="1232">
      <c r="A1232" t="inlineStr">
        <is>
          <t>No</t>
        </is>
      </c>
      <c r="B1232" t="inlineStr">
        <is>
          <t>RC564 .A33 1990</t>
        </is>
      </c>
      <c r="C1232" t="inlineStr">
        <is>
          <t>0                      RC 0564000A  33          1990</t>
        </is>
      </c>
      <c r="D1232" t="inlineStr">
        <is>
          <t>Aggression, family violence, and chemical dependency / Ronald T. Potter-Efron, Patricia S. Potter-Efron, editors.</t>
        </is>
      </c>
      <c r="F1232" t="inlineStr">
        <is>
          <t>No</t>
        </is>
      </c>
      <c r="G1232" t="inlineStr">
        <is>
          <t>1</t>
        </is>
      </c>
      <c r="H1232" t="inlineStr">
        <is>
          <t>No</t>
        </is>
      </c>
      <c r="I1232" t="inlineStr">
        <is>
          <t>No</t>
        </is>
      </c>
      <c r="J1232" t="inlineStr">
        <is>
          <t>0</t>
        </is>
      </c>
      <c r="L1232" t="inlineStr">
        <is>
          <t>New York : Haworth Press, c1990.</t>
        </is>
      </c>
      <c r="M1232" t="inlineStr">
        <is>
          <t>1990</t>
        </is>
      </c>
      <c r="O1232" t="inlineStr">
        <is>
          <t>eng</t>
        </is>
      </c>
      <c r="P1232" t="inlineStr">
        <is>
          <t>nyu</t>
        </is>
      </c>
      <c r="R1232" t="inlineStr">
        <is>
          <t xml:space="preserve">RC </t>
        </is>
      </c>
      <c r="S1232" t="n">
        <v>17</v>
      </c>
      <c r="T1232" t="n">
        <v>17</v>
      </c>
      <c r="U1232" t="inlineStr">
        <is>
          <t>2000-04-19</t>
        </is>
      </c>
      <c r="V1232" t="inlineStr">
        <is>
          <t>2000-04-19</t>
        </is>
      </c>
      <c r="W1232" t="inlineStr">
        <is>
          <t>1990-06-27</t>
        </is>
      </c>
      <c r="X1232" t="inlineStr">
        <is>
          <t>1990-06-27</t>
        </is>
      </c>
      <c r="Y1232" t="n">
        <v>375</v>
      </c>
      <c r="Z1232" t="n">
        <v>299</v>
      </c>
      <c r="AA1232" t="n">
        <v>325</v>
      </c>
      <c r="AB1232" t="n">
        <v>3</v>
      </c>
      <c r="AC1232" t="n">
        <v>3</v>
      </c>
      <c r="AD1232" t="n">
        <v>13</v>
      </c>
      <c r="AE1232" t="n">
        <v>13</v>
      </c>
      <c r="AF1232" t="n">
        <v>4</v>
      </c>
      <c r="AG1232" t="n">
        <v>4</v>
      </c>
      <c r="AH1232" t="n">
        <v>3</v>
      </c>
      <c r="AI1232" t="n">
        <v>3</v>
      </c>
      <c r="AJ1232" t="n">
        <v>7</v>
      </c>
      <c r="AK1232" t="n">
        <v>7</v>
      </c>
      <c r="AL1232" t="n">
        <v>2</v>
      </c>
      <c r="AM1232" t="n">
        <v>2</v>
      </c>
      <c r="AN1232" t="n">
        <v>0</v>
      </c>
      <c r="AO1232" t="n">
        <v>0</v>
      </c>
      <c r="AP1232" t="inlineStr">
        <is>
          <t>No</t>
        </is>
      </c>
      <c r="AQ1232" t="inlineStr">
        <is>
          <t>Yes</t>
        </is>
      </c>
      <c r="AR1232">
        <f>HYPERLINK("http://catalog.hathitrust.org/Record/004034903","HathiTrust Record")</f>
        <v/>
      </c>
      <c r="AS1232">
        <f>HYPERLINK("https://creighton-primo.hosted.exlibrisgroup.com/primo-explore/search?tab=default_tab&amp;search_scope=EVERYTHING&amp;vid=01CRU&amp;lang=en_US&amp;offset=0&amp;query=any,contains,991001597049702656","Catalog Record")</f>
        <v/>
      </c>
      <c r="AT1232">
        <f>HYPERLINK("http://www.worldcat.org/oclc/20629507","WorldCat Record")</f>
        <v/>
      </c>
      <c r="AU1232" t="inlineStr">
        <is>
          <t>424962705:eng</t>
        </is>
      </c>
      <c r="AV1232" t="inlineStr">
        <is>
          <t>20629507</t>
        </is>
      </c>
      <c r="AW1232" t="inlineStr">
        <is>
          <t>991001597049702656</t>
        </is>
      </c>
      <c r="AX1232" t="inlineStr">
        <is>
          <t>991001597049702656</t>
        </is>
      </c>
      <c r="AY1232" t="inlineStr">
        <is>
          <t>2265633560002656</t>
        </is>
      </c>
      <c r="AZ1232" t="inlineStr">
        <is>
          <t>BOOK</t>
        </is>
      </c>
      <c r="BB1232" t="inlineStr">
        <is>
          <t>9780866569644</t>
        </is>
      </c>
      <c r="BC1232" t="inlineStr">
        <is>
          <t>32285000205335</t>
        </is>
      </c>
      <c r="BD1232" t="inlineStr">
        <is>
          <t>893522668</t>
        </is>
      </c>
    </row>
    <row r="1233">
      <c r="A1233" t="inlineStr">
        <is>
          <t>No</t>
        </is>
      </c>
      <c r="B1233" t="inlineStr">
        <is>
          <t>RC564 .B83 1991</t>
        </is>
      </c>
      <c r="C1233" t="inlineStr">
        <is>
          <t>0                      RC 0564000B  83          1991</t>
        </is>
      </c>
      <c r="D1233" t="inlineStr">
        <is>
          <t>Alcoholics Anonymous : cult or cure? / by Charles Bufe ; with an introduction by Dr. Albert Ellis.</t>
        </is>
      </c>
      <c r="F1233" t="inlineStr">
        <is>
          <t>No</t>
        </is>
      </c>
      <c r="G1233" t="inlineStr">
        <is>
          <t>1</t>
        </is>
      </c>
      <c r="H1233" t="inlineStr">
        <is>
          <t>No</t>
        </is>
      </c>
      <c r="I1233" t="inlineStr">
        <is>
          <t>No</t>
        </is>
      </c>
      <c r="J1233" t="inlineStr">
        <is>
          <t>0</t>
        </is>
      </c>
      <c r="K1233" t="inlineStr">
        <is>
          <t>Bufe, Charles.</t>
        </is>
      </c>
      <c r="L1233" t="inlineStr">
        <is>
          <t>San Francisco : See Sharp Press, c1991.</t>
        </is>
      </c>
      <c r="M1233" t="inlineStr">
        <is>
          <t>1991</t>
        </is>
      </c>
      <c r="O1233" t="inlineStr">
        <is>
          <t>eng</t>
        </is>
      </c>
      <c r="P1233" t="inlineStr">
        <is>
          <t>cau</t>
        </is>
      </c>
      <c r="R1233" t="inlineStr">
        <is>
          <t xml:space="preserve">RC </t>
        </is>
      </c>
      <c r="S1233" t="n">
        <v>25</v>
      </c>
      <c r="T1233" t="n">
        <v>25</v>
      </c>
      <c r="U1233" t="inlineStr">
        <is>
          <t>2000-04-19</t>
        </is>
      </c>
      <c r="V1233" t="inlineStr">
        <is>
          <t>2000-04-19</t>
        </is>
      </c>
      <c r="W1233" t="inlineStr">
        <is>
          <t>1992-08-25</t>
        </is>
      </c>
      <c r="X1233" t="inlineStr">
        <is>
          <t>1992-08-25</t>
        </is>
      </c>
      <c r="Y1233" t="n">
        <v>373</v>
      </c>
      <c r="Z1233" t="n">
        <v>350</v>
      </c>
      <c r="AA1233" t="n">
        <v>821</v>
      </c>
      <c r="AB1233" t="n">
        <v>3</v>
      </c>
      <c r="AC1233" t="n">
        <v>6</v>
      </c>
      <c r="AD1233" t="n">
        <v>10</v>
      </c>
      <c r="AE1233" t="n">
        <v>18</v>
      </c>
      <c r="AF1233" t="n">
        <v>3</v>
      </c>
      <c r="AG1233" t="n">
        <v>6</v>
      </c>
      <c r="AH1233" t="n">
        <v>1</v>
      </c>
      <c r="AI1233" t="n">
        <v>4</v>
      </c>
      <c r="AJ1233" t="n">
        <v>7</v>
      </c>
      <c r="AK1233" t="n">
        <v>10</v>
      </c>
      <c r="AL1233" t="n">
        <v>1</v>
      </c>
      <c r="AM1233" t="n">
        <v>4</v>
      </c>
      <c r="AN1233" t="n">
        <v>0</v>
      </c>
      <c r="AO1233" t="n">
        <v>0</v>
      </c>
      <c r="AP1233" t="inlineStr">
        <is>
          <t>No</t>
        </is>
      </c>
      <c r="AQ1233" t="inlineStr">
        <is>
          <t>No</t>
        </is>
      </c>
      <c r="AS1233">
        <f>HYPERLINK("https://creighton-primo.hosted.exlibrisgroup.com/primo-explore/search?tab=default_tab&amp;search_scope=EVERYTHING&amp;vid=01CRU&amp;lang=en_US&amp;offset=0&amp;query=any,contains,991001863849702656","Catalog Record")</f>
        <v/>
      </c>
      <c r="AT1233">
        <f>HYPERLINK("http://www.worldcat.org/oclc/23436803","WorldCat Record")</f>
        <v/>
      </c>
      <c r="AU1233" t="inlineStr">
        <is>
          <t>803909538:eng</t>
        </is>
      </c>
      <c r="AV1233" t="inlineStr">
        <is>
          <t>23436803</t>
        </is>
      </c>
      <c r="AW1233" t="inlineStr">
        <is>
          <t>991001863849702656</t>
        </is>
      </c>
      <c r="AX1233" t="inlineStr">
        <is>
          <t>991001863849702656</t>
        </is>
      </c>
      <c r="AY1233" t="inlineStr">
        <is>
          <t>2271574210002656</t>
        </is>
      </c>
      <c r="AZ1233" t="inlineStr">
        <is>
          <t>BOOK</t>
        </is>
      </c>
      <c r="BB1233" t="inlineStr">
        <is>
          <t>9780961328931</t>
        </is>
      </c>
      <c r="BC1233" t="inlineStr">
        <is>
          <t>32285001198422</t>
        </is>
      </c>
      <c r="BD1233" t="inlineStr">
        <is>
          <t>893779149</t>
        </is>
      </c>
    </row>
    <row r="1234">
      <c r="A1234" t="inlineStr">
        <is>
          <t>No</t>
        </is>
      </c>
      <c r="B1234" t="inlineStr">
        <is>
          <t>RC564 .C493 1993</t>
        </is>
      </c>
      <c r="C1234" t="inlineStr">
        <is>
          <t>0                      RC 0564000C  493         1993</t>
        </is>
      </c>
      <c r="D1234" t="inlineStr">
        <is>
          <t>Portraits of spirituality in recovery : the use of art in recovery from co-dependency and/or chemical dependency / by Nancy Barrett Chickerneo.</t>
        </is>
      </c>
      <c r="F1234" t="inlineStr">
        <is>
          <t>No</t>
        </is>
      </c>
      <c r="G1234" t="inlineStr">
        <is>
          <t>1</t>
        </is>
      </c>
      <c r="H1234" t="inlineStr">
        <is>
          <t>No</t>
        </is>
      </c>
      <c r="I1234" t="inlineStr">
        <is>
          <t>No</t>
        </is>
      </c>
      <c r="J1234" t="inlineStr">
        <is>
          <t>0</t>
        </is>
      </c>
      <c r="K1234" t="inlineStr">
        <is>
          <t>Chickerneo, Nancy Barrett.</t>
        </is>
      </c>
      <c r="L1234" t="inlineStr">
        <is>
          <t>Springfield, Ill., U.S.A. : C.C. Thomas, c1993.</t>
        </is>
      </c>
      <c r="M1234" t="inlineStr">
        <is>
          <t>1993</t>
        </is>
      </c>
      <c r="O1234" t="inlineStr">
        <is>
          <t>eng</t>
        </is>
      </c>
      <c r="P1234" t="inlineStr">
        <is>
          <t>ilu</t>
        </is>
      </c>
      <c r="R1234" t="inlineStr">
        <is>
          <t xml:space="preserve">RC </t>
        </is>
      </c>
      <c r="S1234" t="n">
        <v>10</v>
      </c>
      <c r="T1234" t="n">
        <v>10</v>
      </c>
      <c r="U1234" t="inlineStr">
        <is>
          <t>2004-12-03</t>
        </is>
      </c>
      <c r="V1234" t="inlineStr">
        <is>
          <t>2004-12-03</t>
        </is>
      </c>
      <c r="W1234" t="inlineStr">
        <is>
          <t>1994-01-13</t>
        </is>
      </c>
      <c r="X1234" t="inlineStr">
        <is>
          <t>1994-01-13</t>
        </is>
      </c>
      <c r="Y1234" t="n">
        <v>97</v>
      </c>
      <c r="Z1234" t="n">
        <v>86</v>
      </c>
      <c r="AA1234" t="n">
        <v>87</v>
      </c>
      <c r="AB1234" t="n">
        <v>1</v>
      </c>
      <c r="AC1234" t="n">
        <v>1</v>
      </c>
      <c r="AD1234" t="n">
        <v>4</v>
      </c>
      <c r="AE1234" t="n">
        <v>4</v>
      </c>
      <c r="AF1234" t="n">
        <v>1</v>
      </c>
      <c r="AG1234" t="n">
        <v>1</v>
      </c>
      <c r="AH1234" t="n">
        <v>1</v>
      </c>
      <c r="AI1234" t="n">
        <v>1</v>
      </c>
      <c r="AJ1234" t="n">
        <v>3</v>
      </c>
      <c r="AK1234" t="n">
        <v>3</v>
      </c>
      <c r="AL1234" t="n">
        <v>0</v>
      </c>
      <c r="AM1234" t="n">
        <v>0</v>
      </c>
      <c r="AN1234" t="n">
        <v>0</v>
      </c>
      <c r="AO1234" t="n">
        <v>0</v>
      </c>
      <c r="AP1234" t="inlineStr">
        <is>
          <t>No</t>
        </is>
      </c>
      <c r="AQ1234" t="inlineStr">
        <is>
          <t>Yes</t>
        </is>
      </c>
      <c r="AR1234">
        <f>HYPERLINK("http://catalog.hathitrust.org/Record/008161573","HathiTrust Record")</f>
        <v/>
      </c>
      <c r="AS1234">
        <f>HYPERLINK("https://creighton-primo.hosted.exlibrisgroup.com/primo-explore/search?tab=default_tab&amp;search_scope=EVERYTHING&amp;vid=01CRU&amp;lang=en_US&amp;offset=0&amp;query=any,contains,991002117009702656","Catalog Record")</f>
        <v/>
      </c>
      <c r="AT1234">
        <f>HYPERLINK("http://www.worldcat.org/oclc/27144033","WorldCat Record")</f>
        <v/>
      </c>
      <c r="AU1234" t="inlineStr">
        <is>
          <t>2220505842:eng</t>
        </is>
      </c>
      <c r="AV1234" t="inlineStr">
        <is>
          <t>27144033</t>
        </is>
      </c>
      <c r="AW1234" t="inlineStr">
        <is>
          <t>991002117009702656</t>
        </is>
      </c>
      <c r="AX1234" t="inlineStr">
        <is>
          <t>991002117009702656</t>
        </is>
      </c>
      <c r="AY1234" t="inlineStr">
        <is>
          <t>2255333120002656</t>
        </is>
      </c>
      <c r="AZ1234" t="inlineStr">
        <is>
          <t>BOOK</t>
        </is>
      </c>
      <c r="BB1234" t="inlineStr">
        <is>
          <t>9780398058456</t>
        </is>
      </c>
      <c r="BC1234" t="inlineStr">
        <is>
          <t>32285001831170</t>
        </is>
      </c>
      <c r="BD1234" t="inlineStr">
        <is>
          <t>893347123</t>
        </is>
      </c>
    </row>
    <row r="1235">
      <c r="A1235" t="inlineStr">
        <is>
          <t>No</t>
        </is>
      </c>
      <c r="B1235" t="inlineStr">
        <is>
          <t>RC564 .C733 2004</t>
        </is>
      </c>
      <c r="C1235" t="inlineStr">
        <is>
          <t>0                      RC 0564000C  733         2004</t>
        </is>
      </c>
      <c r="D1235" t="inlineStr">
        <is>
          <t>Counseling the alcohol and drug dependent client : a practical approach / Robert J. Craig.</t>
        </is>
      </c>
      <c r="F1235" t="inlineStr">
        <is>
          <t>No</t>
        </is>
      </c>
      <c r="G1235" t="inlineStr">
        <is>
          <t>1</t>
        </is>
      </c>
      <c r="H1235" t="inlineStr">
        <is>
          <t>No</t>
        </is>
      </c>
      <c r="I1235" t="inlineStr">
        <is>
          <t>No</t>
        </is>
      </c>
      <c r="J1235" t="inlineStr">
        <is>
          <t>0</t>
        </is>
      </c>
      <c r="K1235" t="inlineStr">
        <is>
          <t>Craig, Robert J., 1941-</t>
        </is>
      </c>
      <c r="L1235" t="inlineStr">
        <is>
          <t>Boston : Pearson/Allyn and Bacon, c2004.</t>
        </is>
      </c>
      <c r="M1235" t="inlineStr">
        <is>
          <t>2004</t>
        </is>
      </c>
      <c r="O1235" t="inlineStr">
        <is>
          <t>eng</t>
        </is>
      </c>
      <c r="P1235" t="inlineStr">
        <is>
          <t>mau</t>
        </is>
      </c>
      <c r="R1235" t="inlineStr">
        <is>
          <t xml:space="preserve">RC </t>
        </is>
      </c>
      <c r="S1235" t="n">
        <v>5</v>
      </c>
      <c r="T1235" t="n">
        <v>5</v>
      </c>
      <c r="U1235" t="inlineStr">
        <is>
          <t>2010-05-19</t>
        </is>
      </c>
      <c r="V1235" t="inlineStr">
        <is>
          <t>2010-05-19</t>
        </is>
      </c>
      <c r="W1235" t="inlineStr">
        <is>
          <t>2004-03-24</t>
        </is>
      </c>
      <c r="X1235" t="inlineStr">
        <is>
          <t>2004-03-24</t>
        </is>
      </c>
      <c r="Y1235" t="n">
        <v>146</v>
      </c>
      <c r="Z1235" t="n">
        <v>104</v>
      </c>
      <c r="AA1235" t="n">
        <v>104</v>
      </c>
      <c r="AB1235" t="n">
        <v>1</v>
      </c>
      <c r="AC1235" t="n">
        <v>1</v>
      </c>
      <c r="AD1235" t="n">
        <v>2</v>
      </c>
      <c r="AE1235" t="n">
        <v>2</v>
      </c>
      <c r="AF1235" t="n">
        <v>0</v>
      </c>
      <c r="AG1235" t="n">
        <v>0</v>
      </c>
      <c r="AH1235" t="n">
        <v>0</v>
      </c>
      <c r="AI1235" t="n">
        <v>0</v>
      </c>
      <c r="AJ1235" t="n">
        <v>2</v>
      </c>
      <c r="AK1235" t="n">
        <v>2</v>
      </c>
      <c r="AL1235" t="n">
        <v>0</v>
      </c>
      <c r="AM1235" t="n">
        <v>0</v>
      </c>
      <c r="AN1235" t="n">
        <v>0</v>
      </c>
      <c r="AO1235" t="n">
        <v>0</v>
      </c>
      <c r="AP1235" t="inlineStr">
        <is>
          <t>No</t>
        </is>
      </c>
      <c r="AQ1235" t="inlineStr">
        <is>
          <t>No</t>
        </is>
      </c>
      <c r="AS1235">
        <f>HYPERLINK("https://creighton-primo.hosted.exlibrisgroup.com/primo-explore/search?tab=default_tab&amp;search_scope=EVERYTHING&amp;vid=01CRU&amp;lang=en_US&amp;offset=0&amp;query=any,contains,991004232759702656","Catalog Record")</f>
        <v/>
      </c>
      <c r="AT1235">
        <f>HYPERLINK("http://www.worldcat.org/oclc/51447387","WorldCat Record")</f>
        <v/>
      </c>
      <c r="AU1235" t="inlineStr">
        <is>
          <t>1780391128:eng</t>
        </is>
      </c>
      <c r="AV1235" t="inlineStr">
        <is>
          <t>51447387</t>
        </is>
      </c>
      <c r="AW1235" t="inlineStr">
        <is>
          <t>991004232759702656</t>
        </is>
      </c>
      <c r="AX1235" t="inlineStr">
        <is>
          <t>991004232759702656</t>
        </is>
      </c>
      <c r="AY1235" t="inlineStr">
        <is>
          <t>2261311590002656</t>
        </is>
      </c>
      <c r="AZ1235" t="inlineStr">
        <is>
          <t>BOOK</t>
        </is>
      </c>
      <c r="BB1235" t="inlineStr">
        <is>
          <t>9780205359165</t>
        </is>
      </c>
      <c r="BC1235" t="inlineStr">
        <is>
          <t>32285004896824</t>
        </is>
      </c>
      <c r="BD1235" t="inlineStr">
        <is>
          <t>893532164</t>
        </is>
      </c>
    </row>
    <row r="1236">
      <c r="A1236" t="inlineStr">
        <is>
          <t>No</t>
        </is>
      </c>
      <c r="B1236" t="inlineStr">
        <is>
          <t>RC564 .D48 1987</t>
        </is>
      </c>
      <c r="C1236" t="inlineStr">
        <is>
          <t>0                      RC 0564000D  48          1987</t>
        </is>
      </c>
      <c r="D1236" t="inlineStr">
        <is>
          <t>Developments in the assessment and treatment of addictive behaviors / edited by Ted D. Nirenberg, Stephen A. Maisto.</t>
        </is>
      </c>
      <c r="F1236" t="inlineStr">
        <is>
          <t>No</t>
        </is>
      </c>
      <c r="G1236" t="inlineStr">
        <is>
          <t>1</t>
        </is>
      </c>
      <c r="H1236" t="inlineStr">
        <is>
          <t>No</t>
        </is>
      </c>
      <c r="I1236" t="inlineStr">
        <is>
          <t>No</t>
        </is>
      </c>
      <c r="J1236" t="inlineStr">
        <is>
          <t>0</t>
        </is>
      </c>
      <c r="L1236" t="inlineStr">
        <is>
          <t>Norwood, N.J. : Ablex Pub. Corp., c1987.</t>
        </is>
      </c>
      <c r="M1236" t="inlineStr">
        <is>
          <t>1987</t>
        </is>
      </c>
      <c r="O1236" t="inlineStr">
        <is>
          <t>eng</t>
        </is>
      </c>
      <c r="P1236" t="inlineStr">
        <is>
          <t>nju</t>
        </is>
      </c>
      <c r="Q1236" t="inlineStr">
        <is>
          <t>Developments in clinical psychology</t>
        </is>
      </c>
      <c r="R1236" t="inlineStr">
        <is>
          <t xml:space="preserve">RC </t>
        </is>
      </c>
      <c r="S1236" t="n">
        <v>7</v>
      </c>
      <c r="T1236" t="n">
        <v>7</v>
      </c>
      <c r="U1236" t="inlineStr">
        <is>
          <t>2000-11-20</t>
        </is>
      </c>
      <c r="V1236" t="inlineStr">
        <is>
          <t>2000-11-20</t>
        </is>
      </c>
      <c r="W1236" t="inlineStr">
        <is>
          <t>1995-07-14</t>
        </is>
      </c>
      <c r="X1236" t="inlineStr">
        <is>
          <t>1995-07-14</t>
        </is>
      </c>
      <c r="Y1236" t="n">
        <v>203</v>
      </c>
      <c r="Z1236" t="n">
        <v>164</v>
      </c>
      <c r="AA1236" t="n">
        <v>171</v>
      </c>
      <c r="AB1236" t="n">
        <v>1</v>
      </c>
      <c r="AC1236" t="n">
        <v>1</v>
      </c>
      <c r="AD1236" t="n">
        <v>4</v>
      </c>
      <c r="AE1236" t="n">
        <v>4</v>
      </c>
      <c r="AF1236" t="n">
        <v>2</v>
      </c>
      <c r="AG1236" t="n">
        <v>2</v>
      </c>
      <c r="AH1236" t="n">
        <v>0</v>
      </c>
      <c r="AI1236" t="n">
        <v>0</v>
      </c>
      <c r="AJ1236" t="n">
        <v>4</v>
      </c>
      <c r="AK1236" t="n">
        <v>4</v>
      </c>
      <c r="AL1236" t="n">
        <v>0</v>
      </c>
      <c r="AM1236" t="n">
        <v>0</v>
      </c>
      <c r="AN1236" t="n">
        <v>0</v>
      </c>
      <c r="AO1236" t="n">
        <v>0</v>
      </c>
      <c r="AP1236" t="inlineStr">
        <is>
          <t>No</t>
        </is>
      </c>
      <c r="AQ1236" t="inlineStr">
        <is>
          <t>Yes</t>
        </is>
      </c>
      <c r="AR1236">
        <f>HYPERLINK("http://catalog.hathitrust.org/Record/000872405","HathiTrust Record")</f>
        <v/>
      </c>
      <c r="AS1236">
        <f>HYPERLINK("https://creighton-primo.hosted.exlibrisgroup.com/primo-explore/search?tab=default_tab&amp;search_scope=EVERYTHING&amp;vid=01CRU&amp;lang=en_US&amp;offset=0&amp;query=any,contains,991001042359702656","Catalog Record")</f>
        <v/>
      </c>
      <c r="AT1236">
        <f>HYPERLINK("http://www.worldcat.org/oclc/15591043","WorldCat Record")</f>
        <v/>
      </c>
      <c r="AU1236" t="inlineStr">
        <is>
          <t>443603190:eng</t>
        </is>
      </c>
      <c r="AV1236" t="inlineStr">
        <is>
          <t>15591043</t>
        </is>
      </c>
      <c r="AW1236" t="inlineStr">
        <is>
          <t>991001042359702656</t>
        </is>
      </c>
      <c r="AX1236" t="inlineStr">
        <is>
          <t>991001042359702656</t>
        </is>
      </c>
      <c r="AY1236" t="inlineStr">
        <is>
          <t>2264066040002656</t>
        </is>
      </c>
      <c r="AZ1236" t="inlineStr">
        <is>
          <t>BOOK</t>
        </is>
      </c>
      <c r="BB1236" t="inlineStr">
        <is>
          <t>9780893911706</t>
        </is>
      </c>
      <c r="BC1236" t="inlineStr">
        <is>
          <t>32285002054830</t>
        </is>
      </c>
      <c r="BD1236" t="inlineStr">
        <is>
          <t>893878569</t>
        </is>
      </c>
    </row>
    <row r="1237">
      <c r="A1237" t="inlineStr">
        <is>
          <t>No</t>
        </is>
      </c>
      <c r="B1237" t="inlineStr">
        <is>
          <t>RC564 .D535 2000</t>
        </is>
      </c>
      <c r="C1237" t="inlineStr">
        <is>
          <t>0                      RC 0564000D  535         2000</t>
        </is>
      </c>
      <c r="D1237" t="inlineStr">
        <is>
          <t>Narrative means to sober ends : treating addiction and its aftermath / Jonathan Diamond ; foreword by David Treadway.</t>
        </is>
      </c>
      <c r="F1237" t="inlineStr">
        <is>
          <t>No</t>
        </is>
      </c>
      <c r="G1237" t="inlineStr">
        <is>
          <t>1</t>
        </is>
      </c>
      <c r="H1237" t="inlineStr">
        <is>
          <t>No</t>
        </is>
      </c>
      <c r="I1237" t="inlineStr">
        <is>
          <t>No</t>
        </is>
      </c>
      <c r="J1237" t="inlineStr">
        <is>
          <t>0</t>
        </is>
      </c>
      <c r="K1237" t="inlineStr">
        <is>
          <t>Diamond, Jonathan, Ph. D.</t>
        </is>
      </c>
      <c r="L1237" t="inlineStr">
        <is>
          <t>New York : Guilford Press, c2000.</t>
        </is>
      </c>
      <c r="M1237" t="inlineStr">
        <is>
          <t>2000</t>
        </is>
      </c>
      <c r="O1237" t="inlineStr">
        <is>
          <t>eng</t>
        </is>
      </c>
      <c r="P1237" t="inlineStr">
        <is>
          <t>nyu</t>
        </is>
      </c>
      <c r="Q1237" t="inlineStr">
        <is>
          <t>The Guilford family therapy series</t>
        </is>
      </c>
      <c r="R1237" t="inlineStr">
        <is>
          <t xml:space="preserve">RC </t>
        </is>
      </c>
      <c r="S1237" t="n">
        <v>7</v>
      </c>
      <c r="T1237" t="n">
        <v>7</v>
      </c>
      <c r="U1237" t="inlineStr">
        <is>
          <t>2009-10-09</t>
        </is>
      </c>
      <c r="V1237" t="inlineStr">
        <is>
          <t>2009-10-09</t>
        </is>
      </c>
      <c r="W1237" t="inlineStr">
        <is>
          <t>2001-04-10</t>
        </is>
      </c>
      <c r="X1237" t="inlineStr">
        <is>
          <t>2001-04-10</t>
        </is>
      </c>
      <c r="Y1237" t="n">
        <v>641</v>
      </c>
      <c r="Z1237" t="n">
        <v>564</v>
      </c>
      <c r="AA1237" t="n">
        <v>578</v>
      </c>
      <c r="AB1237" t="n">
        <v>5</v>
      </c>
      <c r="AC1237" t="n">
        <v>5</v>
      </c>
      <c r="AD1237" t="n">
        <v>25</v>
      </c>
      <c r="AE1237" t="n">
        <v>25</v>
      </c>
      <c r="AF1237" t="n">
        <v>11</v>
      </c>
      <c r="AG1237" t="n">
        <v>11</v>
      </c>
      <c r="AH1237" t="n">
        <v>5</v>
      </c>
      <c r="AI1237" t="n">
        <v>5</v>
      </c>
      <c r="AJ1237" t="n">
        <v>13</v>
      </c>
      <c r="AK1237" t="n">
        <v>13</v>
      </c>
      <c r="AL1237" t="n">
        <v>3</v>
      </c>
      <c r="AM1237" t="n">
        <v>3</v>
      </c>
      <c r="AN1237" t="n">
        <v>0</v>
      </c>
      <c r="AO1237" t="n">
        <v>0</v>
      </c>
      <c r="AP1237" t="inlineStr">
        <is>
          <t>No</t>
        </is>
      </c>
      <c r="AQ1237" t="inlineStr">
        <is>
          <t>No</t>
        </is>
      </c>
      <c r="AS1237">
        <f>HYPERLINK("https://creighton-primo.hosted.exlibrisgroup.com/primo-explore/search?tab=default_tab&amp;search_scope=EVERYTHING&amp;vid=01CRU&amp;lang=en_US&amp;offset=0&amp;query=any,contains,991003491349702656","Catalog Record")</f>
        <v/>
      </c>
      <c r="AT1237">
        <f>HYPERLINK("http://www.worldcat.org/oclc/43641165","WorldCat Record")</f>
        <v/>
      </c>
      <c r="AU1237" t="inlineStr">
        <is>
          <t>905947328:eng</t>
        </is>
      </c>
      <c r="AV1237" t="inlineStr">
        <is>
          <t>43641165</t>
        </is>
      </c>
      <c r="AW1237" t="inlineStr">
        <is>
          <t>991003491349702656</t>
        </is>
      </c>
      <c r="AX1237" t="inlineStr">
        <is>
          <t>991003491349702656</t>
        </is>
      </c>
      <c r="AY1237" t="inlineStr">
        <is>
          <t>2268059740002656</t>
        </is>
      </c>
      <c r="AZ1237" t="inlineStr">
        <is>
          <t>BOOK</t>
        </is>
      </c>
      <c r="BB1237" t="inlineStr">
        <is>
          <t>9781572305663</t>
        </is>
      </c>
      <c r="BC1237" t="inlineStr">
        <is>
          <t>32285004311055</t>
        </is>
      </c>
      <c r="BD1237" t="inlineStr">
        <is>
          <t>893262766</t>
        </is>
      </c>
    </row>
    <row r="1238">
      <c r="A1238" t="inlineStr">
        <is>
          <t>No</t>
        </is>
      </c>
      <c r="B1238" t="inlineStr">
        <is>
          <t>RC564 .D7775 2003</t>
        </is>
      </c>
      <c r="C1238" t="inlineStr">
        <is>
          <t>0                      RC 0564000D  7775        2003</t>
        </is>
      </c>
      <c r="D1238" t="inlineStr">
        <is>
          <t>Drug abuse treatment through collaboration : practice and research partnerships that work / edited by James L. Sorensen ... [et al.].</t>
        </is>
      </c>
      <c r="F1238" t="inlineStr">
        <is>
          <t>No</t>
        </is>
      </c>
      <c r="G1238" t="inlineStr">
        <is>
          <t>1</t>
        </is>
      </c>
      <c r="H1238" t="inlineStr">
        <is>
          <t>No</t>
        </is>
      </c>
      <c r="I1238" t="inlineStr">
        <is>
          <t>No</t>
        </is>
      </c>
      <c r="J1238" t="inlineStr">
        <is>
          <t>0</t>
        </is>
      </c>
      <c r="L1238" t="inlineStr">
        <is>
          <t>Washington, D.C. : American Psychological Association, c2003.</t>
        </is>
      </c>
      <c r="M1238" t="inlineStr">
        <is>
          <t>2003</t>
        </is>
      </c>
      <c r="N1238" t="inlineStr">
        <is>
          <t>1st ed.</t>
        </is>
      </c>
      <c r="O1238" t="inlineStr">
        <is>
          <t>eng</t>
        </is>
      </c>
      <c r="P1238" t="inlineStr">
        <is>
          <t>dcu</t>
        </is>
      </c>
      <c r="R1238" t="inlineStr">
        <is>
          <t xml:space="preserve">RC </t>
        </is>
      </c>
      <c r="S1238" t="n">
        <v>4</v>
      </c>
      <c r="T1238" t="n">
        <v>4</v>
      </c>
      <c r="U1238" t="inlineStr">
        <is>
          <t>2005-10-04</t>
        </is>
      </c>
      <c r="V1238" t="inlineStr">
        <is>
          <t>2005-10-04</t>
        </is>
      </c>
      <c r="W1238" t="inlineStr">
        <is>
          <t>2004-03-17</t>
        </is>
      </c>
      <c r="X1238" t="inlineStr">
        <is>
          <t>2004-03-17</t>
        </is>
      </c>
      <c r="Y1238" t="n">
        <v>292</v>
      </c>
      <c r="Z1238" t="n">
        <v>238</v>
      </c>
      <c r="AA1238" t="n">
        <v>317</v>
      </c>
      <c r="AB1238" t="n">
        <v>3</v>
      </c>
      <c r="AC1238" t="n">
        <v>4</v>
      </c>
      <c r="AD1238" t="n">
        <v>10</v>
      </c>
      <c r="AE1238" t="n">
        <v>17</v>
      </c>
      <c r="AF1238" t="n">
        <v>2</v>
      </c>
      <c r="AG1238" t="n">
        <v>4</v>
      </c>
      <c r="AH1238" t="n">
        <v>3</v>
      </c>
      <c r="AI1238" t="n">
        <v>3</v>
      </c>
      <c r="AJ1238" t="n">
        <v>5</v>
      </c>
      <c r="AK1238" t="n">
        <v>9</v>
      </c>
      <c r="AL1238" t="n">
        <v>2</v>
      </c>
      <c r="AM1238" t="n">
        <v>3</v>
      </c>
      <c r="AN1238" t="n">
        <v>0</v>
      </c>
      <c r="AO1238" t="n">
        <v>0</v>
      </c>
      <c r="AP1238" t="inlineStr">
        <is>
          <t>No</t>
        </is>
      </c>
      <c r="AQ1238" t="inlineStr">
        <is>
          <t>No</t>
        </is>
      </c>
      <c r="AS1238">
        <f>HYPERLINK("https://creighton-primo.hosted.exlibrisgroup.com/primo-explore/search?tab=default_tab&amp;search_scope=EVERYTHING&amp;vid=01CRU&amp;lang=en_US&amp;offset=0&amp;query=any,contains,991004238339702656","Catalog Record")</f>
        <v/>
      </c>
      <c r="AT1238">
        <f>HYPERLINK("http://www.worldcat.org/oclc/50554162","WorldCat Record")</f>
        <v/>
      </c>
      <c r="AU1238" t="inlineStr">
        <is>
          <t>1078140302:eng</t>
        </is>
      </c>
      <c r="AV1238" t="inlineStr">
        <is>
          <t>50554162</t>
        </is>
      </c>
      <c r="AW1238" t="inlineStr">
        <is>
          <t>991004238339702656</t>
        </is>
      </c>
      <c r="AX1238" t="inlineStr">
        <is>
          <t>991004238339702656</t>
        </is>
      </c>
      <c r="AY1238" t="inlineStr">
        <is>
          <t>2255792500002656</t>
        </is>
      </c>
      <c r="AZ1238" t="inlineStr">
        <is>
          <t>BOOK</t>
        </is>
      </c>
      <c r="BB1238" t="inlineStr">
        <is>
          <t>9781557989857</t>
        </is>
      </c>
      <c r="BC1238" t="inlineStr">
        <is>
          <t>32285004894217</t>
        </is>
      </c>
      <c r="BD1238" t="inlineStr">
        <is>
          <t>893331349</t>
        </is>
      </c>
    </row>
    <row r="1239">
      <c r="A1239" t="inlineStr">
        <is>
          <t>No</t>
        </is>
      </c>
      <c r="B1239" t="inlineStr">
        <is>
          <t>RC564 .D785 1980</t>
        </is>
      </c>
      <c r="C1239" t="inlineStr">
        <is>
          <t>0                      RC 0564000D  785         1980</t>
        </is>
      </c>
      <c r="D1239" t="inlineStr">
        <is>
          <t>Drugs in relation to the drug user : critical drug issues / edited by Stanley Einstein.</t>
        </is>
      </c>
      <c r="F1239" t="inlineStr">
        <is>
          <t>No</t>
        </is>
      </c>
      <c r="G1239" t="inlineStr">
        <is>
          <t>1</t>
        </is>
      </c>
      <c r="H1239" t="inlineStr">
        <is>
          <t>No</t>
        </is>
      </c>
      <c r="I1239" t="inlineStr">
        <is>
          <t>No</t>
        </is>
      </c>
      <c r="J1239" t="inlineStr">
        <is>
          <t>0</t>
        </is>
      </c>
      <c r="L1239" t="inlineStr">
        <is>
          <t>New York : Pergamon Press, c1980.</t>
        </is>
      </c>
      <c r="M1239" t="inlineStr">
        <is>
          <t>1980</t>
        </is>
      </c>
      <c r="O1239" t="inlineStr">
        <is>
          <t>eng</t>
        </is>
      </c>
      <c r="P1239" t="inlineStr">
        <is>
          <t>nyu</t>
        </is>
      </c>
      <c r="R1239" t="inlineStr">
        <is>
          <t xml:space="preserve">RC </t>
        </is>
      </c>
      <c r="S1239" t="n">
        <v>5</v>
      </c>
      <c r="T1239" t="n">
        <v>5</v>
      </c>
      <c r="U1239" t="inlineStr">
        <is>
          <t>2002-06-26</t>
        </is>
      </c>
      <c r="V1239" t="inlineStr">
        <is>
          <t>2002-06-26</t>
        </is>
      </c>
      <c r="W1239" t="inlineStr">
        <is>
          <t>1993-03-23</t>
        </is>
      </c>
      <c r="X1239" t="inlineStr">
        <is>
          <t>1993-03-23</t>
        </is>
      </c>
      <c r="Y1239" t="n">
        <v>286</v>
      </c>
      <c r="Z1239" t="n">
        <v>226</v>
      </c>
      <c r="AA1239" t="n">
        <v>233</v>
      </c>
      <c r="AB1239" t="n">
        <v>2</v>
      </c>
      <c r="AC1239" t="n">
        <v>2</v>
      </c>
      <c r="AD1239" t="n">
        <v>8</v>
      </c>
      <c r="AE1239" t="n">
        <v>8</v>
      </c>
      <c r="AF1239" t="n">
        <v>2</v>
      </c>
      <c r="AG1239" t="n">
        <v>2</v>
      </c>
      <c r="AH1239" t="n">
        <v>1</v>
      </c>
      <c r="AI1239" t="n">
        <v>1</v>
      </c>
      <c r="AJ1239" t="n">
        <v>5</v>
      </c>
      <c r="AK1239" t="n">
        <v>5</v>
      </c>
      <c r="AL1239" t="n">
        <v>1</v>
      </c>
      <c r="AM1239" t="n">
        <v>1</v>
      </c>
      <c r="AN1239" t="n">
        <v>0</v>
      </c>
      <c r="AO1239" t="n">
        <v>0</v>
      </c>
      <c r="AP1239" t="inlineStr">
        <is>
          <t>No</t>
        </is>
      </c>
      <c r="AQ1239" t="inlineStr">
        <is>
          <t>Yes</t>
        </is>
      </c>
      <c r="AR1239">
        <f>HYPERLINK("http://catalog.hathitrust.org/Record/000735850","HathiTrust Record")</f>
        <v/>
      </c>
      <c r="AS1239">
        <f>HYPERLINK("https://creighton-primo.hosted.exlibrisgroup.com/primo-explore/search?tab=default_tab&amp;search_scope=EVERYTHING&amp;vid=01CRU&amp;lang=en_US&amp;offset=0&amp;query=any,contains,991004801209702656","Catalog Record")</f>
        <v/>
      </c>
      <c r="AT1239">
        <f>HYPERLINK("http://www.worldcat.org/oclc/5219064","WorldCat Record")</f>
        <v/>
      </c>
      <c r="AU1239" t="inlineStr">
        <is>
          <t>16403513:eng</t>
        </is>
      </c>
      <c r="AV1239" t="inlineStr">
        <is>
          <t>5219064</t>
        </is>
      </c>
      <c r="AW1239" t="inlineStr">
        <is>
          <t>991004801209702656</t>
        </is>
      </c>
      <c r="AX1239" t="inlineStr">
        <is>
          <t>991004801209702656</t>
        </is>
      </c>
      <c r="AY1239" t="inlineStr">
        <is>
          <t>2268354810002656</t>
        </is>
      </c>
      <c r="AZ1239" t="inlineStr">
        <is>
          <t>BOOK</t>
        </is>
      </c>
      <c r="BB1239" t="inlineStr">
        <is>
          <t>9780080195964</t>
        </is>
      </c>
      <c r="BC1239" t="inlineStr">
        <is>
          <t>32285001607489</t>
        </is>
      </c>
      <c r="BD1239" t="inlineStr">
        <is>
          <t>893507249</t>
        </is>
      </c>
    </row>
    <row r="1240">
      <c r="A1240" t="inlineStr">
        <is>
          <t>No</t>
        </is>
      </c>
      <c r="B1240" t="inlineStr">
        <is>
          <t>RC564 .E8 1980</t>
        </is>
      </c>
      <c r="C1240" t="inlineStr">
        <is>
          <t>0                      RC 0564000E  8           1980</t>
        </is>
      </c>
      <c r="D1240" t="inlineStr">
        <is>
          <t>Evaluating alcohol and drug abuse treatment effectiveness : recent advances / edited by Linda Carter Sobell, Mark B. Sobell, and Elliott Ward.</t>
        </is>
      </c>
      <c r="F1240" t="inlineStr">
        <is>
          <t>No</t>
        </is>
      </c>
      <c r="G1240" t="inlineStr">
        <is>
          <t>1</t>
        </is>
      </c>
      <c r="H1240" t="inlineStr">
        <is>
          <t>No</t>
        </is>
      </c>
      <c r="I1240" t="inlineStr">
        <is>
          <t>No</t>
        </is>
      </c>
      <c r="J1240" t="inlineStr">
        <is>
          <t>0</t>
        </is>
      </c>
      <c r="L1240" t="inlineStr">
        <is>
          <t>Oxford ; New York : Pergamon Press, c1980.</t>
        </is>
      </c>
      <c r="M1240" t="inlineStr">
        <is>
          <t>1980</t>
        </is>
      </c>
      <c r="O1240" t="inlineStr">
        <is>
          <t>eng</t>
        </is>
      </c>
      <c r="P1240" t="inlineStr">
        <is>
          <t>enk</t>
        </is>
      </c>
      <c r="R1240" t="inlineStr">
        <is>
          <t xml:space="preserve">RC </t>
        </is>
      </c>
      <c r="S1240" t="n">
        <v>8</v>
      </c>
      <c r="T1240" t="n">
        <v>8</v>
      </c>
      <c r="U1240" t="inlineStr">
        <is>
          <t>1998-03-29</t>
        </is>
      </c>
      <c r="V1240" t="inlineStr">
        <is>
          <t>1998-03-29</t>
        </is>
      </c>
      <c r="W1240" t="inlineStr">
        <is>
          <t>1992-02-24</t>
        </is>
      </c>
      <c r="X1240" t="inlineStr">
        <is>
          <t>1992-02-24</t>
        </is>
      </c>
      <c r="Y1240" t="n">
        <v>220</v>
      </c>
      <c r="Z1240" t="n">
        <v>178</v>
      </c>
      <c r="AA1240" t="n">
        <v>236</v>
      </c>
      <c r="AB1240" t="n">
        <v>2</v>
      </c>
      <c r="AC1240" t="n">
        <v>2</v>
      </c>
      <c r="AD1240" t="n">
        <v>8</v>
      </c>
      <c r="AE1240" t="n">
        <v>11</v>
      </c>
      <c r="AF1240" t="n">
        <v>3</v>
      </c>
      <c r="AG1240" t="n">
        <v>5</v>
      </c>
      <c r="AH1240" t="n">
        <v>1</v>
      </c>
      <c r="AI1240" t="n">
        <v>3</v>
      </c>
      <c r="AJ1240" t="n">
        <v>5</v>
      </c>
      <c r="AK1240" t="n">
        <v>5</v>
      </c>
      <c r="AL1240" t="n">
        <v>1</v>
      </c>
      <c r="AM1240" t="n">
        <v>1</v>
      </c>
      <c r="AN1240" t="n">
        <v>0</v>
      </c>
      <c r="AO1240" t="n">
        <v>0</v>
      </c>
      <c r="AP1240" t="inlineStr">
        <is>
          <t>No</t>
        </is>
      </c>
      <c r="AQ1240" t="inlineStr">
        <is>
          <t>No</t>
        </is>
      </c>
      <c r="AS1240">
        <f>HYPERLINK("https://creighton-primo.hosted.exlibrisgroup.com/primo-explore/search?tab=default_tab&amp;search_scope=EVERYTHING&amp;vid=01CRU&amp;lang=en_US&amp;offset=0&amp;query=any,contains,991004824939702656","Catalog Record")</f>
        <v/>
      </c>
      <c r="AT1240">
        <f>HYPERLINK("http://www.worldcat.org/oclc/5353116","WorldCat Record")</f>
        <v/>
      </c>
      <c r="AU1240" t="inlineStr">
        <is>
          <t>867243410:eng</t>
        </is>
      </c>
      <c r="AV1240" t="inlineStr">
        <is>
          <t>5353116</t>
        </is>
      </c>
      <c r="AW1240" t="inlineStr">
        <is>
          <t>991004824939702656</t>
        </is>
      </c>
      <c r="AX1240" t="inlineStr">
        <is>
          <t>991004824939702656</t>
        </is>
      </c>
      <c r="AY1240" t="inlineStr">
        <is>
          <t>2257532280002656</t>
        </is>
      </c>
      <c r="AZ1240" t="inlineStr">
        <is>
          <t>BOOK</t>
        </is>
      </c>
      <c r="BB1240" t="inlineStr">
        <is>
          <t>9780080229973</t>
        </is>
      </c>
      <c r="BC1240" t="inlineStr">
        <is>
          <t>32285000974591</t>
        </is>
      </c>
      <c r="BD1240" t="inlineStr">
        <is>
          <t>893424235</t>
        </is>
      </c>
    </row>
    <row r="1241">
      <c r="A1241" t="inlineStr">
        <is>
          <t>No</t>
        </is>
      </c>
      <c r="B1241" t="inlineStr">
        <is>
          <t>RC564 .E83 1983</t>
        </is>
      </c>
      <c r="C1241" t="inlineStr">
        <is>
          <t>0                      RC 0564000E  83          1983</t>
        </is>
      </c>
      <c r="D1241" t="inlineStr">
        <is>
          <t>Evaluation of drug treatment programs / Barry Stimmel, editor.</t>
        </is>
      </c>
      <c r="F1241" t="inlineStr">
        <is>
          <t>No</t>
        </is>
      </c>
      <c r="G1241" t="inlineStr">
        <is>
          <t>1</t>
        </is>
      </c>
      <c r="H1241" t="inlineStr">
        <is>
          <t>No</t>
        </is>
      </c>
      <c r="I1241" t="inlineStr">
        <is>
          <t>No</t>
        </is>
      </c>
      <c r="J1241" t="inlineStr">
        <is>
          <t>0</t>
        </is>
      </c>
      <c r="L1241" t="inlineStr">
        <is>
          <t>New York : Haworth Press, c1983.</t>
        </is>
      </c>
      <c r="M1241" t="inlineStr">
        <is>
          <t>1983</t>
        </is>
      </c>
      <c r="O1241" t="inlineStr">
        <is>
          <t>eng</t>
        </is>
      </c>
      <c r="P1241" t="inlineStr">
        <is>
          <t>nyu</t>
        </is>
      </c>
      <c r="R1241" t="inlineStr">
        <is>
          <t xml:space="preserve">RC </t>
        </is>
      </c>
      <c r="S1241" t="n">
        <v>8</v>
      </c>
      <c r="T1241" t="n">
        <v>8</v>
      </c>
      <c r="U1241" t="inlineStr">
        <is>
          <t>2002-04-04</t>
        </is>
      </c>
      <c r="V1241" t="inlineStr">
        <is>
          <t>2002-04-04</t>
        </is>
      </c>
      <c r="W1241" t="inlineStr">
        <is>
          <t>1990-02-28</t>
        </is>
      </c>
      <c r="X1241" t="inlineStr">
        <is>
          <t>1990-02-28</t>
        </is>
      </c>
      <c r="Y1241" t="n">
        <v>120</v>
      </c>
      <c r="Z1241" t="n">
        <v>103</v>
      </c>
      <c r="AA1241" t="n">
        <v>108</v>
      </c>
      <c r="AB1241" t="n">
        <v>1</v>
      </c>
      <c r="AC1241" t="n">
        <v>1</v>
      </c>
      <c r="AD1241" t="n">
        <v>3</v>
      </c>
      <c r="AE1241" t="n">
        <v>3</v>
      </c>
      <c r="AF1241" t="n">
        <v>0</v>
      </c>
      <c r="AG1241" t="n">
        <v>0</v>
      </c>
      <c r="AH1241" t="n">
        <v>2</v>
      </c>
      <c r="AI1241" t="n">
        <v>2</v>
      </c>
      <c r="AJ1241" t="n">
        <v>2</v>
      </c>
      <c r="AK1241" t="n">
        <v>2</v>
      </c>
      <c r="AL1241" t="n">
        <v>0</v>
      </c>
      <c r="AM1241" t="n">
        <v>0</v>
      </c>
      <c r="AN1241" t="n">
        <v>0</v>
      </c>
      <c r="AO1241" t="n">
        <v>0</v>
      </c>
      <c r="AP1241" t="inlineStr">
        <is>
          <t>No</t>
        </is>
      </c>
      <c r="AQ1241" t="inlineStr">
        <is>
          <t>No</t>
        </is>
      </c>
      <c r="AS1241">
        <f>HYPERLINK("https://creighton-primo.hosted.exlibrisgroup.com/primo-explore/search?tab=default_tab&amp;search_scope=EVERYTHING&amp;vid=01CRU&amp;lang=en_US&amp;offset=0&amp;query=any,contains,991000095689702656","Catalog Record")</f>
        <v/>
      </c>
      <c r="AT1241">
        <f>HYPERLINK("http://www.worldcat.org/oclc/8928609","WorldCat Record")</f>
        <v/>
      </c>
      <c r="AU1241" t="inlineStr">
        <is>
          <t>3856594103:eng</t>
        </is>
      </c>
      <c r="AV1241" t="inlineStr">
        <is>
          <t>8928609</t>
        </is>
      </c>
      <c r="AW1241" t="inlineStr">
        <is>
          <t>991000095689702656</t>
        </is>
      </c>
      <c r="AX1241" t="inlineStr">
        <is>
          <t>991000095689702656</t>
        </is>
      </c>
      <c r="AY1241" t="inlineStr">
        <is>
          <t>2264417840002656</t>
        </is>
      </c>
      <c r="AZ1241" t="inlineStr">
        <is>
          <t>BOOK</t>
        </is>
      </c>
      <c r="BB1241" t="inlineStr">
        <is>
          <t>9780866561945</t>
        </is>
      </c>
      <c r="BC1241" t="inlineStr">
        <is>
          <t>32285000072503</t>
        </is>
      </c>
      <c r="BD1241" t="inlineStr">
        <is>
          <t>893327003</t>
        </is>
      </c>
    </row>
    <row r="1242">
      <c r="A1242" t="inlineStr">
        <is>
          <t>No</t>
        </is>
      </c>
      <c r="B1242" t="inlineStr">
        <is>
          <t>RC564 .G642 1988</t>
        </is>
      </c>
      <c r="C1242" t="inlineStr">
        <is>
          <t>0                      RC 0564000G  642         1988</t>
        </is>
      </c>
      <c r="D1242" t="inlineStr">
        <is>
          <t>The facts about drugs and alcohol / by Mark S. Gold ; [produced by Lawrence Chilnick Associates].</t>
        </is>
      </c>
      <c r="F1242" t="inlineStr">
        <is>
          <t>No</t>
        </is>
      </c>
      <c r="G1242" t="inlineStr">
        <is>
          <t>1</t>
        </is>
      </c>
      <c r="H1242" t="inlineStr">
        <is>
          <t>No</t>
        </is>
      </c>
      <c r="I1242" t="inlineStr">
        <is>
          <t>No</t>
        </is>
      </c>
      <c r="J1242" t="inlineStr">
        <is>
          <t>0</t>
        </is>
      </c>
      <c r="K1242" t="inlineStr">
        <is>
          <t>Gold, Mark S.</t>
        </is>
      </c>
      <c r="L1242" t="inlineStr">
        <is>
          <t>Washington, D.C. : PIA Press, 1988.</t>
        </is>
      </c>
      <c r="M1242" t="inlineStr">
        <is>
          <t>1988</t>
        </is>
      </c>
      <c r="N1242" t="inlineStr">
        <is>
          <t>3rd ed.</t>
        </is>
      </c>
      <c r="O1242" t="inlineStr">
        <is>
          <t>eng</t>
        </is>
      </c>
      <c r="P1242" t="inlineStr">
        <is>
          <t>dcu</t>
        </is>
      </c>
      <c r="R1242" t="inlineStr">
        <is>
          <t xml:space="preserve">RC </t>
        </is>
      </c>
      <c r="S1242" t="n">
        <v>12</v>
      </c>
      <c r="T1242" t="n">
        <v>12</v>
      </c>
      <c r="U1242" t="inlineStr">
        <is>
          <t>2007-03-26</t>
        </is>
      </c>
      <c r="V1242" t="inlineStr">
        <is>
          <t>2007-03-26</t>
        </is>
      </c>
      <c r="W1242" t="inlineStr">
        <is>
          <t>1997-09-30</t>
        </is>
      </c>
      <c r="X1242" t="inlineStr">
        <is>
          <t>1997-09-30</t>
        </is>
      </c>
      <c r="Y1242" t="n">
        <v>39</v>
      </c>
      <c r="Z1242" t="n">
        <v>39</v>
      </c>
      <c r="AA1242" t="n">
        <v>257</v>
      </c>
      <c r="AB1242" t="n">
        <v>1</v>
      </c>
      <c r="AC1242" t="n">
        <v>2</v>
      </c>
      <c r="AD1242" t="n">
        <v>1</v>
      </c>
      <c r="AE1242" t="n">
        <v>2</v>
      </c>
      <c r="AF1242" t="n">
        <v>1</v>
      </c>
      <c r="AG1242" t="n">
        <v>1</v>
      </c>
      <c r="AH1242" t="n">
        <v>0</v>
      </c>
      <c r="AI1242" t="n">
        <v>1</v>
      </c>
      <c r="AJ1242" t="n">
        <v>0</v>
      </c>
      <c r="AK1242" t="n">
        <v>0</v>
      </c>
      <c r="AL1242" t="n">
        <v>0</v>
      </c>
      <c r="AM1242" t="n">
        <v>0</v>
      </c>
      <c r="AN1242" t="n">
        <v>0</v>
      </c>
      <c r="AO1242" t="n">
        <v>0</v>
      </c>
      <c r="AP1242" t="inlineStr">
        <is>
          <t>No</t>
        </is>
      </c>
      <c r="AQ1242" t="inlineStr">
        <is>
          <t>No</t>
        </is>
      </c>
      <c r="AS1242">
        <f>HYPERLINK("https://creighton-primo.hosted.exlibrisgroup.com/primo-explore/search?tab=default_tab&amp;search_scope=EVERYTHING&amp;vid=01CRU&amp;lang=en_US&amp;offset=0&amp;query=any,contains,991001681529702656","Catalog Record")</f>
        <v/>
      </c>
      <c r="AT1242">
        <f>HYPERLINK("http://www.worldcat.org/oclc/21354558","WorldCat Record")</f>
        <v/>
      </c>
      <c r="AU1242" t="inlineStr">
        <is>
          <t>1154978:eng</t>
        </is>
      </c>
      <c r="AV1242" t="inlineStr">
        <is>
          <t>21354558</t>
        </is>
      </c>
      <c r="AW1242" t="inlineStr">
        <is>
          <t>991001681529702656</t>
        </is>
      </c>
      <c r="AX1242" t="inlineStr">
        <is>
          <t>991001681529702656</t>
        </is>
      </c>
      <c r="AY1242" t="inlineStr">
        <is>
          <t>2260480510002656</t>
        </is>
      </c>
      <c r="AZ1242" t="inlineStr">
        <is>
          <t>BOOK</t>
        </is>
      </c>
      <c r="BB1242" t="inlineStr">
        <is>
          <t>9780929162003</t>
        </is>
      </c>
      <c r="BC1242" t="inlineStr">
        <is>
          <t>32285003251294</t>
        </is>
      </c>
      <c r="BD1242" t="inlineStr">
        <is>
          <t>893772795</t>
        </is>
      </c>
    </row>
    <row r="1243">
      <c r="A1243" t="inlineStr">
        <is>
          <t>No</t>
        </is>
      </c>
      <c r="B1243" t="inlineStr">
        <is>
          <t>RC564 .L65 1964</t>
        </is>
      </c>
      <c r="C1243" t="inlineStr">
        <is>
          <t>0                      RC 0564000L  65          1964</t>
        </is>
      </c>
      <c r="D1243" t="inlineStr">
        <is>
          <t>Conditioning and enuresis [by] S.H. Lovibond.</t>
        </is>
      </c>
      <c r="F1243" t="inlineStr">
        <is>
          <t>No</t>
        </is>
      </c>
      <c r="G1243" t="inlineStr">
        <is>
          <t>1</t>
        </is>
      </c>
      <c r="H1243" t="inlineStr">
        <is>
          <t>No</t>
        </is>
      </c>
      <c r="I1243" t="inlineStr">
        <is>
          <t>No</t>
        </is>
      </c>
      <c r="J1243" t="inlineStr">
        <is>
          <t>0</t>
        </is>
      </c>
      <c r="K1243" t="inlineStr">
        <is>
          <t>Lovibond, S. H.</t>
        </is>
      </c>
      <c r="L1243" t="inlineStr">
        <is>
          <t>Oxford, New York, Pergamon Press; [distributed in the Western Hemisphere by Macmillan] 1964.</t>
        </is>
      </c>
      <c r="M1243" t="inlineStr">
        <is>
          <t>1964</t>
        </is>
      </c>
      <c r="O1243" t="inlineStr">
        <is>
          <t>eng</t>
        </is>
      </c>
      <c r="P1243" t="inlineStr">
        <is>
          <t>enk</t>
        </is>
      </c>
      <c r="R1243" t="inlineStr">
        <is>
          <t xml:space="preserve">RC </t>
        </is>
      </c>
      <c r="S1243" t="n">
        <v>2</v>
      </c>
      <c r="T1243" t="n">
        <v>2</v>
      </c>
      <c r="U1243" t="inlineStr">
        <is>
          <t>1997-11-20</t>
        </is>
      </c>
      <c r="V1243" t="inlineStr">
        <is>
          <t>1997-11-20</t>
        </is>
      </c>
      <c r="W1243" t="inlineStr">
        <is>
          <t>1997-08-12</t>
        </is>
      </c>
      <c r="X1243" t="inlineStr">
        <is>
          <t>1997-08-12</t>
        </is>
      </c>
      <c r="Y1243" t="n">
        <v>215</v>
      </c>
      <c r="Z1243" t="n">
        <v>149</v>
      </c>
      <c r="AA1243" t="n">
        <v>182</v>
      </c>
      <c r="AB1243" t="n">
        <v>2</v>
      </c>
      <c r="AC1243" t="n">
        <v>2</v>
      </c>
      <c r="AD1243" t="n">
        <v>11</v>
      </c>
      <c r="AE1243" t="n">
        <v>11</v>
      </c>
      <c r="AF1243" t="n">
        <v>3</v>
      </c>
      <c r="AG1243" t="n">
        <v>3</v>
      </c>
      <c r="AH1243" t="n">
        <v>2</v>
      </c>
      <c r="AI1243" t="n">
        <v>2</v>
      </c>
      <c r="AJ1243" t="n">
        <v>8</v>
      </c>
      <c r="AK1243" t="n">
        <v>8</v>
      </c>
      <c r="AL1243" t="n">
        <v>1</v>
      </c>
      <c r="AM1243" t="n">
        <v>1</v>
      </c>
      <c r="AN1243" t="n">
        <v>0</v>
      </c>
      <c r="AO1243" t="n">
        <v>0</v>
      </c>
      <c r="AP1243" t="inlineStr">
        <is>
          <t>No</t>
        </is>
      </c>
      <c r="AQ1243" t="inlineStr">
        <is>
          <t>Yes</t>
        </is>
      </c>
      <c r="AR1243">
        <f>HYPERLINK("http://catalog.hathitrust.org/Record/001565225","HathiTrust Record")</f>
        <v/>
      </c>
      <c r="AS1243">
        <f>HYPERLINK("https://creighton-primo.hosted.exlibrisgroup.com/primo-explore/search?tab=default_tab&amp;search_scope=EVERYTHING&amp;vid=01CRU&amp;lang=en_US&amp;offset=0&amp;query=any,contains,991003614169702656","Catalog Record")</f>
        <v/>
      </c>
      <c r="AT1243">
        <f>HYPERLINK("http://www.worldcat.org/oclc/1196791","WorldCat Record")</f>
        <v/>
      </c>
      <c r="AU1243" t="inlineStr">
        <is>
          <t>2158045:eng</t>
        </is>
      </c>
      <c r="AV1243" t="inlineStr">
        <is>
          <t>1196791</t>
        </is>
      </c>
      <c r="AW1243" t="inlineStr">
        <is>
          <t>991003614169702656</t>
        </is>
      </c>
      <c r="AX1243" t="inlineStr">
        <is>
          <t>991003614169702656</t>
        </is>
      </c>
      <c r="AY1243" t="inlineStr">
        <is>
          <t>2261785520002656</t>
        </is>
      </c>
      <c r="AZ1243" t="inlineStr">
        <is>
          <t>BOOK</t>
        </is>
      </c>
      <c r="BC1243" t="inlineStr">
        <is>
          <t>32285003092524</t>
        </is>
      </c>
      <c r="BD1243" t="inlineStr">
        <is>
          <t>893781190</t>
        </is>
      </c>
    </row>
    <row r="1244">
      <c r="A1244" t="inlineStr">
        <is>
          <t>No</t>
        </is>
      </c>
      <c r="B1244" t="inlineStr">
        <is>
          <t>RC564 .N4 1996</t>
        </is>
      </c>
      <c r="C1244" t="inlineStr">
        <is>
          <t>0                      RC 0564000N  4           1996</t>
        </is>
      </c>
      <c r="D1244" t="inlineStr">
        <is>
          <t>Tough love : how parents can deal with drug abuse / Pauline Neff.</t>
        </is>
      </c>
      <c r="F1244" t="inlineStr">
        <is>
          <t>No</t>
        </is>
      </c>
      <c r="G1244" t="inlineStr">
        <is>
          <t>1</t>
        </is>
      </c>
      <c r="H1244" t="inlineStr">
        <is>
          <t>No</t>
        </is>
      </c>
      <c r="I1244" t="inlineStr">
        <is>
          <t>No</t>
        </is>
      </c>
      <c r="J1244" t="inlineStr">
        <is>
          <t>0</t>
        </is>
      </c>
      <c r="K1244" t="inlineStr">
        <is>
          <t>Neff, Pauline, 1928-2018.</t>
        </is>
      </c>
      <c r="L1244" t="inlineStr">
        <is>
          <t>Nashville : Abingdon, c1996.</t>
        </is>
      </c>
      <c r="M1244" t="inlineStr">
        <is>
          <t>1996</t>
        </is>
      </c>
      <c r="O1244" t="inlineStr">
        <is>
          <t>eng</t>
        </is>
      </c>
      <c r="P1244" t="inlineStr">
        <is>
          <t>tnu</t>
        </is>
      </c>
      <c r="R1244" t="inlineStr">
        <is>
          <t xml:space="preserve">RC </t>
        </is>
      </c>
      <c r="S1244" t="n">
        <v>5</v>
      </c>
      <c r="T1244" t="n">
        <v>5</v>
      </c>
      <c r="U1244" t="inlineStr">
        <is>
          <t>2008-06-24</t>
        </is>
      </c>
      <c r="V1244" t="inlineStr">
        <is>
          <t>2008-06-24</t>
        </is>
      </c>
      <c r="W1244" t="inlineStr">
        <is>
          <t>1996-04-25</t>
        </is>
      </c>
      <c r="X1244" t="inlineStr">
        <is>
          <t>1996-04-25</t>
        </is>
      </c>
      <c r="Y1244" t="n">
        <v>376</v>
      </c>
      <c r="Z1244" t="n">
        <v>353</v>
      </c>
      <c r="AA1244" t="n">
        <v>907</v>
      </c>
      <c r="AB1244" t="n">
        <v>2</v>
      </c>
      <c r="AC1244" t="n">
        <v>8</v>
      </c>
      <c r="AD1244" t="n">
        <v>2</v>
      </c>
      <c r="AE1244" t="n">
        <v>5</v>
      </c>
      <c r="AF1244" t="n">
        <v>2</v>
      </c>
      <c r="AG1244" t="n">
        <v>3</v>
      </c>
      <c r="AH1244" t="n">
        <v>0</v>
      </c>
      <c r="AI1244" t="n">
        <v>0</v>
      </c>
      <c r="AJ1244" t="n">
        <v>1</v>
      </c>
      <c r="AK1244" t="n">
        <v>2</v>
      </c>
      <c r="AL1244" t="n">
        <v>0</v>
      </c>
      <c r="AM1244" t="n">
        <v>1</v>
      </c>
      <c r="AN1244" t="n">
        <v>0</v>
      </c>
      <c r="AO1244" t="n">
        <v>0</v>
      </c>
      <c r="AP1244" t="inlineStr">
        <is>
          <t>No</t>
        </is>
      </c>
      <c r="AQ1244" t="inlineStr">
        <is>
          <t>No</t>
        </is>
      </c>
      <c r="AS1244">
        <f>HYPERLINK("https://creighton-primo.hosted.exlibrisgroup.com/primo-explore/search?tab=default_tab&amp;search_scope=EVERYTHING&amp;vid=01CRU&amp;lang=en_US&amp;offset=0&amp;query=any,contains,991002623589702656","Catalog Record")</f>
        <v/>
      </c>
      <c r="AT1244">
        <f>HYPERLINK("http://www.worldcat.org/oclc/34372385","WorldCat Record")</f>
        <v/>
      </c>
      <c r="AU1244" t="inlineStr">
        <is>
          <t>917536261:eng</t>
        </is>
      </c>
      <c r="AV1244" t="inlineStr">
        <is>
          <t>34372385</t>
        </is>
      </c>
      <c r="AW1244" t="inlineStr">
        <is>
          <t>991002623589702656</t>
        </is>
      </c>
      <c r="AX1244" t="inlineStr">
        <is>
          <t>991002623589702656</t>
        </is>
      </c>
      <c r="AY1244" t="inlineStr">
        <is>
          <t>2271029880002656</t>
        </is>
      </c>
      <c r="AZ1244" t="inlineStr">
        <is>
          <t>BOOK</t>
        </is>
      </c>
      <c r="BB1244" t="inlineStr">
        <is>
          <t>9780687018253</t>
        </is>
      </c>
      <c r="BC1244" t="inlineStr">
        <is>
          <t>32285002157153</t>
        </is>
      </c>
      <c r="BD1244" t="inlineStr">
        <is>
          <t>893898989</t>
        </is>
      </c>
    </row>
    <row r="1245">
      <c r="A1245" t="inlineStr">
        <is>
          <t>No</t>
        </is>
      </c>
      <c r="B1245" t="inlineStr">
        <is>
          <t>RC564 .P43 1989</t>
        </is>
      </c>
      <c r="C1245" t="inlineStr">
        <is>
          <t>0                      RC 0564000P  43          1989</t>
        </is>
      </c>
      <c r="D1245" t="inlineStr">
        <is>
          <t>Diseasing of America : addiction treatment out of control / by Stanton Peele.</t>
        </is>
      </c>
      <c r="F1245" t="inlineStr">
        <is>
          <t>No</t>
        </is>
      </c>
      <c r="G1245" t="inlineStr">
        <is>
          <t>1</t>
        </is>
      </c>
      <c r="H1245" t="inlineStr">
        <is>
          <t>No</t>
        </is>
      </c>
      <c r="I1245" t="inlineStr">
        <is>
          <t>No</t>
        </is>
      </c>
      <c r="J1245" t="inlineStr">
        <is>
          <t>0</t>
        </is>
      </c>
      <c r="K1245" t="inlineStr">
        <is>
          <t>Peele, Stanton.</t>
        </is>
      </c>
      <c r="L1245" t="inlineStr">
        <is>
          <t>Lexington, Mass. : Lexington Books, c1989.</t>
        </is>
      </c>
      <c r="M1245" t="inlineStr">
        <is>
          <t>1989</t>
        </is>
      </c>
      <c r="O1245" t="inlineStr">
        <is>
          <t>eng</t>
        </is>
      </c>
      <c r="P1245" t="inlineStr">
        <is>
          <t>mau</t>
        </is>
      </c>
      <c r="R1245" t="inlineStr">
        <is>
          <t xml:space="preserve">RC </t>
        </is>
      </c>
      <c r="S1245" t="n">
        <v>19</v>
      </c>
      <c r="T1245" t="n">
        <v>19</v>
      </c>
      <c r="U1245" t="inlineStr">
        <is>
          <t>1999-11-13</t>
        </is>
      </c>
      <c r="V1245" t="inlineStr">
        <is>
          <t>1999-11-13</t>
        </is>
      </c>
      <c r="W1245" t="inlineStr">
        <is>
          <t>1992-05-08</t>
        </is>
      </c>
      <c r="X1245" t="inlineStr">
        <is>
          <t>1992-05-08</t>
        </is>
      </c>
      <c r="Y1245" t="n">
        <v>974</v>
      </c>
      <c r="Z1245" t="n">
        <v>910</v>
      </c>
      <c r="AA1245" t="n">
        <v>986</v>
      </c>
      <c r="AB1245" t="n">
        <v>5</v>
      </c>
      <c r="AC1245" t="n">
        <v>6</v>
      </c>
      <c r="AD1245" t="n">
        <v>35</v>
      </c>
      <c r="AE1245" t="n">
        <v>36</v>
      </c>
      <c r="AF1245" t="n">
        <v>14</v>
      </c>
      <c r="AG1245" t="n">
        <v>14</v>
      </c>
      <c r="AH1245" t="n">
        <v>8</v>
      </c>
      <c r="AI1245" t="n">
        <v>8</v>
      </c>
      <c r="AJ1245" t="n">
        <v>20</v>
      </c>
      <c r="AK1245" t="n">
        <v>20</v>
      </c>
      <c r="AL1245" t="n">
        <v>4</v>
      </c>
      <c r="AM1245" t="n">
        <v>5</v>
      </c>
      <c r="AN1245" t="n">
        <v>0</v>
      </c>
      <c r="AO1245" t="n">
        <v>0</v>
      </c>
      <c r="AP1245" t="inlineStr">
        <is>
          <t>No</t>
        </is>
      </c>
      <c r="AQ1245" t="inlineStr">
        <is>
          <t>Yes</t>
        </is>
      </c>
      <c r="AR1245">
        <f>HYPERLINK("http://catalog.hathitrust.org/Record/001816215","HathiTrust Record")</f>
        <v/>
      </c>
      <c r="AS1245">
        <f>HYPERLINK("https://creighton-primo.hosted.exlibrisgroup.com/primo-explore/search?tab=default_tab&amp;search_scope=EVERYTHING&amp;vid=01CRU&amp;lang=en_US&amp;offset=0&amp;query=any,contains,991001473609702656","Catalog Record")</f>
        <v/>
      </c>
      <c r="AT1245">
        <f>HYPERLINK("http://www.worldcat.org/oclc/19555073","WorldCat Record")</f>
        <v/>
      </c>
      <c r="AU1245" t="inlineStr">
        <is>
          <t>21177559:eng</t>
        </is>
      </c>
      <c r="AV1245" t="inlineStr">
        <is>
          <t>19555073</t>
        </is>
      </c>
      <c r="AW1245" t="inlineStr">
        <is>
          <t>991001473609702656</t>
        </is>
      </c>
      <c r="AX1245" t="inlineStr">
        <is>
          <t>991001473609702656</t>
        </is>
      </c>
      <c r="AY1245" t="inlineStr">
        <is>
          <t>2272456870002656</t>
        </is>
      </c>
      <c r="AZ1245" t="inlineStr">
        <is>
          <t>BOOK</t>
        </is>
      </c>
      <c r="BB1245" t="inlineStr">
        <is>
          <t>9780669200157</t>
        </is>
      </c>
      <c r="BC1245" t="inlineStr">
        <is>
          <t>32285001038891</t>
        </is>
      </c>
      <c r="BD1245" t="inlineStr">
        <is>
          <t>893420354</t>
        </is>
      </c>
    </row>
    <row r="1246">
      <c r="A1246" t="inlineStr">
        <is>
          <t>No</t>
        </is>
      </c>
      <c r="B1246" t="inlineStr">
        <is>
          <t>RC564 .P49 1986</t>
        </is>
      </c>
      <c r="C1246" t="inlineStr">
        <is>
          <t>0                      RC 0564000P  49          1986</t>
        </is>
      </c>
      <c r="D1246" t="inlineStr">
        <is>
          <t>The hidden addiction : and how to get free / Janice Keller Phelps, Alan E. Nourse.</t>
        </is>
      </c>
      <c r="F1246" t="inlineStr">
        <is>
          <t>No</t>
        </is>
      </c>
      <c r="G1246" t="inlineStr">
        <is>
          <t>1</t>
        </is>
      </c>
      <c r="H1246" t="inlineStr">
        <is>
          <t>No</t>
        </is>
      </c>
      <c r="I1246" t="inlineStr">
        <is>
          <t>No</t>
        </is>
      </c>
      <c r="J1246" t="inlineStr">
        <is>
          <t>0</t>
        </is>
      </c>
      <c r="K1246" t="inlineStr">
        <is>
          <t>Phelps, Janice Keller, 1932-</t>
        </is>
      </c>
      <c r="L1246" t="inlineStr">
        <is>
          <t>Boston : Little, Brown, c1986.</t>
        </is>
      </c>
      <c r="M1246" t="inlineStr">
        <is>
          <t>1986</t>
        </is>
      </c>
      <c r="N1246" t="inlineStr">
        <is>
          <t>1st ed.</t>
        </is>
      </c>
      <c r="O1246" t="inlineStr">
        <is>
          <t>eng</t>
        </is>
      </c>
      <c r="P1246" t="inlineStr">
        <is>
          <t>mau</t>
        </is>
      </c>
      <c r="R1246" t="inlineStr">
        <is>
          <t xml:space="preserve">RC </t>
        </is>
      </c>
      <c r="S1246" t="n">
        <v>1</v>
      </c>
      <c r="T1246" t="n">
        <v>1</v>
      </c>
      <c r="U1246" t="inlineStr">
        <is>
          <t>2002-11-20</t>
        </is>
      </c>
      <c r="V1246" t="inlineStr">
        <is>
          <t>2002-11-20</t>
        </is>
      </c>
      <c r="W1246" t="inlineStr">
        <is>
          <t>2002-11-20</t>
        </is>
      </c>
      <c r="X1246" t="inlineStr">
        <is>
          <t>2002-11-20</t>
        </is>
      </c>
      <c r="Y1246" t="n">
        <v>497</v>
      </c>
      <c r="Z1246" t="n">
        <v>474</v>
      </c>
      <c r="AA1246" t="n">
        <v>479</v>
      </c>
      <c r="AB1246" t="n">
        <v>2</v>
      </c>
      <c r="AC1246" t="n">
        <v>2</v>
      </c>
      <c r="AD1246" t="n">
        <v>5</v>
      </c>
      <c r="AE1246" t="n">
        <v>5</v>
      </c>
      <c r="AF1246" t="n">
        <v>4</v>
      </c>
      <c r="AG1246" t="n">
        <v>4</v>
      </c>
      <c r="AH1246" t="n">
        <v>0</v>
      </c>
      <c r="AI1246" t="n">
        <v>0</v>
      </c>
      <c r="AJ1246" t="n">
        <v>3</v>
      </c>
      <c r="AK1246" t="n">
        <v>3</v>
      </c>
      <c r="AL1246" t="n">
        <v>0</v>
      </c>
      <c r="AM1246" t="n">
        <v>0</v>
      </c>
      <c r="AN1246" t="n">
        <v>0</v>
      </c>
      <c r="AO1246" t="n">
        <v>0</v>
      </c>
      <c r="AP1246" t="inlineStr">
        <is>
          <t>No</t>
        </is>
      </c>
      <c r="AQ1246" t="inlineStr">
        <is>
          <t>No</t>
        </is>
      </c>
      <c r="AS1246">
        <f>HYPERLINK("https://creighton-primo.hosted.exlibrisgroup.com/primo-explore/search?tab=default_tab&amp;search_scope=EVERYTHING&amp;vid=01CRU&amp;lang=en_US&amp;offset=0&amp;query=any,contains,991003933079702656","Catalog Record")</f>
        <v/>
      </c>
      <c r="AT1246">
        <f>HYPERLINK("http://www.worldcat.org/oclc/11970071","WorldCat Record")</f>
        <v/>
      </c>
      <c r="AU1246" t="inlineStr">
        <is>
          <t>4492877:eng</t>
        </is>
      </c>
      <c r="AV1246" t="inlineStr">
        <is>
          <t>11970071</t>
        </is>
      </c>
      <c r="AW1246" t="inlineStr">
        <is>
          <t>991003933079702656</t>
        </is>
      </c>
      <c r="AX1246" t="inlineStr">
        <is>
          <t>991003933079702656</t>
        </is>
      </c>
      <c r="AY1246" t="inlineStr">
        <is>
          <t>2255378150002656</t>
        </is>
      </c>
      <c r="AZ1246" t="inlineStr">
        <is>
          <t>BOOK</t>
        </is>
      </c>
      <c r="BB1246" t="inlineStr">
        <is>
          <t>9780316704700</t>
        </is>
      </c>
      <c r="BC1246" t="inlineStr">
        <is>
          <t>32285004665328</t>
        </is>
      </c>
      <c r="BD1246" t="inlineStr">
        <is>
          <t>893512577</t>
        </is>
      </c>
    </row>
    <row r="1247">
      <c r="A1247" t="inlineStr">
        <is>
          <t>No</t>
        </is>
      </c>
      <c r="B1247" t="inlineStr">
        <is>
          <t>RC564 .R45 1985</t>
        </is>
      </c>
      <c r="C1247" t="inlineStr">
        <is>
          <t>0                      RC 0564000R  45          1985</t>
        </is>
      </c>
      <c r="D1247" t="inlineStr">
        <is>
          <t>Relapse prevention : maintenance strategies in the treatment of addictive behaviors / edited by G. Alan Marlatt, Judith R. Gordon ; foreword by G. Terence Wilson.</t>
        </is>
      </c>
      <c r="F1247" t="inlineStr">
        <is>
          <t>No</t>
        </is>
      </c>
      <c r="G1247" t="inlineStr">
        <is>
          <t>1</t>
        </is>
      </c>
      <c r="H1247" t="inlineStr">
        <is>
          <t>No</t>
        </is>
      </c>
      <c r="I1247" t="inlineStr">
        <is>
          <t>No</t>
        </is>
      </c>
      <c r="J1247" t="inlineStr">
        <is>
          <t>0</t>
        </is>
      </c>
      <c r="L1247" t="inlineStr">
        <is>
          <t>New York : Guilford Press, c1985.</t>
        </is>
      </c>
      <c r="M1247" t="inlineStr">
        <is>
          <t>1985</t>
        </is>
      </c>
      <c r="O1247" t="inlineStr">
        <is>
          <t>eng</t>
        </is>
      </c>
      <c r="P1247" t="inlineStr">
        <is>
          <t>nyu</t>
        </is>
      </c>
      <c r="Q1247" t="inlineStr">
        <is>
          <t>The Guilford clinical psychology and psychotherapy series</t>
        </is>
      </c>
      <c r="R1247" t="inlineStr">
        <is>
          <t xml:space="preserve">RC </t>
        </is>
      </c>
      <c r="S1247" t="n">
        <v>4</v>
      </c>
      <c r="T1247" t="n">
        <v>4</v>
      </c>
      <c r="U1247" t="inlineStr">
        <is>
          <t>2010-11-08</t>
        </is>
      </c>
      <c r="V1247" t="inlineStr">
        <is>
          <t>2010-11-08</t>
        </is>
      </c>
      <c r="W1247" t="inlineStr">
        <is>
          <t>1996-10-22</t>
        </is>
      </c>
      <c r="X1247" t="inlineStr">
        <is>
          <t>1996-10-22</t>
        </is>
      </c>
      <c r="Y1247" t="n">
        <v>596</v>
      </c>
      <c r="Z1247" t="n">
        <v>456</v>
      </c>
      <c r="AA1247" t="n">
        <v>704</v>
      </c>
      <c r="AB1247" t="n">
        <v>3</v>
      </c>
      <c r="AC1247" t="n">
        <v>4</v>
      </c>
      <c r="AD1247" t="n">
        <v>18</v>
      </c>
      <c r="AE1247" t="n">
        <v>26</v>
      </c>
      <c r="AF1247" t="n">
        <v>3</v>
      </c>
      <c r="AG1247" t="n">
        <v>8</v>
      </c>
      <c r="AH1247" t="n">
        <v>6</v>
      </c>
      <c r="AI1247" t="n">
        <v>6</v>
      </c>
      <c r="AJ1247" t="n">
        <v>9</v>
      </c>
      <c r="AK1247" t="n">
        <v>15</v>
      </c>
      <c r="AL1247" t="n">
        <v>2</v>
      </c>
      <c r="AM1247" t="n">
        <v>3</v>
      </c>
      <c r="AN1247" t="n">
        <v>0</v>
      </c>
      <c r="AO1247" t="n">
        <v>0</v>
      </c>
      <c r="AP1247" t="inlineStr">
        <is>
          <t>No</t>
        </is>
      </c>
      <c r="AQ1247" t="inlineStr">
        <is>
          <t>No</t>
        </is>
      </c>
      <c r="AS1247">
        <f>HYPERLINK("https://creighton-primo.hosted.exlibrisgroup.com/primo-explore/search?tab=default_tab&amp;search_scope=EVERYTHING&amp;vid=01CRU&amp;lang=en_US&amp;offset=0&amp;query=any,contains,991000507059702656","Catalog Record")</f>
        <v/>
      </c>
      <c r="AT1247">
        <f>HYPERLINK("http://www.worldcat.org/oclc/11211922","WorldCat Record")</f>
        <v/>
      </c>
      <c r="AU1247" t="inlineStr">
        <is>
          <t>863731106:eng</t>
        </is>
      </c>
      <c r="AV1247" t="inlineStr">
        <is>
          <t>11211922</t>
        </is>
      </c>
      <c r="AW1247" t="inlineStr">
        <is>
          <t>991000507059702656</t>
        </is>
      </c>
      <c r="AX1247" t="inlineStr">
        <is>
          <t>991000507059702656</t>
        </is>
      </c>
      <c r="AY1247" t="inlineStr">
        <is>
          <t>2256957090002656</t>
        </is>
      </c>
      <c r="AZ1247" t="inlineStr">
        <is>
          <t>BOOK</t>
        </is>
      </c>
      <c r="BB1247" t="inlineStr">
        <is>
          <t>9780898620092</t>
        </is>
      </c>
      <c r="BC1247" t="inlineStr">
        <is>
          <t>32285002367703</t>
        </is>
      </c>
      <c r="BD1247" t="inlineStr">
        <is>
          <t>893261496</t>
        </is>
      </c>
    </row>
    <row r="1248">
      <c r="A1248" t="inlineStr">
        <is>
          <t>No</t>
        </is>
      </c>
      <c r="B1248" t="inlineStr">
        <is>
          <t>RC564 .S566 2008</t>
        </is>
      </c>
      <c r="C1248" t="inlineStr">
        <is>
          <t>0                      RC 0564000S  566         2008</t>
        </is>
      </c>
      <c r="D1248" t="inlineStr">
        <is>
          <t>Motivating substance abusers to enter treatment : working with family members / Jane Ellen Smith, Robert J. Meyers.</t>
        </is>
      </c>
      <c r="F1248" t="inlineStr">
        <is>
          <t>No</t>
        </is>
      </c>
      <c r="G1248" t="inlineStr">
        <is>
          <t>1</t>
        </is>
      </c>
      <c r="H1248" t="inlineStr">
        <is>
          <t>No</t>
        </is>
      </c>
      <c r="I1248" t="inlineStr">
        <is>
          <t>No</t>
        </is>
      </c>
      <c r="J1248" t="inlineStr">
        <is>
          <t>0</t>
        </is>
      </c>
      <c r="K1248" t="inlineStr">
        <is>
          <t>Smith, Jane Ellen.</t>
        </is>
      </c>
      <c r="L1248" t="inlineStr">
        <is>
          <t>New York : The Guilford Press, 2008, c2004.</t>
        </is>
      </c>
      <c r="M1248" t="inlineStr">
        <is>
          <t>2008</t>
        </is>
      </c>
      <c r="N1248" t="inlineStr">
        <is>
          <t>Pbk. ed.</t>
        </is>
      </c>
      <c r="O1248" t="inlineStr">
        <is>
          <t>eng</t>
        </is>
      </c>
      <c r="P1248" t="inlineStr">
        <is>
          <t>nyu</t>
        </is>
      </c>
      <c r="R1248" t="inlineStr">
        <is>
          <t xml:space="preserve">RC </t>
        </is>
      </c>
      <c r="S1248" t="n">
        <v>1</v>
      </c>
      <c r="T1248" t="n">
        <v>1</v>
      </c>
      <c r="U1248" t="inlineStr">
        <is>
          <t>2009-02-09</t>
        </is>
      </c>
      <c r="V1248" t="inlineStr">
        <is>
          <t>2009-02-09</t>
        </is>
      </c>
      <c r="W1248" t="inlineStr">
        <is>
          <t>2009-02-09</t>
        </is>
      </c>
      <c r="X1248" t="inlineStr">
        <is>
          <t>2009-02-09</t>
        </is>
      </c>
      <c r="Y1248" t="n">
        <v>56</v>
      </c>
      <c r="Z1248" t="n">
        <v>46</v>
      </c>
      <c r="AA1248" t="n">
        <v>273</v>
      </c>
      <c r="AB1248" t="n">
        <v>1</v>
      </c>
      <c r="AC1248" t="n">
        <v>4</v>
      </c>
      <c r="AD1248" t="n">
        <v>0</v>
      </c>
      <c r="AE1248" t="n">
        <v>12</v>
      </c>
      <c r="AF1248" t="n">
        <v>0</v>
      </c>
      <c r="AG1248" t="n">
        <v>3</v>
      </c>
      <c r="AH1248" t="n">
        <v>0</v>
      </c>
      <c r="AI1248" t="n">
        <v>4</v>
      </c>
      <c r="AJ1248" t="n">
        <v>0</v>
      </c>
      <c r="AK1248" t="n">
        <v>4</v>
      </c>
      <c r="AL1248" t="n">
        <v>0</v>
      </c>
      <c r="AM1248" t="n">
        <v>3</v>
      </c>
      <c r="AN1248" t="n">
        <v>0</v>
      </c>
      <c r="AO1248" t="n">
        <v>0</v>
      </c>
      <c r="AP1248" t="inlineStr">
        <is>
          <t>No</t>
        </is>
      </c>
      <c r="AQ1248" t="inlineStr">
        <is>
          <t>No</t>
        </is>
      </c>
      <c r="AS1248">
        <f>HYPERLINK("https://creighton-primo.hosted.exlibrisgroup.com/primo-explore/search?tab=default_tab&amp;search_scope=EVERYTHING&amp;vid=01CRU&amp;lang=en_US&amp;offset=0&amp;query=any,contains,991005293589702656","Catalog Record")</f>
        <v/>
      </c>
      <c r="AT1248">
        <f>HYPERLINK("http://www.worldcat.org/oclc/176882422","WorldCat Record")</f>
        <v/>
      </c>
      <c r="AU1248" t="inlineStr">
        <is>
          <t>800115327:eng</t>
        </is>
      </c>
      <c r="AV1248" t="inlineStr">
        <is>
          <t>176882422</t>
        </is>
      </c>
      <c r="AW1248" t="inlineStr">
        <is>
          <t>991005293589702656</t>
        </is>
      </c>
      <c r="AX1248" t="inlineStr">
        <is>
          <t>991005293589702656</t>
        </is>
      </c>
      <c r="AY1248" t="inlineStr">
        <is>
          <t>2260863060002656</t>
        </is>
      </c>
      <c r="AZ1248" t="inlineStr">
        <is>
          <t>BOOK</t>
        </is>
      </c>
      <c r="BB1248" t="inlineStr">
        <is>
          <t>9781593856465</t>
        </is>
      </c>
      <c r="BC1248" t="inlineStr">
        <is>
          <t>32285005503312</t>
        </is>
      </c>
      <c r="BD1248" t="inlineStr">
        <is>
          <t>893230491</t>
        </is>
      </c>
    </row>
    <row r="1249">
      <c r="A1249" t="inlineStr">
        <is>
          <t>No</t>
        </is>
      </c>
      <c r="B1249" t="inlineStr">
        <is>
          <t>RC564 .T55 1999</t>
        </is>
      </c>
      <c r="C1249" t="inlineStr">
        <is>
          <t>0                      RC 0564000T  55          1999</t>
        </is>
      </c>
      <c r="D1249" t="inlineStr">
        <is>
          <t>Introduction to addictive behaviors / Dennis L. Thombs.</t>
        </is>
      </c>
      <c r="F1249" t="inlineStr">
        <is>
          <t>No</t>
        </is>
      </c>
      <c r="G1249" t="inlineStr">
        <is>
          <t>1</t>
        </is>
      </c>
      <c r="H1249" t="inlineStr">
        <is>
          <t>No</t>
        </is>
      </c>
      <c r="I1249" t="inlineStr">
        <is>
          <t>No</t>
        </is>
      </c>
      <c r="J1249" t="inlineStr">
        <is>
          <t>0</t>
        </is>
      </c>
      <c r="K1249" t="inlineStr">
        <is>
          <t>Thombs, Dennis L.</t>
        </is>
      </c>
      <c r="L1249" t="inlineStr">
        <is>
          <t>New York : Guilford Press, c1999.</t>
        </is>
      </c>
      <c r="M1249" t="inlineStr">
        <is>
          <t>1999</t>
        </is>
      </c>
      <c r="N1249" t="inlineStr">
        <is>
          <t>2nd ed.</t>
        </is>
      </c>
      <c r="O1249" t="inlineStr">
        <is>
          <t>eng</t>
        </is>
      </c>
      <c r="P1249" t="inlineStr">
        <is>
          <t>nyu</t>
        </is>
      </c>
      <c r="Q1249" t="inlineStr">
        <is>
          <t>The Guilford substance abuse series</t>
        </is>
      </c>
      <c r="R1249" t="inlineStr">
        <is>
          <t xml:space="preserve">RC </t>
        </is>
      </c>
      <c r="S1249" t="n">
        <v>2</v>
      </c>
      <c r="T1249" t="n">
        <v>2</v>
      </c>
      <c r="U1249" t="inlineStr">
        <is>
          <t>2004-02-01</t>
        </is>
      </c>
      <c r="V1249" t="inlineStr">
        <is>
          <t>2004-02-01</t>
        </is>
      </c>
      <c r="W1249" t="inlineStr">
        <is>
          <t>2002-12-04</t>
        </is>
      </c>
      <c r="X1249" t="inlineStr">
        <is>
          <t>2002-12-04</t>
        </is>
      </c>
      <c r="Y1249" t="n">
        <v>404</v>
      </c>
      <c r="Z1249" t="n">
        <v>327</v>
      </c>
      <c r="AA1249" t="n">
        <v>1249</v>
      </c>
      <c r="AB1249" t="n">
        <v>2</v>
      </c>
      <c r="AC1249" t="n">
        <v>11</v>
      </c>
      <c r="AD1249" t="n">
        <v>9</v>
      </c>
      <c r="AE1249" t="n">
        <v>41</v>
      </c>
      <c r="AF1249" t="n">
        <v>4</v>
      </c>
      <c r="AG1249" t="n">
        <v>13</v>
      </c>
      <c r="AH1249" t="n">
        <v>0</v>
      </c>
      <c r="AI1249" t="n">
        <v>5</v>
      </c>
      <c r="AJ1249" t="n">
        <v>6</v>
      </c>
      <c r="AK1249" t="n">
        <v>22</v>
      </c>
      <c r="AL1249" t="n">
        <v>1</v>
      </c>
      <c r="AM1249" t="n">
        <v>10</v>
      </c>
      <c r="AN1249" t="n">
        <v>0</v>
      </c>
      <c r="AO1249" t="n">
        <v>1</v>
      </c>
      <c r="AP1249" t="inlineStr">
        <is>
          <t>No</t>
        </is>
      </c>
      <c r="AQ1249" t="inlineStr">
        <is>
          <t>No</t>
        </is>
      </c>
      <c r="AS1249">
        <f>HYPERLINK("https://creighton-primo.hosted.exlibrisgroup.com/primo-explore/search?tab=default_tab&amp;search_scope=EVERYTHING&amp;vid=01CRU&amp;lang=en_US&amp;offset=0&amp;query=any,contains,991003926849702656","Catalog Record")</f>
        <v/>
      </c>
      <c r="AT1249">
        <f>HYPERLINK("http://www.worldcat.org/oclc/41266301","WorldCat Record")</f>
        <v/>
      </c>
      <c r="AU1249" t="inlineStr">
        <is>
          <t>937502:eng</t>
        </is>
      </c>
      <c r="AV1249" t="inlineStr">
        <is>
          <t>41266301</t>
        </is>
      </c>
      <c r="AW1249" t="inlineStr">
        <is>
          <t>991003926849702656</t>
        </is>
      </c>
      <c r="AX1249" t="inlineStr">
        <is>
          <t>991003926849702656</t>
        </is>
      </c>
      <c r="AY1249" t="inlineStr">
        <is>
          <t>2262649680002656</t>
        </is>
      </c>
      <c r="AZ1249" t="inlineStr">
        <is>
          <t>BOOK</t>
        </is>
      </c>
      <c r="BB1249" t="inlineStr">
        <is>
          <t>9781572304116</t>
        </is>
      </c>
      <c r="BC1249" t="inlineStr">
        <is>
          <t>32285004668504</t>
        </is>
      </c>
      <c r="BD1249" t="inlineStr">
        <is>
          <t>893722173</t>
        </is>
      </c>
    </row>
    <row r="1250">
      <c r="A1250" t="inlineStr">
        <is>
          <t>No</t>
        </is>
      </c>
      <c r="B1250" t="inlineStr">
        <is>
          <t>RC564 .T66 1993</t>
        </is>
      </c>
      <c r="C1250" t="inlineStr">
        <is>
          <t>0                      RC 0564000T  66          1993</t>
        </is>
      </c>
      <c r="D1250" t="inlineStr">
        <is>
          <t>A clinician's guide to the personality profiles of alcohol and drug abusers : typological descriptions using the MMPI / by Donald J. Tosi, Dennis M. Eshbaugh, Michael A. Murphy.</t>
        </is>
      </c>
      <c r="F1250" t="inlineStr">
        <is>
          <t>No</t>
        </is>
      </c>
      <c r="G1250" t="inlineStr">
        <is>
          <t>1</t>
        </is>
      </c>
      <c r="H1250" t="inlineStr">
        <is>
          <t>No</t>
        </is>
      </c>
      <c r="I1250" t="inlineStr">
        <is>
          <t>No</t>
        </is>
      </c>
      <c r="J1250" t="inlineStr">
        <is>
          <t>0</t>
        </is>
      </c>
      <c r="K1250" t="inlineStr">
        <is>
          <t>Tosi, Donald J.</t>
        </is>
      </c>
      <c r="L1250" t="inlineStr">
        <is>
          <t>Springfield, Ill., U.S.A. : Charles C. Thomas, c1993.</t>
        </is>
      </c>
      <c r="M1250" t="inlineStr">
        <is>
          <t>1993</t>
        </is>
      </c>
      <c r="O1250" t="inlineStr">
        <is>
          <t>eng</t>
        </is>
      </c>
      <c r="P1250" t="inlineStr">
        <is>
          <t>ilu</t>
        </is>
      </c>
      <c r="R1250" t="inlineStr">
        <is>
          <t xml:space="preserve">RC </t>
        </is>
      </c>
      <c r="S1250" t="n">
        <v>20</v>
      </c>
      <c r="T1250" t="n">
        <v>20</v>
      </c>
      <c r="U1250" t="inlineStr">
        <is>
          <t>2007-11-21</t>
        </is>
      </c>
      <c r="V1250" t="inlineStr">
        <is>
          <t>2007-11-21</t>
        </is>
      </c>
      <c r="W1250" t="inlineStr">
        <is>
          <t>1994-01-11</t>
        </is>
      </c>
      <c r="X1250" t="inlineStr">
        <is>
          <t>1994-01-11</t>
        </is>
      </c>
      <c r="Y1250" t="n">
        <v>102</v>
      </c>
      <c r="Z1250" t="n">
        <v>91</v>
      </c>
      <c r="AA1250" t="n">
        <v>93</v>
      </c>
      <c r="AB1250" t="n">
        <v>2</v>
      </c>
      <c r="AC1250" t="n">
        <v>2</v>
      </c>
      <c r="AD1250" t="n">
        <v>5</v>
      </c>
      <c r="AE1250" t="n">
        <v>5</v>
      </c>
      <c r="AF1250" t="n">
        <v>2</v>
      </c>
      <c r="AG1250" t="n">
        <v>2</v>
      </c>
      <c r="AH1250" t="n">
        <v>0</v>
      </c>
      <c r="AI1250" t="n">
        <v>0</v>
      </c>
      <c r="AJ1250" t="n">
        <v>4</v>
      </c>
      <c r="AK1250" t="n">
        <v>4</v>
      </c>
      <c r="AL1250" t="n">
        <v>1</v>
      </c>
      <c r="AM1250" t="n">
        <v>1</v>
      </c>
      <c r="AN1250" t="n">
        <v>0</v>
      </c>
      <c r="AO1250" t="n">
        <v>0</v>
      </c>
      <c r="AP1250" t="inlineStr">
        <is>
          <t>No</t>
        </is>
      </c>
      <c r="AQ1250" t="inlineStr">
        <is>
          <t>Yes</t>
        </is>
      </c>
      <c r="AR1250">
        <f>HYPERLINK("http://catalog.hathitrust.org/Record/004031912","HathiTrust Record")</f>
        <v/>
      </c>
      <c r="AS1250">
        <f>HYPERLINK("https://creighton-primo.hosted.exlibrisgroup.com/primo-explore/search?tab=default_tab&amp;search_scope=EVERYTHING&amp;vid=01CRU&amp;lang=en_US&amp;offset=0&amp;query=any,contains,991002208239702656","Catalog Record")</f>
        <v/>
      </c>
      <c r="AT1250">
        <f>HYPERLINK("http://www.worldcat.org/oclc/28411770","WorldCat Record")</f>
        <v/>
      </c>
      <c r="AU1250" t="inlineStr">
        <is>
          <t>20758764:eng</t>
        </is>
      </c>
      <c r="AV1250" t="inlineStr">
        <is>
          <t>28411770</t>
        </is>
      </c>
      <c r="AW1250" t="inlineStr">
        <is>
          <t>991002208239702656</t>
        </is>
      </c>
      <c r="AX1250" t="inlineStr">
        <is>
          <t>991002208239702656</t>
        </is>
      </c>
      <c r="AY1250" t="inlineStr">
        <is>
          <t>2267768020002656</t>
        </is>
      </c>
      <c r="AZ1250" t="inlineStr">
        <is>
          <t>BOOK</t>
        </is>
      </c>
      <c r="BB1250" t="inlineStr">
        <is>
          <t>9780398058852</t>
        </is>
      </c>
      <c r="BC1250" t="inlineStr">
        <is>
          <t>32285001830701</t>
        </is>
      </c>
      <c r="BD1250" t="inlineStr">
        <is>
          <t>893691325</t>
        </is>
      </c>
    </row>
    <row r="1251">
      <c r="A1251" t="inlineStr">
        <is>
          <t>No</t>
        </is>
      </c>
      <c r="B1251" t="inlineStr">
        <is>
          <t>RC564 .Y33 1989</t>
        </is>
      </c>
      <c r="C1251" t="inlineStr">
        <is>
          <t>0                      RC 0564000Y  33          1989</t>
        </is>
      </c>
      <c r="D1251" t="inlineStr">
        <is>
          <t>The therapeutic community : a successful approach for treating substance abusers / Lewis Yablonsky.</t>
        </is>
      </c>
      <c r="F1251" t="inlineStr">
        <is>
          <t>No</t>
        </is>
      </c>
      <c r="G1251" t="inlineStr">
        <is>
          <t>1</t>
        </is>
      </c>
      <c r="H1251" t="inlineStr">
        <is>
          <t>No</t>
        </is>
      </c>
      <c r="I1251" t="inlineStr">
        <is>
          <t>No</t>
        </is>
      </c>
      <c r="J1251" t="inlineStr">
        <is>
          <t>0</t>
        </is>
      </c>
      <c r="K1251" t="inlineStr">
        <is>
          <t>Yablonsky, Lewis.</t>
        </is>
      </c>
      <c r="L1251" t="inlineStr">
        <is>
          <t>New York : Gardner Press ; Bridgeport, CT : M. &amp; B. Fulfillment Service [distributor], c1989.</t>
        </is>
      </c>
      <c r="M1251" t="inlineStr">
        <is>
          <t>1989</t>
        </is>
      </c>
      <c r="O1251" t="inlineStr">
        <is>
          <t>eng</t>
        </is>
      </c>
      <c r="P1251" t="inlineStr">
        <is>
          <t>nyu</t>
        </is>
      </c>
      <c r="R1251" t="inlineStr">
        <is>
          <t xml:space="preserve">RC </t>
        </is>
      </c>
      <c r="S1251" t="n">
        <v>9</v>
      </c>
      <c r="T1251" t="n">
        <v>9</v>
      </c>
      <c r="U1251" t="inlineStr">
        <is>
          <t>2007-11-21</t>
        </is>
      </c>
      <c r="V1251" t="inlineStr">
        <is>
          <t>2007-11-21</t>
        </is>
      </c>
      <c r="W1251" t="inlineStr">
        <is>
          <t>1992-02-24</t>
        </is>
      </c>
      <c r="X1251" t="inlineStr">
        <is>
          <t>1992-02-24</t>
        </is>
      </c>
      <c r="Y1251" t="n">
        <v>218</v>
      </c>
      <c r="Z1251" t="n">
        <v>172</v>
      </c>
      <c r="AA1251" t="n">
        <v>174</v>
      </c>
      <c r="AB1251" t="n">
        <v>2</v>
      </c>
      <c r="AC1251" t="n">
        <v>2</v>
      </c>
      <c r="AD1251" t="n">
        <v>5</v>
      </c>
      <c r="AE1251" t="n">
        <v>5</v>
      </c>
      <c r="AF1251" t="n">
        <v>1</v>
      </c>
      <c r="AG1251" t="n">
        <v>1</v>
      </c>
      <c r="AH1251" t="n">
        <v>2</v>
      </c>
      <c r="AI1251" t="n">
        <v>2</v>
      </c>
      <c r="AJ1251" t="n">
        <v>3</v>
      </c>
      <c r="AK1251" t="n">
        <v>3</v>
      </c>
      <c r="AL1251" t="n">
        <v>1</v>
      </c>
      <c r="AM1251" t="n">
        <v>1</v>
      </c>
      <c r="AN1251" t="n">
        <v>0</v>
      </c>
      <c r="AO1251" t="n">
        <v>0</v>
      </c>
      <c r="AP1251" t="inlineStr">
        <is>
          <t>No</t>
        </is>
      </c>
      <c r="AQ1251" t="inlineStr">
        <is>
          <t>Yes</t>
        </is>
      </c>
      <c r="AR1251">
        <f>HYPERLINK("http://catalog.hathitrust.org/Record/001298885","HathiTrust Record")</f>
        <v/>
      </c>
      <c r="AS1251">
        <f>HYPERLINK("https://creighton-primo.hosted.exlibrisgroup.com/primo-explore/search?tab=default_tab&amp;search_scope=EVERYTHING&amp;vid=01CRU&amp;lang=en_US&amp;offset=0&amp;query=any,contains,991001092999702656","Catalog Record")</f>
        <v/>
      </c>
      <c r="AT1251">
        <f>HYPERLINK("http://www.worldcat.org/oclc/16226606","WorldCat Record")</f>
        <v/>
      </c>
      <c r="AU1251" t="inlineStr">
        <is>
          <t>12262011:eng</t>
        </is>
      </c>
      <c r="AV1251" t="inlineStr">
        <is>
          <t>16226606</t>
        </is>
      </c>
      <c r="AW1251" t="inlineStr">
        <is>
          <t>991001092999702656</t>
        </is>
      </c>
      <c r="AX1251" t="inlineStr">
        <is>
          <t>991001092999702656</t>
        </is>
      </c>
      <c r="AY1251" t="inlineStr">
        <is>
          <t>2266318370002656</t>
        </is>
      </c>
      <c r="AZ1251" t="inlineStr">
        <is>
          <t>BOOK</t>
        </is>
      </c>
      <c r="BB1251" t="inlineStr">
        <is>
          <t>9780898761450</t>
        </is>
      </c>
      <c r="BC1251" t="inlineStr">
        <is>
          <t>32285000974583</t>
        </is>
      </c>
      <c r="BD1251" t="inlineStr">
        <is>
          <t>893522281</t>
        </is>
      </c>
    </row>
    <row r="1252">
      <c r="A1252" t="inlineStr">
        <is>
          <t>No</t>
        </is>
      </c>
      <c r="B1252" t="inlineStr">
        <is>
          <t>RC564.15 .H358 2010</t>
        </is>
      </c>
      <c r="C1252" t="inlineStr">
        <is>
          <t>0                      RC 0564150H  358         2010</t>
        </is>
      </c>
      <c r="D1252" t="inlineStr">
        <is>
          <t>Handbook of drug use etiology : theory, methods, and empirical findings / edited by Lawrence M. Scheier.</t>
        </is>
      </c>
      <c r="F1252" t="inlineStr">
        <is>
          <t>No</t>
        </is>
      </c>
      <c r="G1252" t="inlineStr">
        <is>
          <t>1</t>
        </is>
      </c>
      <c r="H1252" t="inlineStr">
        <is>
          <t>No</t>
        </is>
      </c>
      <c r="I1252" t="inlineStr">
        <is>
          <t>No</t>
        </is>
      </c>
      <c r="J1252" t="inlineStr">
        <is>
          <t>0</t>
        </is>
      </c>
      <c r="L1252" t="inlineStr">
        <is>
          <t>Washington, DC : American Psychological Association, c2010.</t>
        </is>
      </c>
      <c r="M1252" t="inlineStr">
        <is>
          <t>2010</t>
        </is>
      </c>
      <c r="N1252" t="inlineStr">
        <is>
          <t>1st ed.</t>
        </is>
      </c>
      <c r="O1252" t="inlineStr">
        <is>
          <t>eng</t>
        </is>
      </c>
      <c r="P1252" t="inlineStr">
        <is>
          <t>dcu</t>
        </is>
      </c>
      <c r="R1252" t="inlineStr">
        <is>
          <t xml:space="preserve">RC </t>
        </is>
      </c>
      <c r="S1252" t="n">
        <v>1</v>
      </c>
      <c r="T1252" t="n">
        <v>1</v>
      </c>
      <c r="U1252" t="inlineStr">
        <is>
          <t>2010-09-21</t>
        </is>
      </c>
      <c r="V1252" t="inlineStr">
        <is>
          <t>2010-09-21</t>
        </is>
      </c>
      <c r="W1252" t="inlineStr">
        <is>
          <t>2010-09-21</t>
        </is>
      </c>
      <c r="X1252" t="inlineStr">
        <is>
          <t>2010-09-21</t>
        </is>
      </c>
      <c r="Y1252" t="n">
        <v>347</v>
      </c>
      <c r="Z1252" t="n">
        <v>290</v>
      </c>
      <c r="AA1252" t="n">
        <v>304</v>
      </c>
      <c r="AB1252" t="n">
        <v>3</v>
      </c>
      <c r="AC1252" t="n">
        <v>3</v>
      </c>
      <c r="AD1252" t="n">
        <v>16</v>
      </c>
      <c r="AE1252" t="n">
        <v>16</v>
      </c>
      <c r="AF1252" t="n">
        <v>7</v>
      </c>
      <c r="AG1252" t="n">
        <v>7</v>
      </c>
      <c r="AH1252" t="n">
        <v>3</v>
      </c>
      <c r="AI1252" t="n">
        <v>3</v>
      </c>
      <c r="AJ1252" t="n">
        <v>10</v>
      </c>
      <c r="AK1252" t="n">
        <v>10</v>
      </c>
      <c r="AL1252" t="n">
        <v>2</v>
      </c>
      <c r="AM1252" t="n">
        <v>2</v>
      </c>
      <c r="AN1252" t="n">
        <v>0</v>
      </c>
      <c r="AO1252" t="n">
        <v>0</v>
      </c>
      <c r="AP1252" t="inlineStr">
        <is>
          <t>No</t>
        </is>
      </c>
      <c r="AQ1252" t="inlineStr">
        <is>
          <t>No</t>
        </is>
      </c>
      <c r="AS1252">
        <f>HYPERLINK("https://creighton-primo.hosted.exlibrisgroup.com/primo-explore/search?tab=default_tab&amp;search_scope=EVERYTHING&amp;vid=01CRU&amp;lang=en_US&amp;offset=0&amp;query=any,contains,991000130609702656","Catalog Record")</f>
        <v/>
      </c>
      <c r="AT1252">
        <f>HYPERLINK("http://www.worldcat.org/oclc/306801848","WorldCat Record")</f>
        <v/>
      </c>
      <c r="AU1252" t="inlineStr">
        <is>
          <t>796531203:eng</t>
        </is>
      </c>
      <c r="AV1252" t="inlineStr">
        <is>
          <t>306801848</t>
        </is>
      </c>
      <c r="AW1252" t="inlineStr">
        <is>
          <t>991000130609702656</t>
        </is>
      </c>
      <c r="AX1252" t="inlineStr">
        <is>
          <t>991000130609702656</t>
        </is>
      </c>
      <c r="AY1252" t="inlineStr">
        <is>
          <t>2262446850002656</t>
        </is>
      </c>
      <c r="AZ1252" t="inlineStr">
        <is>
          <t>BOOK</t>
        </is>
      </c>
      <c r="BB1252" t="inlineStr">
        <is>
          <t>9781433804465</t>
        </is>
      </c>
      <c r="BC1252" t="inlineStr">
        <is>
          <t>32285005595490</t>
        </is>
      </c>
      <c r="BD1252" t="inlineStr">
        <is>
          <t>893884144</t>
        </is>
      </c>
    </row>
    <row r="1253">
      <c r="A1253" t="inlineStr">
        <is>
          <t>No</t>
        </is>
      </c>
      <c r="B1253" t="inlineStr">
        <is>
          <t>RC564.29 .T46 2000</t>
        </is>
      </c>
      <c r="C1253" t="inlineStr">
        <is>
          <t>0                      RC 0564290T  46          2000</t>
        </is>
      </c>
      <c r="D1253" t="inlineStr">
        <is>
          <t>Drunks, drugs &amp; debits : how to recognize addicts and avoid financial abuse / Douglas Thorburn.</t>
        </is>
      </c>
      <c r="F1253" t="inlineStr">
        <is>
          <t>No</t>
        </is>
      </c>
      <c r="G1253" t="inlineStr">
        <is>
          <t>1</t>
        </is>
      </c>
      <c r="H1253" t="inlineStr">
        <is>
          <t>No</t>
        </is>
      </c>
      <c r="I1253" t="inlineStr">
        <is>
          <t>No</t>
        </is>
      </c>
      <c r="J1253" t="inlineStr">
        <is>
          <t>0</t>
        </is>
      </c>
      <c r="K1253" t="inlineStr">
        <is>
          <t>Thorburn, Doug.</t>
        </is>
      </c>
      <c r="L1253" t="inlineStr">
        <is>
          <t>Northridge, Calif. : Galt Pub., 2000.</t>
        </is>
      </c>
      <c r="M1253" t="inlineStr">
        <is>
          <t>2000</t>
        </is>
      </c>
      <c r="N1253" t="inlineStr">
        <is>
          <t>1st ed.</t>
        </is>
      </c>
      <c r="O1253" t="inlineStr">
        <is>
          <t>eng</t>
        </is>
      </c>
      <c r="P1253" t="inlineStr">
        <is>
          <t>cau</t>
        </is>
      </c>
      <c r="R1253" t="inlineStr">
        <is>
          <t xml:space="preserve">RC </t>
        </is>
      </c>
      <c r="S1253" t="n">
        <v>2</v>
      </c>
      <c r="T1253" t="n">
        <v>2</v>
      </c>
      <c r="U1253" t="inlineStr">
        <is>
          <t>2006-06-12</t>
        </is>
      </c>
      <c r="V1253" t="inlineStr">
        <is>
          <t>2006-06-12</t>
        </is>
      </c>
      <c r="W1253" t="inlineStr">
        <is>
          <t>2000-09-06</t>
        </is>
      </c>
      <c r="X1253" t="inlineStr">
        <is>
          <t>2000-09-06</t>
        </is>
      </c>
      <c r="Y1253" t="n">
        <v>64</v>
      </c>
      <c r="Z1253" t="n">
        <v>59</v>
      </c>
      <c r="AA1253" t="n">
        <v>60</v>
      </c>
      <c r="AB1253" t="n">
        <v>5</v>
      </c>
      <c r="AC1253" t="n">
        <v>5</v>
      </c>
      <c r="AD1253" t="n">
        <v>1</v>
      </c>
      <c r="AE1253" t="n">
        <v>1</v>
      </c>
      <c r="AF1253" t="n">
        <v>0</v>
      </c>
      <c r="AG1253" t="n">
        <v>0</v>
      </c>
      <c r="AH1253" t="n">
        <v>0</v>
      </c>
      <c r="AI1253" t="n">
        <v>0</v>
      </c>
      <c r="AJ1253" t="n">
        <v>0</v>
      </c>
      <c r="AK1253" t="n">
        <v>0</v>
      </c>
      <c r="AL1253" t="n">
        <v>1</v>
      </c>
      <c r="AM1253" t="n">
        <v>1</v>
      </c>
      <c r="AN1253" t="n">
        <v>0</v>
      </c>
      <c r="AO1253" t="n">
        <v>0</v>
      </c>
      <c r="AP1253" t="inlineStr">
        <is>
          <t>No</t>
        </is>
      </c>
      <c r="AQ1253" t="inlineStr">
        <is>
          <t>No</t>
        </is>
      </c>
      <c r="AS1253">
        <f>HYPERLINK("https://creighton-primo.hosted.exlibrisgroup.com/primo-explore/search?tab=default_tab&amp;search_scope=EVERYTHING&amp;vid=01CRU&amp;lang=en_US&amp;offset=0&amp;query=any,contains,991003280229702656","Catalog Record")</f>
        <v/>
      </c>
      <c r="AT1253">
        <f>HYPERLINK("http://www.worldcat.org/oclc/44655593","WorldCat Record")</f>
        <v/>
      </c>
      <c r="AU1253" t="inlineStr">
        <is>
          <t>33989318:eng</t>
        </is>
      </c>
      <c r="AV1253" t="inlineStr">
        <is>
          <t>44655593</t>
        </is>
      </c>
      <c r="AW1253" t="inlineStr">
        <is>
          <t>991003280229702656</t>
        </is>
      </c>
      <c r="AX1253" t="inlineStr">
        <is>
          <t>991003280229702656</t>
        </is>
      </c>
      <c r="AY1253" t="inlineStr">
        <is>
          <t>2265120850002656</t>
        </is>
      </c>
      <c r="AZ1253" t="inlineStr">
        <is>
          <t>BOOK</t>
        </is>
      </c>
      <c r="BB1253" t="inlineStr">
        <is>
          <t>9780967578835</t>
        </is>
      </c>
      <c r="BC1253" t="inlineStr">
        <is>
          <t>32285003760419</t>
        </is>
      </c>
      <c r="BD1253" t="inlineStr">
        <is>
          <t>893258255</t>
        </is>
      </c>
    </row>
    <row r="1254">
      <c r="A1254" t="inlineStr">
        <is>
          <t>No</t>
        </is>
      </c>
      <c r="B1254" t="inlineStr">
        <is>
          <t>RC564.5.W65 W66 2006</t>
        </is>
      </c>
      <c r="C1254" t="inlineStr">
        <is>
          <t>0                      RC 0564500W  65                 W  66          2006</t>
        </is>
      </c>
      <c r="D1254" t="inlineStr">
        <is>
          <t>Women under the influence / the National Center on Addiction and Substance Abuse at Columbia University ; foreword by Joseph A. Califano, Jr.</t>
        </is>
      </c>
      <c r="F1254" t="inlineStr">
        <is>
          <t>No</t>
        </is>
      </c>
      <c r="G1254" t="inlineStr">
        <is>
          <t>1</t>
        </is>
      </c>
      <c r="H1254" t="inlineStr">
        <is>
          <t>No</t>
        </is>
      </c>
      <c r="I1254" t="inlineStr">
        <is>
          <t>No</t>
        </is>
      </c>
      <c r="J1254" t="inlineStr">
        <is>
          <t>0</t>
        </is>
      </c>
      <c r="L1254" t="inlineStr">
        <is>
          <t>Baltimore, Md. : Johns Hopkins University Press, 2006.</t>
        </is>
      </c>
      <c r="M1254" t="inlineStr">
        <is>
          <t>2006</t>
        </is>
      </c>
      <c r="O1254" t="inlineStr">
        <is>
          <t>eng</t>
        </is>
      </c>
      <c r="P1254" t="inlineStr">
        <is>
          <t>mdu</t>
        </is>
      </c>
      <c r="R1254" t="inlineStr">
        <is>
          <t xml:space="preserve">RC </t>
        </is>
      </c>
      <c r="S1254" t="n">
        <v>3</v>
      </c>
      <c r="T1254" t="n">
        <v>3</v>
      </c>
      <c r="U1254" t="inlineStr">
        <is>
          <t>2008-06-24</t>
        </is>
      </c>
      <c r="V1254" t="inlineStr">
        <is>
          <t>2008-06-24</t>
        </is>
      </c>
      <c r="W1254" t="inlineStr">
        <is>
          <t>2006-10-17</t>
        </is>
      </c>
      <c r="X1254" t="inlineStr">
        <is>
          <t>2006-10-17</t>
        </is>
      </c>
      <c r="Y1254" t="n">
        <v>1197</v>
      </c>
      <c r="Z1254" t="n">
        <v>1106</v>
      </c>
      <c r="AA1254" t="n">
        <v>1110</v>
      </c>
      <c r="AB1254" t="n">
        <v>11</v>
      </c>
      <c r="AC1254" t="n">
        <v>11</v>
      </c>
      <c r="AD1254" t="n">
        <v>41</v>
      </c>
      <c r="AE1254" t="n">
        <v>41</v>
      </c>
      <c r="AF1254" t="n">
        <v>19</v>
      </c>
      <c r="AG1254" t="n">
        <v>19</v>
      </c>
      <c r="AH1254" t="n">
        <v>7</v>
      </c>
      <c r="AI1254" t="n">
        <v>7</v>
      </c>
      <c r="AJ1254" t="n">
        <v>15</v>
      </c>
      <c r="AK1254" t="n">
        <v>15</v>
      </c>
      <c r="AL1254" t="n">
        <v>9</v>
      </c>
      <c r="AM1254" t="n">
        <v>9</v>
      </c>
      <c r="AN1254" t="n">
        <v>1</v>
      </c>
      <c r="AO1254" t="n">
        <v>1</v>
      </c>
      <c r="AP1254" t="inlineStr">
        <is>
          <t>No</t>
        </is>
      </c>
      <c r="AQ1254" t="inlineStr">
        <is>
          <t>No</t>
        </is>
      </c>
      <c r="AS1254">
        <f>HYPERLINK("https://creighton-primo.hosted.exlibrisgroup.com/primo-explore/search?tab=default_tab&amp;search_scope=EVERYTHING&amp;vid=01CRU&amp;lang=en_US&amp;offset=0&amp;query=any,contains,991004936439702656","Catalog Record")</f>
        <v/>
      </c>
      <c r="AT1254">
        <f>HYPERLINK("http://www.worldcat.org/oclc/58431789","WorldCat Record")</f>
        <v/>
      </c>
      <c r="AU1254" t="inlineStr">
        <is>
          <t>57165434:eng</t>
        </is>
      </c>
      <c r="AV1254" t="inlineStr">
        <is>
          <t>58431789</t>
        </is>
      </c>
      <c r="AW1254" t="inlineStr">
        <is>
          <t>991004936439702656</t>
        </is>
      </c>
      <c r="AX1254" t="inlineStr">
        <is>
          <t>991004936439702656</t>
        </is>
      </c>
      <c r="AY1254" t="inlineStr">
        <is>
          <t>2258358670002656</t>
        </is>
      </c>
      <c r="AZ1254" t="inlineStr">
        <is>
          <t>BOOK</t>
        </is>
      </c>
      <c r="BB1254" t="inlineStr">
        <is>
          <t>9780801882272</t>
        </is>
      </c>
      <c r="BC1254" t="inlineStr">
        <is>
          <t>32285005230882</t>
        </is>
      </c>
      <c r="BD1254" t="inlineStr">
        <is>
          <t>893344426</t>
        </is>
      </c>
    </row>
    <row r="1255">
      <c r="A1255" t="inlineStr">
        <is>
          <t>No</t>
        </is>
      </c>
      <c r="B1255" t="inlineStr">
        <is>
          <t>RC564.68 .O774 2001</t>
        </is>
      </c>
      <c r="C1255" t="inlineStr">
        <is>
          <t>0                      RC 0564680O  774         2001</t>
        </is>
      </c>
      <c r="D1255" t="inlineStr">
        <is>
          <t>The dual diagnosis recovery sourcebook : a physical, mental, and spiritual approach to addiction with an emotional disorder / Dennis C. Ortman.</t>
        </is>
      </c>
      <c r="F1255" t="inlineStr">
        <is>
          <t>No</t>
        </is>
      </c>
      <c r="G1255" t="inlineStr">
        <is>
          <t>1</t>
        </is>
      </c>
      <c r="H1255" t="inlineStr">
        <is>
          <t>No</t>
        </is>
      </c>
      <c r="I1255" t="inlineStr">
        <is>
          <t>No</t>
        </is>
      </c>
      <c r="J1255" t="inlineStr">
        <is>
          <t>0</t>
        </is>
      </c>
      <c r="K1255" t="inlineStr">
        <is>
          <t>Ortman, Dennis C.</t>
        </is>
      </c>
      <c r="L1255" t="inlineStr">
        <is>
          <t>Chicago : Contemporary Books, c2001.</t>
        </is>
      </c>
      <c r="M1255" t="inlineStr">
        <is>
          <t>2001</t>
        </is>
      </c>
      <c r="O1255" t="inlineStr">
        <is>
          <t>eng</t>
        </is>
      </c>
      <c r="P1255" t="inlineStr">
        <is>
          <t>ilu</t>
        </is>
      </c>
      <c r="R1255" t="inlineStr">
        <is>
          <t xml:space="preserve">RC </t>
        </is>
      </c>
      <c r="S1255" t="n">
        <v>3</v>
      </c>
      <c r="T1255" t="n">
        <v>3</v>
      </c>
      <c r="U1255" t="inlineStr">
        <is>
          <t>2005-03-30</t>
        </is>
      </c>
      <c r="V1255" t="inlineStr">
        <is>
          <t>2005-03-30</t>
        </is>
      </c>
      <c r="W1255" t="inlineStr">
        <is>
          <t>2003-01-06</t>
        </is>
      </c>
      <c r="X1255" t="inlineStr">
        <is>
          <t>2003-01-06</t>
        </is>
      </c>
      <c r="Y1255" t="n">
        <v>97</v>
      </c>
      <c r="Z1255" t="n">
        <v>83</v>
      </c>
      <c r="AA1255" t="n">
        <v>94</v>
      </c>
      <c r="AB1255" t="n">
        <v>2</v>
      </c>
      <c r="AC1255" t="n">
        <v>2</v>
      </c>
      <c r="AD1255" t="n">
        <v>2</v>
      </c>
      <c r="AE1255" t="n">
        <v>2</v>
      </c>
      <c r="AF1255" t="n">
        <v>0</v>
      </c>
      <c r="AG1255" t="n">
        <v>0</v>
      </c>
      <c r="AH1255" t="n">
        <v>0</v>
      </c>
      <c r="AI1255" t="n">
        <v>0</v>
      </c>
      <c r="AJ1255" t="n">
        <v>2</v>
      </c>
      <c r="AK1255" t="n">
        <v>2</v>
      </c>
      <c r="AL1255" t="n">
        <v>0</v>
      </c>
      <c r="AM1255" t="n">
        <v>0</v>
      </c>
      <c r="AN1255" t="n">
        <v>0</v>
      </c>
      <c r="AO1255" t="n">
        <v>0</v>
      </c>
      <c r="AP1255" t="inlineStr">
        <is>
          <t>No</t>
        </is>
      </c>
      <c r="AQ1255" t="inlineStr">
        <is>
          <t>No</t>
        </is>
      </c>
      <c r="AS1255">
        <f>HYPERLINK("https://creighton-primo.hosted.exlibrisgroup.com/primo-explore/search?tab=default_tab&amp;search_scope=EVERYTHING&amp;vid=01CRU&amp;lang=en_US&amp;offset=0&amp;query=any,contains,991003932809702656","Catalog Record")</f>
        <v/>
      </c>
      <c r="AT1255">
        <f>HYPERLINK("http://www.worldcat.org/oclc/45413570","WorldCat Record")</f>
        <v/>
      </c>
      <c r="AU1255" t="inlineStr">
        <is>
          <t>314095354:eng</t>
        </is>
      </c>
      <c r="AV1255" t="inlineStr">
        <is>
          <t>45413570</t>
        </is>
      </c>
      <c r="AW1255" t="inlineStr">
        <is>
          <t>991003932809702656</t>
        </is>
      </c>
      <c r="AX1255" t="inlineStr">
        <is>
          <t>991003932809702656</t>
        </is>
      </c>
      <c r="AY1255" t="inlineStr">
        <is>
          <t>2272195430002656</t>
        </is>
      </c>
      <c r="AZ1255" t="inlineStr">
        <is>
          <t>BOOK</t>
        </is>
      </c>
      <c r="BB1255" t="inlineStr">
        <is>
          <t>9780737303193</t>
        </is>
      </c>
      <c r="BC1255" t="inlineStr">
        <is>
          <t>32285004691480</t>
        </is>
      </c>
      <c r="BD1255" t="inlineStr">
        <is>
          <t>893687147</t>
        </is>
      </c>
    </row>
    <row r="1256">
      <c r="A1256" t="inlineStr">
        <is>
          <t>No</t>
        </is>
      </c>
      <c r="B1256" t="inlineStr">
        <is>
          <t>RC564.68 .T74 1994</t>
        </is>
      </c>
      <c r="C1256" t="inlineStr">
        <is>
          <t>0                      RC 0564680T  74          1994</t>
        </is>
      </c>
      <c r="D1256" t="inlineStr">
        <is>
          <t>Treating coexisting psychiatric and addictive disorders : a practical guide / edited by Norman S. Miller ; [contributors include John N. Chappel ... et al.].</t>
        </is>
      </c>
      <c r="F1256" t="inlineStr">
        <is>
          <t>No</t>
        </is>
      </c>
      <c r="G1256" t="inlineStr">
        <is>
          <t>1</t>
        </is>
      </c>
      <c r="H1256" t="inlineStr">
        <is>
          <t>No</t>
        </is>
      </c>
      <c r="I1256" t="inlineStr">
        <is>
          <t>No</t>
        </is>
      </c>
      <c r="J1256" t="inlineStr">
        <is>
          <t>0</t>
        </is>
      </c>
      <c r="L1256" t="inlineStr">
        <is>
          <t>Center City, Minn. : Hazelden, 1994.</t>
        </is>
      </c>
      <c r="M1256" t="inlineStr">
        <is>
          <t>1994</t>
        </is>
      </c>
      <c r="O1256" t="inlineStr">
        <is>
          <t>eng</t>
        </is>
      </c>
      <c r="P1256" t="inlineStr">
        <is>
          <t>mnu</t>
        </is>
      </c>
      <c r="R1256" t="inlineStr">
        <is>
          <t xml:space="preserve">RC </t>
        </is>
      </c>
      <c r="S1256" t="n">
        <v>2</v>
      </c>
      <c r="T1256" t="n">
        <v>2</v>
      </c>
      <c r="U1256" t="inlineStr">
        <is>
          <t>2003-03-31</t>
        </is>
      </c>
      <c r="V1256" t="inlineStr">
        <is>
          <t>2003-03-31</t>
        </is>
      </c>
      <c r="W1256" t="inlineStr">
        <is>
          <t>2002-11-19</t>
        </is>
      </c>
      <c r="X1256" t="inlineStr">
        <is>
          <t>2002-11-19</t>
        </is>
      </c>
      <c r="Y1256" t="n">
        <v>58</v>
      </c>
      <c r="Z1256" t="n">
        <v>43</v>
      </c>
      <c r="AA1256" t="n">
        <v>48</v>
      </c>
      <c r="AB1256" t="n">
        <v>1</v>
      </c>
      <c r="AC1256" t="n">
        <v>1</v>
      </c>
      <c r="AD1256" t="n">
        <v>1</v>
      </c>
      <c r="AE1256" t="n">
        <v>1</v>
      </c>
      <c r="AF1256" t="n">
        <v>1</v>
      </c>
      <c r="AG1256" t="n">
        <v>1</v>
      </c>
      <c r="AH1256" t="n">
        <v>0</v>
      </c>
      <c r="AI1256" t="n">
        <v>0</v>
      </c>
      <c r="AJ1256" t="n">
        <v>0</v>
      </c>
      <c r="AK1256" t="n">
        <v>0</v>
      </c>
      <c r="AL1256" t="n">
        <v>0</v>
      </c>
      <c r="AM1256" t="n">
        <v>0</v>
      </c>
      <c r="AN1256" t="n">
        <v>0</v>
      </c>
      <c r="AO1256" t="n">
        <v>0</v>
      </c>
      <c r="AP1256" t="inlineStr">
        <is>
          <t>No</t>
        </is>
      </c>
      <c r="AQ1256" t="inlineStr">
        <is>
          <t>No</t>
        </is>
      </c>
      <c r="AS1256">
        <f>HYPERLINK("https://creighton-primo.hosted.exlibrisgroup.com/primo-explore/search?tab=default_tab&amp;search_scope=EVERYTHING&amp;vid=01CRU&amp;lang=en_US&amp;offset=0&amp;query=any,contains,991003933829702656","Catalog Record")</f>
        <v/>
      </c>
      <c r="AT1256">
        <f>HYPERLINK("http://www.worldcat.org/oclc/29951824","WorldCat Record")</f>
        <v/>
      </c>
      <c r="AU1256" t="inlineStr">
        <is>
          <t>31721358:eng</t>
        </is>
      </c>
      <c r="AV1256" t="inlineStr">
        <is>
          <t>29951824</t>
        </is>
      </c>
      <c r="AW1256" t="inlineStr">
        <is>
          <t>991003933829702656</t>
        </is>
      </c>
      <c r="AX1256" t="inlineStr">
        <is>
          <t>991003933829702656</t>
        </is>
      </c>
      <c r="AY1256" t="inlineStr">
        <is>
          <t>2263270660002656</t>
        </is>
      </c>
      <c r="AZ1256" t="inlineStr">
        <is>
          <t>BOOK</t>
        </is>
      </c>
      <c r="BB1256" t="inlineStr">
        <is>
          <t>9780894869723</t>
        </is>
      </c>
      <c r="BC1256" t="inlineStr">
        <is>
          <t>32285004664552</t>
        </is>
      </c>
      <c r="BD1256" t="inlineStr">
        <is>
          <t>893781652</t>
        </is>
      </c>
    </row>
    <row r="1257">
      <c r="A1257" t="inlineStr">
        <is>
          <t>No</t>
        </is>
      </c>
      <c r="B1257" t="inlineStr">
        <is>
          <t>RC565 .A394 1990</t>
        </is>
      </c>
      <c r="C1257" t="inlineStr">
        <is>
          <t>0                      RC 0565000A  394         1990</t>
        </is>
      </c>
      <c r="D1257" t="inlineStr">
        <is>
          <t>Alcohol and the family : research and clinical perspectives / R. Lorraine Collins, Kenneth E. Leonard, John S. Searles, editors ; foreword by Edward Kaufman.</t>
        </is>
      </c>
      <c r="F1257" t="inlineStr">
        <is>
          <t>No</t>
        </is>
      </c>
      <c r="G1257" t="inlineStr">
        <is>
          <t>1</t>
        </is>
      </c>
      <c r="H1257" t="inlineStr">
        <is>
          <t>No</t>
        </is>
      </c>
      <c r="I1257" t="inlineStr">
        <is>
          <t>No</t>
        </is>
      </c>
      <c r="J1257" t="inlineStr">
        <is>
          <t>0</t>
        </is>
      </c>
      <c r="L1257" t="inlineStr">
        <is>
          <t>New York : Guilford Press, 1990.</t>
        </is>
      </c>
      <c r="M1257" t="inlineStr">
        <is>
          <t>1990</t>
        </is>
      </c>
      <c r="O1257" t="inlineStr">
        <is>
          <t>eng</t>
        </is>
      </c>
      <c r="P1257" t="inlineStr">
        <is>
          <t>nyu</t>
        </is>
      </c>
      <c r="Q1257" t="inlineStr">
        <is>
          <t>The Guilford substance abuse series</t>
        </is>
      </c>
      <c r="R1257" t="inlineStr">
        <is>
          <t xml:space="preserve">RC </t>
        </is>
      </c>
      <c r="S1257" t="n">
        <v>37</v>
      </c>
      <c r="T1257" t="n">
        <v>37</v>
      </c>
      <c r="U1257" t="inlineStr">
        <is>
          <t>2005-10-19</t>
        </is>
      </c>
      <c r="V1257" t="inlineStr">
        <is>
          <t>2005-10-19</t>
        </is>
      </c>
      <c r="W1257" t="inlineStr">
        <is>
          <t>1995-11-09</t>
        </is>
      </c>
      <c r="X1257" t="inlineStr">
        <is>
          <t>1995-11-09</t>
        </is>
      </c>
      <c r="Y1257" t="n">
        <v>736</v>
      </c>
      <c r="Z1257" t="n">
        <v>659</v>
      </c>
      <c r="AA1257" t="n">
        <v>674</v>
      </c>
      <c r="AB1257" t="n">
        <v>3</v>
      </c>
      <c r="AC1257" t="n">
        <v>3</v>
      </c>
      <c r="AD1257" t="n">
        <v>35</v>
      </c>
      <c r="AE1257" t="n">
        <v>35</v>
      </c>
      <c r="AF1257" t="n">
        <v>14</v>
      </c>
      <c r="AG1257" t="n">
        <v>14</v>
      </c>
      <c r="AH1257" t="n">
        <v>8</v>
      </c>
      <c r="AI1257" t="n">
        <v>8</v>
      </c>
      <c r="AJ1257" t="n">
        <v>20</v>
      </c>
      <c r="AK1257" t="n">
        <v>20</v>
      </c>
      <c r="AL1257" t="n">
        <v>2</v>
      </c>
      <c r="AM1257" t="n">
        <v>2</v>
      </c>
      <c r="AN1257" t="n">
        <v>1</v>
      </c>
      <c r="AO1257" t="n">
        <v>1</v>
      </c>
      <c r="AP1257" t="inlineStr">
        <is>
          <t>No</t>
        </is>
      </c>
      <c r="AQ1257" t="inlineStr">
        <is>
          <t>No</t>
        </is>
      </c>
      <c r="AS1257">
        <f>HYPERLINK("https://creighton-primo.hosted.exlibrisgroup.com/primo-explore/search?tab=default_tab&amp;search_scope=EVERYTHING&amp;vid=01CRU&amp;lang=en_US&amp;offset=0&amp;query=any,contains,991001542159702656","Catalog Record")</f>
        <v/>
      </c>
      <c r="AT1257">
        <f>HYPERLINK("http://www.worldcat.org/oclc/20132241","WorldCat Record")</f>
        <v/>
      </c>
      <c r="AU1257" t="inlineStr">
        <is>
          <t>796454057:eng</t>
        </is>
      </c>
      <c r="AV1257" t="inlineStr">
        <is>
          <t>20132241</t>
        </is>
      </c>
      <c r="AW1257" t="inlineStr">
        <is>
          <t>991001542159702656</t>
        </is>
      </c>
      <c r="AX1257" t="inlineStr">
        <is>
          <t>991001542159702656</t>
        </is>
      </c>
      <c r="AY1257" t="inlineStr">
        <is>
          <t>2262313100002656</t>
        </is>
      </c>
      <c r="AZ1257" t="inlineStr">
        <is>
          <t>BOOK</t>
        </is>
      </c>
      <c r="BB1257" t="inlineStr">
        <is>
          <t>9780898621693</t>
        </is>
      </c>
      <c r="BC1257" t="inlineStr">
        <is>
          <t>32285002103066</t>
        </is>
      </c>
      <c r="BD1257" t="inlineStr">
        <is>
          <t>893244198</t>
        </is>
      </c>
    </row>
    <row r="1258">
      <c r="A1258" t="inlineStr">
        <is>
          <t>No</t>
        </is>
      </c>
      <c r="B1258" t="inlineStr">
        <is>
          <t>RC565 .A446</t>
        </is>
      </c>
      <c r="C1258" t="inlineStr">
        <is>
          <t>0                      RC 0565000A  446</t>
        </is>
      </c>
      <c r="D1258" t="inlineStr">
        <is>
          <t>Alcoholism : development, consequences, and interventions / [edited by] Nada J. Estes, M. Edith Heinemann.</t>
        </is>
      </c>
      <c r="F1258" t="inlineStr">
        <is>
          <t>No</t>
        </is>
      </c>
      <c r="G1258" t="inlineStr">
        <is>
          <t>1</t>
        </is>
      </c>
      <c r="H1258" t="inlineStr">
        <is>
          <t>No</t>
        </is>
      </c>
      <c r="I1258" t="inlineStr">
        <is>
          <t>No</t>
        </is>
      </c>
      <c r="J1258" t="inlineStr">
        <is>
          <t>0</t>
        </is>
      </c>
      <c r="L1258" t="inlineStr">
        <is>
          <t>Saint Louis : C. V. Mosby Co., 1977.</t>
        </is>
      </c>
      <c r="M1258" t="inlineStr">
        <is>
          <t>1977</t>
        </is>
      </c>
      <c r="O1258" t="inlineStr">
        <is>
          <t>eng</t>
        </is>
      </c>
      <c r="P1258" t="inlineStr">
        <is>
          <t>mou</t>
        </is>
      </c>
      <c r="R1258" t="inlineStr">
        <is>
          <t xml:space="preserve">RC </t>
        </is>
      </c>
      <c r="S1258" t="n">
        <v>42</v>
      </c>
      <c r="T1258" t="n">
        <v>42</v>
      </c>
      <c r="U1258" t="inlineStr">
        <is>
          <t>2003-10-24</t>
        </is>
      </c>
      <c r="V1258" t="inlineStr">
        <is>
          <t>2003-10-24</t>
        </is>
      </c>
      <c r="W1258" t="inlineStr">
        <is>
          <t>1992-04-22</t>
        </is>
      </c>
      <c r="X1258" t="inlineStr">
        <is>
          <t>1992-04-22</t>
        </is>
      </c>
      <c r="Y1258" t="n">
        <v>364</v>
      </c>
      <c r="Z1258" t="n">
        <v>304</v>
      </c>
      <c r="AA1258" t="n">
        <v>701</v>
      </c>
      <c r="AB1258" t="n">
        <v>3</v>
      </c>
      <c r="AC1258" t="n">
        <v>5</v>
      </c>
      <c r="AD1258" t="n">
        <v>12</v>
      </c>
      <c r="AE1258" t="n">
        <v>23</v>
      </c>
      <c r="AF1258" t="n">
        <v>4</v>
      </c>
      <c r="AG1258" t="n">
        <v>10</v>
      </c>
      <c r="AH1258" t="n">
        <v>2</v>
      </c>
      <c r="AI1258" t="n">
        <v>3</v>
      </c>
      <c r="AJ1258" t="n">
        <v>7</v>
      </c>
      <c r="AK1258" t="n">
        <v>14</v>
      </c>
      <c r="AL1258" t="n">
        <v>2</v>
      </c>
      <c r="AM1258" t="n">
        <v>3</v>
      </c>
      <c r="AN1258" t="n">
        <v>0</v>
      </c>
      <c r="AO1258" t="n">
        <v>0</v>
      </c>
      <c r="AP1258" t="inlineStr">
        <is>
          <t>No</t>
        </is>
      </c>
      <c r="AQ1258" t="inlineStr">
        <is>
          <t>Yes</t>
        </is>
      </c>
      <c r="AR1258">
        <f>HYPERLINK("http://catalog.hathitrust.org/Record/000173314","HathiTrust Record")</f>
        <v/>
      </c>
      <c r="AS1258">
        <f>HYPERLINK("https://creighton-primo.hosted.exlibrisgroup.com/primo-explore/search?tab=default_tab&amp;search_scope=EVERYTHING&amp;vid=01CRU&amp;lang=en_US&amp;offset=0&amp;query=any,contains,991004245239702656","Catalog Record")</f>
        <v/>
      </c>
      <c r="AT1258">
        <f>HYPERLINK("http://www.worldcat.org/oclc/2798189","WorldCat Record")</f>
        <v/>
      </c>
      <c r="AU1258" t="inlineStr">
        <is>
          <t>894516883:eng</t>
        </is>
      </c>
      <c r="AV1258" t="inlineStr">
        <is>
          <t>2798189</t>
        </is>
      </c>
      <c r="AW1258" t="inlineStr">
        <is>
          <t>991004245239702656</t>
        </is>
      </c>
      <c r="AX1258" t="inlineStr">
        <is>
          <t>991004245239702656</t>
        </is>
      </c>
      <c r="AY1258" t="inlineStr">
        <is>
          <t>2272762460002656</t>
        </is>
      </c>
      <c r="AZ1258" t="inlineStr">
        <is>
          <t>BOOK</t>
        </is>
      </c>
      <c r="BB1258" t="inlineStr">
        <is>
          <t>9780801615290</t>
        </is>
      </c>
      <c r="BC1258" t="inlineStr">
        <is>
          <t>32285001085900</t>
        </is>
      </c>
      <c r="BD1258" t="inlineStr">
        <is>
          <t>893247341</t>
        </is>
      </c>
    </row>
    <row r="1259">
      <c r="A1259" t="inlineStr">
        <is>
          <t>No</t>
        </is>
      </c>
      <c r="B1259" t="inlineStr">
        <is>
          <t>RC565 .A4464 1979</t>
        </is>
      </c>
      <c r="C1259" t="inlineStr">
        <is>
          <t>0                      RC 0565000A  4464        1979</t>
        </is>
      </c>
      <c r="D1259" t="inlineStr">
        <is>
          <t>Alcoholism in perspective / edited by Marcus Grant and Paul Gwinner.</t>
        </is>
      </c>
      <c r="F1259" t="inlineStr">
        <is>
          <t>No</t>
        </is>
      </c>
      <c r="G1259" t="inlineStr">
        <is>
          <t>1</t>
        </is>
      </c>
      <c r="H1259" t="inlineStr">
        <is>
          <t>No</t>
        </is>
      </c>
      <c r="I1259" t="inlineStr">
        <is>
          <t>No</t>
        </is>
      </c>
      <c r="J1259" t="inlineStr">
        <is>
          <t>0</t>
        </is>
      </c>
      <c r="L1259" t="inlineStr">
        <is>
          <t>Baltimore : University Park Press, c1979.</t>
        </is>
      </c>
      <c r="M1259" t="inlineStr">
        <is>
          <t>1979</t>
        </is>
      </c>
      <c r="O1259" t="inlineStr">
        <is>
          <t>eng</t>
        </is>
      </c>
      <c r="P1259" t="inlineStr">
        <is>
          <t>mdu</t>
        </is>
      </c>
      <c r="R1259" t="inlineStr">
        <is>
          <t xml:space="preserve">RC </t>
        </is>
      </c>
      <c r="S1259" t="n">
        <v>17</v>
      </c>
      <c r="T1259" t="n">
        <v>17</v>
      </c>
      <c r="U1259" t="inlineStr">
        <is>
          <t>2000-10-04</t>
        </is>
      </c>
      <c r="V1259" t="inlineStr">
        <is>
          <t>2000-10-04</t>
        </is>
      </c>
      <c r="W1259" t="inlineStr">
        <is>
          <t>1990-02-06</t>
        </is>
      </c>
      <c r="X1259" t="inlineStr">
        <is>
          <t>1990-02-06</t>
        </is>
      </c>
      <c r="Y1259" t="n">
        <v>279</v>
      </c>
      <c r="Z1259" t="n">
        <v>246</v>
      </c>
      <c r="AA1259" t="n">
        <v>306</v>
      </c>
      <c r="AB1259" t="n">
        <v>4</v>
      </c>
      <c r="AC1259" t="n">
        <v>4</v>
      </c>
      <c r="AD1259" t="n">
        <v>9</v>
      </c>
      <c r="AE1259" t="n">
        <v>12</v>
      </c>
      <c r="AF1259" t="n">
        <v>2</v>
      </c>
      <c r="AG1259" t="n">
        <v>4</v>
      </c>
      <c r="AH1259" t="n">
        <v>2</v>
      </c>
      <c r="AI1259" t="n">
        <v>2</v>
      </c>
      <c r="AJ1259" t="n">
        <v>6</v>
      </c>
      <c r="AK1259" t="n">
        <v>8</v>
      </c>
      <c r="AL1259" t="n">
        <v>2</v>
      </c>
      <c r="AM1259" t="n">
        <v>2</v>
      </c>
      <c r="AN1259" t="n">
        <v>0</v>
      </c>
      <c r="AO1259" t="n">
        <v>0</v>
      </c>
      <c r="AP1259" t="inlineStr">
        <is>
          <t>No</t>
        </is>
      </c>
      <c r="AQ1259" t="inlineStr">
        <is>
          <t>Yes</t>
        </is>
      </c>
      <c r="AR1259">
        <f>HYPERLINK("http://catalog.hathitrust.org/Record/000255842","HathiTrust Record")</f>
        <v/>
      </c>
      <c r="AS1259">
        <f>HYPERLINK("https://creighton-primo.hosted.exlibrisgroup.com/primo-explore/search?tab=default_tab&amp;search_scope=EVERYTHING&amp;vid=01CRU&amp;lang=en_US&amp;offset=0&amp;query=any,contains,991005265379702656","Catalog Record")</f>
        <v/>
      </c>
      <c r="AT1259">
        <f>HYPERLINK("http://www.worldcat.org/oclc/4493822","WorldCat Record")</f>
        <v/>
      </c>
      <c r="AU1259" t="inlineStr">
        <is>
          <t>366444161:eng</t>
        </is>
      </c>
      <c r="AV1259" t="inlineStr">
        <is>
          <t>4493822</t>
        </is>
      </c>
      <c r="AW1259" t="inlineStr">
        <is>
          <t>991005265379702656</t>
        </is>
      </c>
      <c r="AX1259" t="inlineStr">
        <is>
          <t>991005265379702656</t>
        </is>
      </c>
      <c r="AY1259" t="inlineStr">
        <is>
          <t>2260903650002656</t>
        </is>
      </c>
      <c r="AZ1259" t="inlineStr">
        <is>
          <t>BOOK</t>
        </is>
      </c>
      <c r="BB1259" t="inlineStr">
        <is>
          <t>9780839113324</t>
        </is>
      </c>
      <c r="BC1259" t="inlineStr">
        <is>
          <t>32285000039619</t>
        </is>
      </c>
      <c r="BD1259" t="inlineStr">
        <is>
          <t>893802026</t>
        </is>
      </c>
    </row>
    <row r="1260">
      <c r="A1260" t="inlineStr">
        <is>
          <t>No</t>
        </is>
      </c>
      <c r="B1260" t="inlineStr">
        <is>
          <t>RC565 .A447</t>
        </is>
      </c>
      <c r="C1260" t="inlineStr">
        <is>
          <t>0                      RC 0565000A  447</t>
        </is>
      </c>
      <c r="D1260" t="inlineStr">
        <is>
          <t>Alcoholism : new knowledge and new responses / edited by Griffith Edwards and Marcus Grant.</t>
        </is>
      </c>
      <c r="F1260" t="inlineStr">
        <is>
          <t>No</t>
        </is>
      </c>
      <c r="G1260" t="inlineStr">
        <is>
          <t>1</t>
        </is>
      </c>
      <c r="H1260" t="inlineStr">
        <is>
          <t>No</t>
        </is>
      </c>
      <c r="I1260" t="inlineStr">
        <is>
          <t>No</t>
        </is>
      </c>
      <c r="J1260" t="inlineStr">
        <is>
          <t>0</t>
        </is>
      </c>
      <c r="L1260" t="inlineStr">
        <is>
          <t>Baltimore : University Park Press, [1977]</t>
        </is>
      </c>
      <c r="M1260" t="inlineStr">
        <is>
          <t>1977</t>
        </is>
      </c>
      <c r="O1260" t="inlineStr">
        <is>
          <t>eng</t>
        </is>
      </c>
      <c r="P1260" t="inlineStr">
        <is>
          <t>mdu</t>
        </is>
      </c>
      <c r="R1260" t="inlineStr">
        <is>
          <t xml:space="preserve">RC </t>
        </is>
      </c>
      <c r="S1260" t="n">
        <v>23</v>
      </c>
      <c r="T1260" t="n">
        <v>23</v>
      </c>
      <c r="U1260" t="inlineStr">
        <is>
          <t>1999-11-02</t>
        </is>
      </c>
      <c r="V1260" t="inlineStr">
        <is>
          <t>1999-11-02</t>
        </is>
      </c>
      <c r="W1260" t="inlineStr">
        <is>
          <t>1992-06-29</t>
        </is>
      </c>
      <c r="X1260" t="inlineStr">
        <is>
          <t>1992-06-29</t>
        </is>
      </c>
      <c r="Y1260" t="n">
        <v>214</v>
      </c>
      <c r="Z1260" t="n">
        <v>190</v>
      </c>
      <c r="AA1260" t="n">
        <v>262</v>
      </c>
      <c r="AB1260" t="n">
        <v>3</v>
      </c>
      <c r="AC1260" t="n">
        <v>3</v>
      </c>
      <c r="AD1260" t="n">
        <v>7</v>
      </c>
      <c r="AE1260" t="n">
        <v>9</v>
      </c>
      <c r="AF1260" t="n">
        <v>2</v>
      </c>
      <c r="AG1260" t="n">
        <v>3</v>
      </c>
      <c r="AH1260" t="n">
        <v>2</v>
      </c>
      <c r="AI1260" t="n">
        <v>3</v>
      </c>
      <c r="AJ1260" t="n">
        <v>2</v>
      </c>
      <c r="AK1260" t="n">
        <v>3</v>
      </c>
      <c r="AL1260" t="n">
        <v>2</v>
      </c>
      <c r="AM1260" t="n">
        <v>2</v>
      </c>
      <c r="AN1260" t="n">
        <v>0</v>
      </c>
      <c r="AO1260" t="n">
        <v>0</v>
      </c>
      <c r="AP1260" t="inlineStr">
        <is>
          <t>No</t>
        </is>
      </c>
      <c r="AQ1260" t="inlineStr">
        <is>
          <t>No</t>
        </is>
      </c>
      <c r="AS1260">
        <f>HYPERLINK("https://creighton-primo.hosted.exlibrisgroup.com/primo-explore/search?tab=default_tab&amp;search_scope=EVERYTHING&amp;vid=01CRU&amp;lang=en_US&amp;offset=0&amp;query=any,contains,991004352239702656","Catalog Record")</f>
        <v/>
      </c>
      <c r="AT1260">
        <f>HYPERLINK("http://www.worldcat.org/oclc/3121002","WorldCat Record")</f>
        <v/>
      </c>
      <c r="AU1260" t="inlineStr">
        <is>
          <t>287355268:eng</t>
        </is>
      </c>
      <c r="AV1260" t="inlineStr">
        <is>
          <t>3121002</t>
        </is>
      </c>
      <c r="AW1260" t="inlineStr">
        <is>
          <t>991004352239702656</t>
        </is>
      </c>
      <c r="AX1260" t="inlineStr">
        <is>
          <t>991004352239702656</t>
        </is>
      </c>
      <c r="AY1260" t="inlineStr">
        <is>
          <t>2263338100002656</t>
        </is>
      </c>
      <c r="AZ1260" t="inlineStr">
        <is>
          <t>BOOK</t>
        </is>
      </c>
      <c r="BB1260" t="inlineStr">
        <is>
          <t>9780839111559</t>
        </is>
      </c>
      <c r="BC1260" t="inlineStr">
        <is>
          <t>32285001145779</t>
        </is>
      </c>
      <c r="BD1260" t="inlineStr">
        <is>
          <t>893229252</t>
        </is>
      </c>
    </row>
    <row r="1261">
      <c r="A1261" t="inlineStr">
        <is>
          <t>No</t>
        </is>
      </c>
      <c r="B1261" t="inlineStr">
        <is>
          <t>RC565 .B46</t>
        </is>
      </c>
      <c r="C1261" t="inlineStr">
        <is>
          <t>0                      RC 0565000B  46</t>
        </is>
      </c>
      <c r="D1261" t="inlineStr">
        <is>
          <t>Alcoholism and the brain / A. E. Bennett. --</t>
        </is>
      </c>
      <c r="F1261" t="inlineStr">
        <is>
          <t>No</t>
        </is>
      </c>
      <c r="G1261" t="inlineStr">
        <is>
          <t>1</t>
        </is>
      </c>
      <c r="H1261" t="inlineStr">
        <is>
          <t>No</t>
        </is>
      </c>
      <c r="I1261" t="inlineStr">
        <is>
          <t>No</t>
        </is>
      </c>
      <c r="J1261" t="inlineStr">
        <is>
          <t>0</t>
        </is>
      </c>
      <c r="K1261" t="inlineStr">
        <is>
          <t>Bennett, Abram Elting, 1898-1985.</t>
        </is>
      </c>
      <c r="L1261" t="inlineStr">
        <is>
          <t>New York : Stratton Intercontinental Medical Book Corp., c1977.</t>
        </is>
      </c>
      <c r="M1261" t="inlineStr">
        <is>
          <t>1977</t>
        </is>
      </c>
      <c r="O1261" t="inlineStr">
        <is>
          <t>eng</t>
        </is>
      </c>
      <c r="P1261" t="inlineStr">
        <is>
          <t>nyu</t>
        </is>
      </c>
      <c r="R1261" t="inlineStr">
        <is>
          <t xml:space="preserve">RC </t>
        </is>
      </c>
      <c r="S1261" t="n">
        <v>35</v>
      </c>
      <c r="T1261" t="n">
        <v>35</v>
      </c>
      <c r="U1261" t="inlineStr">
        <is>
          <t>2007-11-21</t>
        </is>
      </c>
      <c r="V1261" t="inlineStr">
        <is>
          <t>2007-11-21</t>
        </is>
      </c>
      <c r="W1261" t="inlineStr">
        <is>
          <t>1991-12-20</t>
        </is>
      </c>
      <c r="X1261" t="inlineStr">
        <is>
          <t>1991-12-20</t>
        </is>
      </c>
      <c r="Y1261" t="n">
        <v>164</v>
      </c>
      <c r="Z1261" t="n">
        <v>136</v>
      </c>
      <c r="AA1261" t="n">
        <v>143</v>
      </c>
      <c r="AB1261" t="n">
        <v>3</v>
      </c>
      <c r="AC1261" t="n">
        <v>3</v>
      </c>
      <c r="AD1261" t="n">
        <v>7</v>
      </c>
      <c r="AE1261" t="n">
        <v>7</v>
      </c>
      <c r="AF1261" t="n">
        <v>2</v>
      </c>
      <c r="AG1261" t="n">
        <v>2</v>
      </c>
      <c r="AH1261" t="n">
        <v>1</v>
      </c>
      <c r="AI1261" t="n">
        <v>1</v>
      </c>
      <c r="AJ1261" t="n">
        <v>3</v>
      </c>
      <c r="AK1261" t="n">
        <v>3</v>
      </c>
      <c r="AL1261" t="n">
        <v>2</v>
      </c>
      <c r="AM1261" t="n">
        <v>2</v>
      </c>
      <c r="AN1261" t="n">
        <v>0</v>
      </c>
      <c r="AO1261" t="n">
        <v>0</v>
      </c>
      <c r="AP1261" t="inlineStr">
        <is>
          <t>No</t>
        </is>
      </c>
      <c r="AQ1261" t="inlineStr">
        <is>
          <t>Yes</t>
        </is>
      </c>
      <c r="AR1261">
        <f>HYPERLINK("http://catalog.hathitrust.org/Record/010657310","HathiTrust Record")</f>
        <v/>
      </c>
      <c r="AS1261">
        <f>HYPERLINK("https://creighton-primo.hosted.exlibrisgroup.com/primo-explore/search?tab=default_tab&amp;search_scope=EVERYTHING&amp;vid=01CRU&amp;lang=en_US&amp;offset=0&amp;query=any,contains,991004177289702656","Catalog Record")</f>
        <v/>
      </c>
      <c r="AT1261">
        <f>HYPERLINK("http://www.worldcat.org/oclc/2597426","WorldCat Record")</f>
        <v/>
      </c>
      <c r="AU1261" t="inlineStr">
        <is>
          <t>5722215:eng</t>
        </is>
      </c>
      <c r="AV1261" t="inlineStr">
        <is>
          <t>2597426</t>
        </is>
      </c>
      <c r="AW1261" t="inlineStr">
        <is>
          <t>991004177289702656</t>
        </is>
      </c>
      <c r="AX1261" t="inlineStr">
        <is>
          <t>991004177289702656</t>
        </is>
      </c>
      <c r="AY1261" t="inlineStr">
        <is>
          <t>2268687400002656</t>
        </is>
      </c>
      <c r="AZ1261" t="inlineStr">
        <is>
          <t>BOOK</t>
        </is>
      </c>
      <c r="BB1261" t="inlineStr">
        <is>
          <t>9780913258453</t>
        </is>
      </c>
      <c r="BC1261" t="inlineStr">
        <is>
          <t>32285000908672</t>
        </is>
      </c>
      <c r="BD1261" t="inlineStr">
        <is>
          <t>893253344</t>
        </is>
      </c>
    </row>
    <row r="1262">
      <c r="A1262" t="inlineStr">
        <is>
          <t>No</t>
        </is>
      </c>
      <c r="B1262" t="inlineStr">
        <is>
          <t>RC565 .B464 1985</t>
        </is>
      </c>
      <c r="C1262" t="inlineStr">
        <is>
          <t>0                      RC 0565000B  464         1985</t>
        </is>
      </c>
      <c r="D1262" t="inlineStr">
        <is>
          <t>The responsibility trap : a blueprint for treating the alcoholic family / Claudia Bepko, with Jo Ann Krestan.</t>
        </is>
      </c>
      <c r="F1262" t="inlineStr">
        <is>
          <t>No</t>
        </is>
      </c>
      <c r="G1262" t="inlineStr">
        <is>
          <t>1</t>
        </is>
      </c>
      <c r="H1262" t="inlineStr">
        <is>
          <t>No</t>
        </is>
      </c>
      <c r="I1262" t="inlineStr">
        <is>
          <t>No</t>
        </is>
      </c>
      <c r="J1262" t="inlineStr">
        <is>
          <t>0</t>
        </is>
      </c>
      <c r="K1262" t="inlineStr">
        <is>
          <t>Bepko, Claudia.</t>
        </is>
      </c>
      <c r="L1262" t="inlineStr">
        <is>
          <t>New York : Free Press ; London : Collier Macmillan, c1985.</t>
        </is>
      </c>
      <c r="M1262" t="inlineStr">
        <is>
          <t>1985</t>
        </is>
      </c>
      <c r="O1262" t="inlineStr">
        <is>
          <t>eng</t>
        </is>
      </c>
      <c r="P1262" t="inlineStr">
        <is>
          <t>nyu</t>
        </is>
      </c>
      <c r="R1262" t="inlineStr">
        <is>
          <t xml:space="preserve">RC </t>
        </is>
      </c>
      <c r="S1262" t="n">
        <v>17</v>
      </c>
      <c r="T1262" t="n">
        <v>17</v>
      </c>
      <c r="U1262" t="inlineStr">
        <is>
          <t>1998-03-25</t>
        </is>
      </c>
      <c r="V1262" t="inlineStr">
        <is>
          <t>1998-03-25</t>
        </is>
      </c>
      <c r="W1262" t="inlineStr">
        <is>
          <t>1992-05-01</t>
        </is>
      </c>
      <c r="X1262" t="inlineStr">
        <is>
          <t>1992-05-01</t>
        </is>
      </c>
      <c r="Y1262" t="n">
        <v>469</v>
      </c>
      <c r="Z1262" t="n">
        <v>403</v>
      </c>
      <c r="AA1262" t="n">
        <v>423</v>
      </c>
      <c r="AB1262" t="n">
        <v>4</v>
      </c>
      <c r="AC1262" t="n">
        <v>4</v>
      </c>
      <c r="AD1262" t="n">
        <v>22</v>
      </c>
      <c r="AE1262" t="n">
        <v>22</v>
      </c>
      <c r="AF1262" t="n">
        <v>8</v>
      </c>
      <c r="AG1262" t="n">
        <v>8</v>
      </c>
      <c r="AH1262" t="n">
        <v>6</v>
      </c>
      <c r="AI1262" t="n">
        <v>6</v>
      </c>
      <c r="AJ1262" t="n">
        <v>11</v>
      </c>
      <c r="AK1262" t="n">
        <v>11</v>
      </c>
      <c r="AL1262" t="n">
        <v>2</v>
      </c>
      <c r="AM1262" t="n">
        <v>2</v>
      </c>
      <c r="AN1262" t="n">
        <v>0</v>
      </c>
      <c r="AO1262" t="n">
        <v>0</v>
      </c>
      <c r="AP1262" t="inlineStr">
        <is>
          <t>No</t>
        </is>
      </c>
      <c r="AQ1262" t="inlineStr">
        <is>
          <t>Yes</t>
        </is>
      </c>
      <c r="AR1262">
        <f>HYPERLINK("http://catalog.hathitrust.org/Record/000417471","HathiTrust Record")</f>
        <v/>
      </c>
      <c r="AS1262">
        <f>HYPERLINK("https://creighton-primo.hosted.exlibrisgroup.com/primo-explore/search?tab=default_tab&amp;search_scope=EVERYTHING&amp;vid=01CRU&amp;lang=en_US&amp;offset=0&amp;query=any,contains,991000575399702656","Catalog Record")</f>
        <v/>
      </c>
      <c r="AT1262">
        <f>HYPERLINK("http://www.worldcat.org/oclc/11677498","WorldCat Record")</f>
        <v/>
      </c>
      <c r="AU1262" t="inlineStr">
        <is>
          <t>4520977:eng</t>
        </is>
      </c>
      <c r="AV1262" t="inlineStr">
        <is>
          <t>11677498</t>
        </is>
      </c>
      <c r="AW1262" t="inlineStr">
        <is>
          <t>991000575399702656</t>
        </is>
      </c>
      <c r="AX1262" t="inlineStr">
        <is>
          <t>991000575399702656</t>
        </is>
      </c>
      <c r="AY1262" t="inlineStr">
        <is>
          <t>2255239950002656</t>
        </is>
      </c>
      <c r="AZ1262" t="inlineStr">
        <is>
          <t>BOOK</t>
        </is>
      </c>
      <c r="BB1262" t="inlineStr">
        <is>
          <t>9780029028803</t>
        </is>
      </c>
      <c r="BC1262" t="inlineStr">
        <is>
          <t>32285001091221</t>
        </is>
      </c>
      <c r="BD1262" t="inlineStr">
        <is>
          <t>893321164</t>
        </is>
      </c>
    </row>
    <row r="1263">
      <c r="A1263" t="inlineStr">
        <is>
          <t>No</t>
        </is>
      </c>
      <c r="B1263" t="inlineStr">
        <is>
          <t>RC565 .B5</t>
        </is>
      </c>
      <c r="C1263" t="inlineStr">
        <is>
          <t>0                      RC 0565000B  5</t>
        </is>
      </c>
      <c r="D1263" t="inlineStr">
        <is>
          <t>Problems in addiction : alcohol and drug addiction / edited by William C. Bier.</t>
        </is>
      </c>
      <c r="F1263" t="inlineStr">
        <is>
          <t>No</t>
        </is>
      </c>
      <c r="G1263" t="inlineStr">
        <is>
          <t>1</t>
        </is>
      </c>
      <c r="H1263" t="inlineStr">
        <is>
          <t>No</t>
        </is>
      </c>
      <c r="I1263" t="inlineStr">
        <is>
          <t>No</t>
        </is>
      </c>
      <c r="J1263" t="inlineStr">
        <is>
          <t>0</t>
        </is>
      </c>
      <c r="K1263" t="inlineStr">
        <is>
          <t>Bier, William Christian, 1911- editor.</t>
        </is>
      </c>
      <c r="L1263" t="inlineStr">
        <is>
          <t>New York : Fordham University Press, [1962]</t>
        </is>
      </c>
      <c r="M1263" t="inlineStr">
        <is>
          <t>1962</t>
        </is>
      </c>
      <c r="O1263" t="inlineStr">
        <is>
          <t>eng</t>
        </is>
      </c>
      <c r="P1263" t="inlineStr">
        <is>
          <t>nyu</t>
        </is>
      </c>
      <c r="Q1263" t="inlineStr">
        <is>
          <t>The Pastoral psychology series, no. 2</t>
        </is>
      </c>
      <c r="R1263" t="inlineStr">
        <is>
          <t xml:space="preserve">RC </t>
        </is>
      </c>
      <c r="S1263" t="n">
        <v>23</v>
      </c>
      <c r="T1263" t="n">
        <v>23</v>
      </c>
      <c r="U1263" t="inlineStr">
        <is>
          <t>2000-04-05</t>
        </is>
      </c>
      <c r="V1263" t="inlineStr">
        <is>
          <t>2000-04-05</t>
        </is>
      </c>
      <c r="W1263" t="inlineStr">
        <is>
          <t>1990-12-13</t>
        </is>
      </c>
      <c r="X1263" t="inlineStr">
        <is>
          <t>1990-12-13</t>
        </is>
      </c>
      <c r="Y1263" t="n">
        <v>506</v>
      </c>
      <c r="Z1263" t="n">
        <v>459</v>
      </c>
      <c r="AA1263" t="n">
        <v>474</v>
      </c>
      <c r="AB1263" t="n">
        <v>4</v>
      </c>
      <c r="AC1263" t="n">
        <v>5</v>
      </c>
      <c r="AD1263" t="n">
        <v>28</v>
      </c>
      <c r="AE1263" t="n">
        <v>28</v>
      </c>
      <c r="AF1263" t="n">
        <v>9</v>
      </c>
      <c r="AG1263" t="n">
        <v>9</v>
      </c>
      <c r="AH1263" t="n">
        <v>7</v>
      </c>
      <c r="AI1263" t="n">
        <v>7</v>
      </c>
      <c r="AJ1263" t="n">
        <v>17</v>
      </c>
      <c r="AK1263" t="n">
        <v>17</v>
      </c>
      <c r="AL1263" t="n">
        <v>4</v>
      </c>
      <c r="AM1263" t="n">
        <v>4</v>
      </c>
      <c r="AN1263" t="n">
        <v>0</v>
      </c>
      <c r="AO1263" t="n">
        <v>0</v>
      </c>
      <c r="AP1263" t="inlineStr">
        <is>
          <t>No</t>
        </is>
      </c>
      <c r="AQ1263" t="inlineStr">
        <is>
          <t>Yes</t>
        </is>
      </c>
      <c r="AR1263">
        <f>HYPERLINK("http://catalog.hathitrust.org/Record/001565248","HathiTrust Record")</f>
        <v/>
      </c>
      <c r="AS1263">
        <f>HYPERLINK("https://creighton-primo.hosted.exlibrisgroup.com/primo-explore/search?tab=default_tab&amp;search_scope=EVERYTHING&amp;vid=01CRU&amp;lang=en_US&amp;offset=0&amp;query=any,contains,991003428619702656","Catalog Record")</f>
        <v/>
      </c>
      <c r="AT1263">
        <f>HYPERLINK("http://www.worldcat.org/oclc/965067","WorldCat Record")</f>
        <v/>
      </c>
      <c r="AU1263" t="inlineStr">
        <is>
          <t>1940346531:eng</t>
        </is>
      </c>
      <c r="AV1263" t="inlineStr">
        <is>
          <t>965067</t>
        </is>
      </c>
      <c r="AW1263" t="inlineStr">
        <is>
          <t>991003428619702656</t>
        </is>
      </c>
      <c r="AX1263" t="inlineStr">
        <is>
          <t>991003428619702656</t>
        </is>
      </c>
      <c r="AY1263" t="inlineStr">
        <is>
          <t>2258359590002656</t>
        </is>
      </c>
      <c r="AZ1263" t="inlineStr">
        <is>
          <t>BOOK</t>
        </is>
      </c>
      <c r="BC1263" t="inlineStr">
        <is>
          <t>32285000425081</t>
        </is>
      </c>
      <c r="BD1263" t="inlineStr">
        <is>
          <t>893524799</t>
        </is>
      </c>
    </row>
    <row r="1264">
      <c r="A1264" t="inlineStr">
        <is>
          <t>No</t>
        </is>
      </c>
      <c r="B1264" t="inlineStr">
        <is>
          <t>RC565 .B52 1971, v.6</t>
        </is>
      </c>
      <c r="C1264" t="inlineStr">
        <is>
          <t>0                      RC 0565000B  52          1971                                        v.6</t>
        </is>
      </c>
      <c r="D1264" t="inlineStr">
        <is>
          <t>The Pathogenesis of alcoholism : psychosocial factors / edited by Benjamin Kissin and Henri Begleiter.</t>
        </is>
      </c>
      <c r="E1264" t="inlineStr">
        <is>
          <t>V. 6</t>
        </is>
      </c>
      <c r="F1264" t="inlineStr">
        <is>
          <t>No</t>
        </is>
      </c>
      <c r="G1264" t="inlineStr">
        <is>
          <t>1</t>
        </is>
      </c>
      <c r="H1264" t="inlineStr">
        <is>
          <t>No</t>
        </is>
      </c>
      <c r="I1264" t="inlineStr">
        <is>
          <t>No</t>
        </is>
      </c>
      <c r="J1264" t="inlineStr">
        <is>
          <t>0</t>
        </is>
      </c>
      <c r="L1264" t="inlineStr">
        <is>
          <t>New York : Plenum Press, c1983.</t>
        </is>
      </c>
      <c r="M1264" t="inlineStr">
        <is>
          <t>1983</t>
        </is>
      </c>
      <c r="O1264" t="inlineStr">
        <is>
          <t>eng</t>
        </is>
      </c>
      <c r="P1264" t="inlineStr">
        <is>
          <t>nyu</t>
        </is>
      </c>
      <c r="Q1264" t="inlineStr">
        <is>
          <t>The Biology of alcoholism ; v. 6</t>
        </is>
      </c>
      <c r="R1264" t="inlineStr">
        <is>
          <t xml:space="preserve">RC </t>
        </is>
      </c>
      <c r="S1264" t="n">
        <v>7</v>
      </c>
      <c r="T1264" t="n">
        <v>7</v>
      </c>
      <c r="U1264" t="inlineStr">
        <is>
          <t>1997-04-21</t>
        </is>
      </c>
      <c r="V1264" t="inlineStr">
        <is>
          <t>1997-04-21</t>
        </is>
      </c>
      <c r="W1264" t="inlineStr">
        <is>
          <t>1991-10-28</t>
        </is>
      </c>
      <c r="X1264" t="inlineStr">
        <is>
          <t>1991-10-28</t>
        </is>
      </c>
      <c r="Y1264" t="n">
        <v>125</v>
      </c>
      <c r="Z1264" t="n">
        <v>101</v>
      </c>
      <c r="AA1264" t="n">
        <v>108</v>
      </c>
      <c r="AB1264" t="n">
        <v>1</v>
      </c>
      <c r="AC1264" t="n">
        <v>1</v>
      </c>
      <c r="AD1264" t="n">
        <v>4</v>
      </c>
      <c r="AE1264" t="n">
        <v>4</v>
      </c>
      <c r="AF1264" t="n">
        <v>2</v>
      </c>
      <c r="AG1264" t="n">
        <v>2</v>
      </c>
      <c r="AH1264" t="n">
        <v>0</v>
      </c>
      <c r="AI1264" t="n">
        <v>0</v>
      </c>
      <c r="AJ1264" t="n">
        <v>2</v>
      </c>
      <c r="AK1264" t="n">
        <v>2</v>
      </c>
      <c r="AL1264" t="n">
        <v>0</v>
      </c>
      <c r="AM1264" t="n">
        <v>0</v>
      </c>
      <c r="AN1264" t="n">
        <v>0</v>
      </c>
      <c r="AO1264" t="n">
        <v>0</v>
      </c>
      <c r="AP1264" t="inlineStr">
        <is>
          <t>No</t>
        </is>
      </c>
      <c r="AQ1264" t="inlineStr">
        <is>
          <t>Yes</t>
        </is>
      </c>
      <c r="AR1264">
        <f>HYPERLINK("http://catalog.hathitrust.org/Record/000334252","HathiTrust Record")</f>
        <v/>
      </c>
      <c r="AS1264">
        <f>HYPERLINK("https://creighton-primo.hosted.exlibrisgroup.com/primo-explore/search?tab=default_tab&amp;search_scope=EVERYTHING&amp;vid=01CRU&amp;lang=en_US&amp;offset=0&amp;query=any,contains,991000096029702656","Catalog Record")</f>
        <v/>
      </c>
      <c r="AT1264">
        <f>HYPERLINK("http://www.worldcat.org/oclc/8928853","WorldCat Record")</f>
        <v/>
      </c>
      <c r="AU1264" t="inlineStr">
        <is>
          <t>3901987104:eng</t>
        </is>
      </c>
      <c r="AV1264" t="inlineStr">
        <is>
          <t>8928853</t>
        </is>
      </c>
      <c r="AW1264" t="inlineStr">
        <is>
          <t>991000096029702656</t>
        </is>
      </c>
      <c r="AX1264" t="inlineStr">
        <is>
          <t>991000096029702656</t>
        </is>
      </c>
      <c r="AY1264" t="inlineStr">
        <is>
          <t>2264429120002656</t>
        </is>
      </c>
      <c r="AZ1264" t="inlineStr">
        <is>
          <t>BOOK</t>
        </is>
      </c>
      <c r="BB1264" t="inlineStr">
        <is>
          <t>9780306410529</t>
        </is>
      </c>
      <c r="BC1264" t="inlineStr">
        <is>
          <t>32285000802040</t>
        </is>
      </c>
      <c r="BD1264" t="inlineStr">
        <is>
          <t>893237067</t>
        </is>
      </c>
    </row>
    <row r="1265">
      <c r="A1265" t="inlineStr">
        <is>
          <t>No</t>
        </is>
      </c>
      <c r="B1265" t="inlineStr">
        <is>
          <t>RC565 .B52 1971, v.7</t>
        </is>
      </c>
      <c r="C1265" t="inlineStr">
        <is>
          <t>0                      RC 0565000B  52          1971                                        v.7</t>
        </is>
      </c>
      <c r="D1265" t="inlineStr">
        <is>
          <t>The Pathogenesis of alcoholism : biological factors / edited by Benjamin Kissin and Henri Begleiter.</t>
        </is>
      </c>
      <c r="E1265" t="inlineStr">
        <is>
          <t>V. 7</t>
        </is>
      </c>
      <c r="F1265" t="inlineStr">
        <is>
          <t>No</t>
        </is>
      </c>
      <c r="G1265" t="inlineStr">
        <is>
          <t>1</t>
        </is>
      </c>
      <c r="H1265" t="inlineStr">
        <is>
          <t>No</t>
        </is>
      </c>
      <c r="I1265" t="inlineStr">
        <is>
          <t>No</t>
        </is>
      </c>
      <c r="J1265" t="inlineStr">
        <is>
          <t>0</t>
        </is>
      </c>
      <c r="L1265" t="inlineStr">
        <is>
          <t>New York : Plenum Press, c1983.</t>
        </is>
      </c>
      <c r="M1265" t="inlineStr">
        <is>
          <t>1983</t>
        </is>
      </c>
      <c r="O1265" t="inlineStr">
        <is>
          <t>eng</t>
        </is>
      </c>
      <c r="P1265" t="inlineStr">
        <is>
          <t>nyu</t>
        </is>
      </c>
      <c r="Q1265" t="inlineStr">
        <is>
          <t>The Biology of alcoholism ; v. 7</t>
        </is>
      </c>
      <c r="R1265" t="inlineStr">
        <is>
          <t xml:space="preserve">RC </t>
        </is>
      </c>
      <c r="S1265" t="n">
        <v>9</v>
      </c>
      <c r="T1265" t="n">
        <v>9</v>
      </c>
      <c r="U1265" t="inlineStr">
        <is>
          <t>1999-04-06</t>
        </is>
      </c>
      <c r="V1265" t="inlineStr">
        <is>
          <t>1999-04-06</t>
        </is>
      </c>
      <c r="W1265" t="inlineStr">
        <is>
          <t>1991-10-28</t>
        </is>
      </c>
      <c r="X1265" t="inlineStr">
        <is>
          <t>1991-10-28</t>
        </is>
      </c>
      <c r="Y1265" t="n">
        <v>102</v>
      </c>
      <c r="Z1265" t="n">
        <v>81</v>
      </c>
      <c r="AA1265" t="n">
        <v>81</v>
      </c>
      <c r="AB1265" t="n">
        <v>1</v>
      </c>
      <c r="AC1265" t="n">
        <v>1</v>
      </c>
      <c r="AD1265" t="n">
        <v>2</v>
      </c>
      <c r="AE1265" t="n">
        <v>2</v>
      </c>
      <c r="AF1265" t="n">
        <v>0</v>
      </c>
      <c r="AG1265" t="n">
        <v>0</v>
      </c>
      <c r="AH1265" t="n">
        <v>0</v>
      </c>
      <c r="AI1265" t="n">
        <v>0</v>
      </c>
      <c r="AJ1265" t="n">
        <v>2</v>
      </c>
      <c r="AK1265" t="n">
        <v>2</v>
      </c>
      <c r="AL1265" t="n">
        <v>0</v>
      </c>
      <c r="AM1265" t="n">
        <v>0</v>
      </c>
      <c r="AN1265" t="n">
        <v>0</v>
      </c>
      <c r="AO1265" t="n">
        <v>0</v>
      </c>
      <c r="AP1265" t="inlineStr">
        <is>
          <t>No</t>
        </is>
      </c>
      <c r="AQ1265" t="inlineStr">
        <is>
          <t>No</t>
        </is>
      </c>
      <c r="AS1265">
        <f>HYPERLINK("https://creighton-primo.hosted.exlibrisgroup.com/primo-explore/search?tab=default_tab&amp;search_scope=EVERYTHING&amp;vid=01CRU&amp;lang=en_US&amp;offset=0&amp;query=any,contains,991000113079702656","Catalog Record")</f>
        <v/>
      </c>
      <c r="AT1265">
        <f>HYPERLINK("http://www.worldcat.org/oclc/9018430","WorldCat Record")</f>
        <v/>
      </c>
      <c r="AU1265" t="inlineStr">
        <is>
          <t>3902603187:eng</t>
        </is>
      </c>
      <c r="AV1265" t="inlineStr">
        <is>
          <t>9018430</t>
        </is>
      </c>
      <c r="AW1265" t="inlineStr">
        <is>
          <t>991000113079702656</t>
        </is>
      </c>
      <c r="AX1265" t="inlineStr">
        <is>
          <t>991000113079702656</t>
        </is>
      </c>
      <c r="AY1265" t="inlineStr">
        <is>
          <t>2258588450002656</t>
        </is>
      </c>
      <c r="AZ1265" t="inlineStr">
        <is>
          <t>BOOK</t>
        </is>
      </c>
      <c r="BB1265" t="inlineStr">
        <is>
          <t>9780306410536</t>
        </is>
      </c>
      <c r="BC1265" t="inlineStr">
        <is>
          <t>32285000802057</t>
        </is>
      </c>
      <c r="BD1265" t="inlineStr">
        <is>
          <t>893865098</t>
        </is>
      </c>
    </row>
    <row r="1266">
      <c r="A1266" t="inlineStr">
        <is>
          <t>No</t>
        </is>
      </c>
      <c r="B1266" t="inlineStr">
        <is>
          <t>RC565 .B54</t>
        </is>
      </c>
      <c r="C1266" t="inlineStr">
        <is>
          <t>0                      RC 0565000B  54</t>
        </is>
      </c>
      <c r="D1266" t="inlineStr">
        <is>
          <t>Biological basis of alcoholism / [edited by] Yedy Israel [and] Jorge Mardones.</t>
        </is>
      </c>
      <c r="F1266" t="inlineStr">
        <is>
          <t>No</t>
        </is>
      </c>
      <c r="G1266" t="inlineStr">
        <is>
          <t>1</t>
        </is>
      </c>
      <c r="H1266" t="inlineStr">
        <is>
          <t>No</t>
        </is>
      </c>
      <c r="I1266" t="inlineStr">
        <is>
          <t>No</t>
        </is>
      </c>
      <c r="J1266" t="inlineStr">
        <is>
          <t>0</t>
        </is>
      </c>
      <c r="L1266" t="inlineStr">
        <is>
          <t>New York : Wiley-Interscience, [1971]</t>
        </is>
      </c>
      <c r="M1266" t="inlineStr">
        <is>
          <t>1971</t>
        </is>
      </c>
      <c r="O1266" t="inlineStr">
        <is>
          <t>eng</t>
        </is>
      </c>
      <c r="P1266" t="inlineStr">
        <is>
          <t>nyu</t>
        </is>
      </c>
      <c r="R1266" t="inlineStr">
        <is>
          <t xml:space="preserve">RC </t>
        </is>
      </c>
      <c r="S1266" t="n">
        <v>8</v>
      </c>
      <c r="T1266" t="n">
        <v>8</v>
      </c>
      <c r="U1266" t="inlineStr">
        <is>
          <t>1999-03-02</t>
        </is>
      </c>
      <c r="V1266" t="inlineStr">
        <is>
          <t>1999-03-02</t>
        </is>
      </c>
      <c r="W1266" t="inlineStr">
        <is>
          <t>1994-02-23</t>
        </is>
      </c>
      <c r="X1266" t="inlineStr">
        <is>
          <t>1994-02-23</t>
        </is>
      </c>
      <c r="Y1266" t="n">
        <v>600</v>
      </c>
      <c r="Z1266" t="n">
        <v>499</v>
      </c>
      <c r="AA1266" t="n">
        <v>507</v>
      </c>
      <c r="AB1266" t="n">
        <v>6</v>
      </c>
      <c r="AC1266" t="n">
        <v>6</v>
      </c>
      <c r="AD1266" t="n">
        <v>15</v>
      </c>
      <c r="AE1266" t="n">
        <v>15</v>
      </c>
      <c r="AF1266" t="n">
        <v>3</v>
      </c>
      <c r="AG1266" t="n">
        <v>3</v>
      </c>
      <c r="AH1266" t="n">
        <v>2</v>
      </c>
      <c r="AI1266" t="n">
        <v>2</v>
      </c>
      <c r="AJ1266" t="n">
        <v>7</v>
      </c>
      <c r="AK1266" t="n">
        <v>7</v>
      </c>
      <c r="AL1266" t="n">
        <v>5</v>
      </c>
      <c r="AM1266" t="n">
        <v>5</v>
      </c>
      <c r="AN1266" t="n">
        <v>0</v>
      </c>
      <c r="AO1266" t="n">
        <v>0</v>
      </c>
      <c r="AP1266" t="inlineStr">
        <is>
          <t>No</t>
        </is>
      </c>
      <c r="AQ1266" t="inlineStr">
        <is>
          <t>Yes</t>
        </is>
      </c>
      <c r="AR1266">
        <f>HYPERLINK("http://catalog.hathitrust.org/Record/001565228","HathiTrust Record")</f>
        <v/>
      </c>
      <c r="AS1266">
        <f>HYPERLINK("https://creighton-primo.hosted.exlibrisgroup.com/primo-explore/search?tab=default_tab&amp;search_scope=EVERYTHING&amp;vid=01CRU&amp;lang=en_US&amp;offset=0&amp;query=any,contains,991001287489702656","Catalog Record")</f>
        <v/>
      </c>
      <c r="AT1266">
        <f>HYPERLINK("http://www.worldcat.org/oclc/216901","WorldCat Record")</f>
        <v/>
      </c>
      <c r="AU1266" t="inlineStr">
        <is>
          <t>364351804:eng</t>
        </is>
      </c>
      <c r="AV1266" t="inlineStr">
        <is>
          <t>216901</t>
        </is>
      </c>
      <c r="AW1266" t="inlineStr">
        <is>
          <t>991001287489702656</t>
        </is>
      </c>
      <c r="AX1266" t="inlineStr">
        <is>
          <t>991001287489702656</t>
        </is>
      </c>
      <c r="AY1266" t="inlineStr">
        <is>
          <t>2256991190002656</t>
        </is>
      </c>
      <c r="AZ1266" t="inlineStr">
        <is>
          <t>BOOK</t>
        </is>
      </c>
      <c r="BB1266" t="inlineStr">
        <is>
          <t>9780471429005</t>
        </is>
      </c>
      <c r="BC1266" t="inlineStr">
        <is>
          <t>32285001839397</t>
        </is>
      </c>
      <c r="BD1266" t="inlineStr">
        <is>
          <t>893414140</t>
        </is>
      </c>
    </row>
    <row r="1267">
      <c r="A1267" t="inlineStr">
        <is>
          <t>No</t>
        </is>
      </c>
      <c r="B1267" t="inlineStr">
        <is>
          <t>RC565 .B55</t>
        </is>
      </c>
      <c r="C1267" t="inlineStr">
        <is>
          <t>0                      RC 0565000B  55</t>
        </is>
      </c>
      <c r="D1267" t="inlineStr">
        <is>
          <t>Alcoholism : modern psychological approaches to treatment / [by] Eva Maria Blum &amp; Richard H. Blum. Foreword by Morris E. Chafetz.</t>
        </is>
      </c>
      <c r="F1267" t="inlineStr">
        <is>
          <t>No</t>
        </is>
      </c>
      <c r="G1267" t="inlineStr">
        <is>
          <t>1</t>
        </is>
      </c>
      <c r="H1267" t="inlineStr">
        <is>
          <t>No</t>
        </is>
      </c>
      <c r="I1267" t="inlineStr">
        <is>
          <t>No</t>
        </is>
      </c>
      <c r="J1267" t="inlineStr">
        <is>
          <t>0</t>
        </is>
      </c>
      <c r="K1267" t="inlineStr">
        <is>
          <t>Blum, Eva Maria.</t>
        </is>
      </c>
      <c r="L1267" t="inlineStr">
        <is>
          <t>San Francisco : Jossey-Bass, 1967.</t>
        </is>
      </c>
      <c r="M1267" t="inlineStr">
        <is>
          <t>1967</t>
        </is>
      </c>
      <c r="O1267" t="inlineStr">
        <is>
          <t>eng</t>
        </is>
      </c>
      <c r="P1267" t="inlineStr">
        <is>
          <t>cau</t>
        </is>
      </c>
      <c r="R1267" t="inlineStr">
        <is>
          <t xml:space="preserve">RC </t>
        </is>
      </c>
      <c r="S1267" t="n">
        <v>8</v>
      </c>
      <c r="T1267" t="n">
        <v>8</v>
      </c>
      <c r="U1267" t="inlineStr">
        <is>
          <t>2001-10-22</t>
        </is>
      </c>
      <c r="V1267" t="inlineStr">
        <is>
          <t>2001-10-22</t>
        </is>
      </c>
      <c r="W1267" t="inlineStr">
        <is>
          <t>1993-10-07</t>
        </is>
      </c>
      <c r="X1267" t="inlineStr">
        <is>
          <t>1993-10-07</t>
        </is>
      </c>
      <c r="Y1267" t="n">
        <v>625</v>
      </c>
      <c r="Z1267" t="n">
        <v>574</v>
      </c>
      <c r="AA1267" t="n">
        <v>579</v>
      </c>
      <c r="AB1267" t="n">
        <v>7</v>
      </c>
      <c r="AC1267" t="n">
        <v>7</v>
      </c>
      <c r="AD1267" t="n">
        <v>24</v>
      </c>
      <c r="AE1267" t="n">
        <v>24</v>
      </c>
      <c r="AF1267" t="n">
        <v>5</v>
      </c>
      <c r="AG1267" t="n">
        <v>5</v>
      </c>
      <c r="AH1267" t="n">
        <v>4</v>
      </c>
      <c r="AI1267" t="n">
        <v>4</v>
      </c>
      <c r="AJ1267" t="n">
        <v>14</v>
      </c>
      <c r="AK1267" t="n">
        <v>14</v>
      </c>
      <c r="AL1267" t="n">
        <v>4</v>
      </c>
      <c r="AM1267" t="n">
        <v>4</v>
      </c>
      <c r="AN1267" t="n">
        <v>0</v>
      </c>
      <c r="AO1267" t="n">
        <v>0</v>
      </c>
      <c r="AP1267" t="inlineStr">
        <is>
          <t>No</t>
        </is>
      </c>
      <c r="AQ1267" t="inlineStr">
        <is>
          <t>Yes</t>
        </is>
      </c>
      <c r="AR1267">
        <f>HYPERLINK("http://catalog.hathitrust.org/Record/001565230","HathiTrust Record")</f>
        <v/>
      </c>
      <c r="AS1267">
        <f>HYPERLINK("https://creighton-primo.hosted.exlibrisgroup.com/primo-explore/search?tab=default_tab&amp;search_scope=EVERYTHING&amp;vid=01CRU&amp;lang=en_US&amp;offset=0&amp;query=any,contains,991005265389702656","Catalog Record")</f>
        <v/>
      </c>
      <c r="AT1267">
        <f>HYPERLINK("http://www.worldcat.org/oclc/337400","WorldCat Record")</f>
        <v/>
      </c>
      <c r="AU1267" t="inlineStr">
        <is>
          <t>5612577200:eng</t>
        </is>
      </c>
      <c r="AV1267" t="inlineStr">
        <is>
          <t>337400</t>
        </is>
      </c>
      <c r="AW1267" t="inlineStr">
        <is>
          <t>991005265389702656</t>
        </is>
      </c>
      <c r="AX1267" t="inlineStr">
        <is>
          <t>991005265389702656</t>
        </is>
      </c>
      <c r="AY1267" t="inlineStr">
        <is>
          <t>2255934130002656</t>
        </is>
      </c>
      <c r="AZ1267" t="inlineStr">
        <is>
          <t>BOOK</t>
        </is>
      </c>
      <c r="BC1267" t="inlineStr">
        <is>
          <t>32285001774958</t>
        </is>
      </c>
      <c r="BD1267" t="inlineStr">
        <is>
          <t>893536512</t>
        </is>
      </c>
    </row>
    <row r="1268">
      <c r="A1268" t="inlineStr">
        <is>
          <t>No</t>
        </is>
      </c>
      <c r="B1268" t="inlineStr">
        <is>
          <t>RC565 .B553 1991</t>
        </is>
      </c>
      <c r="C1268" t="inlineStr">
        <is>
          <t>0                      RC 0565000B  553         1991</t>
        </is>
      </c>
      <c r="D1268" t="inlineStr">
        <is>
          <t>Alcohol and the addictive brain : new hope for alcoholics from biogenetic research / Kenneth Blum ; in collaboration with James E. Payne.</t>
        </is>
      </c>
      <c r="F1268" t="inlineStr">
        <is>
          <t>No</t>
        </is>
      </c>
      <c r="G1268" t="inlineStr">
        <is>
          <t>1</t>
        </is>
      </c>
      <c r="H1268" t="inlineStr">
        <is>
          <t>No</t>
        </is>
      </c>
      <c r="I1268" t="inlineStr">
        <is>
          <t>No</t>
        </is>
      </c>
      <c r="J1268" t="inlineStr">
        <is>
          <t>0</t>
        </is>
      </c>
      <c r="K1268" t="inlineStr">
        <is>
          <t>Blum, Kenneth.</t>
        </is>
      </c>
      <c r="L1268" t="inlineStr">
        <is>
          <t>New York : Free Press, c1991.</t>
        </is>
      </c>
      <c r="M1268" t="inlineStr">
        <is>
          <t>1991</t>
        </is>
      </c>
      <c r="O1268" t="inlineStr">
        <is>
          <t>eng</t>
        </is>
      </c>
      <c r="P1268" t="inlineStr">
        <is>
          <t>nyu</t>
        </is>
      </c>
      <c r="R1268" t="inlineStr">
        <is>
          <t xml:space="preserve">RC </t>
        </is>
      </c>
      <c r="S1268" t="n">
        <v>57</v>
      </c>
      <c r="T1268" t="n">
        <v>57</v>
      </c>
      <c r="U1268" t="inlineStr">
        <is>
          <t>2006-09-19</t>
        </is>
      </c>
      <c r="V1268" t="inlineStr">
        <is>
          <t>2006-09-19</t>
        </is>
      </c>
      <c r="W1268" t="inlineStr">
        <is>
          <t>1992-08-04</t>
        </is>
      </c>
      <c r="X1268" t="inlineStr">
        <is>
          <t>1992-08-04</t>
        </is>
      </c>
      <c r="Y1268" t="n">
        <v>638</v>
      </c>
      <c r="Z1268" t="n">
        <v>564</v>
      </c>
      <c r="AA1268" t="n">
        <v>582</v>
      </c>
      <c r="AB1268" t="n">
        <v>4</v>
      </c>
      <c r="AC1268" t="n">
        <v>4</v>
      </c>
      <c r="AD1268" t="n">
        <v>17</v>
      </c>
      <c r="AE1268" t="n">
        <v>17</v>
      </c>
      <c r="AF1268" t="n">
        <v>5</v>
      </c>
      <c r="AG1268" t="n">
        <v>5</v>
      </c>
      <c r="AH1268" t="n">
        <v>3</v>
      </c>
      <c r="AI1268" t="n">
        <v>3</v>
      </c>
      <c r="AJ1268" t="n">
        <v>10</v>
      </c>
      <c r="AK1268" t="n">
        <v>10</v>
      </c>
      <c r="AL1268" t="n">
        <v>3</v>
      </c>
      <c r="AM1268" t="n">
        <v>3</v>
      </c>
      <c r="AN1268" t="n">
        <v>0</v>
      </c>
      <c r="AO1268" t="n">
        <v>0</v>
      </c>
      <c r="AP1268" t="inlineStr">
        <is>
          <t>No</t>
        </is>
      </c>
      <c r="AQ1268" t="inlineStr">
        <is>
          <t>Yes</t>
        </is>
      </c>
      <c r="AR1268">
        <f>HYPERLINK("http://catalog.hathitrust.org/Record/002468047","HathiTrust Record")</f>
        <v/>
      </c>
      <c r="AS1268">
        <f>HYPERLINK("https://creighton-primo.hosted.exlibrisgroup.com/primo-explore/search?tab=default_tab&amp;search_scope=EVERYTHING&amp;vid=01CRU&amp;lang=en_US&amp;offset=0&amp;query=any,contains,991001812299702656","Catalog Record")</f>
        <v/>
      </c>
      <c r="AT1268">
        <f>HYPERLINK("http://www.worldcat.org/oclc/22764423","WorldCat Record")</f>
        <v/>
      </c>
      <c r="AU1268" t="inlineStr">
        <is>
          <t>371608490:eng</t>
        </is>
      </c>
      <c r="AV1268" t="inlineStr">
        <is>
          <t>22764423</t>
        </is>
      </c>
      <c r="AW1268" t="inlineStr">
        <is>
          <t>991001812299702656</t>
        </is>
      </c>
      <c r="AX1268" t="inlineStr">
        <is>
          <t>991001812299702656</t>
        </is>
      </c>
      <c r="AY1268" t="inlineStr">
        <is>
          <t>2261806390002656</t>
        </is>
      </c>
      <c r="AZ1268" t="inlineStr">
        <is>
          <t>BOOK</t>
        </is>
      </c>
      <c r="BB1268" t="inlineStr">
        <is>
          <t>9780029037010</t>
        </is>
      </c>
      <c r="BC1268" t="inlineStr">
        <is>
          <t>32285001196251</t>
        </is>
      </c>
      <c r="BD1268" t="inlineStr">
        <is>
          <t>893872825</t>
        </is>
      </c>
    </row>
    <row r="1269">
      <c r="A1269" t="inlineStr">
        <is>
          <t>No</t>
        </is>
      </c>
      <c r="B1269" t="inlineStr">
        <is>
          <t>RC565 .B69</t>
        </is>
      </c>
      <c r="C1269" t="inlineStr">
        <is>
          <t>0                      RC 0565000B  69</t>
        </is>
      </c>
      <c r="D1269" t="inlineStr">
        <is>
          <t>Outpatient treatment of alcoholism : a review and comparative study / by Jeffrey M. Brandsma, in collaboration with Maxie C. Maultsby, Jr. and Richard J. Welsh.</t>
        </is>
      </c>
      <c r="F1269" t="inlineStr">
        <is>
          <t>No</t>
        </is>
      </c>
      <c r="G1269" t="inlineStr">
        <is>
          <t>1</t>
        </is>
      </c>
      <c r="H1269" t="inlineStr">
        <is>
          <t>No</t>
        </is>
      </c>
      <c r="I1269" t="inlineStr">
        <is>
          <t>No</t>
        </is>
      </c>
      <c r="J1269" t="inlineStr">
        <is>
          <t>0</t>
        </is>
      </c>
      <c r="K1269" t="inlineStr">
        <is>
          <t>Brandsma, Jeffery M.</t>
        </is>
      </c>
      <c r="L1269" t="inlineStr">
        <is>
          <t>Baltimore : University Park Press, c1980.</t>
        </is>
      </c>
      <c r="M1269" t="inlineStr">
        <is>
          <t>1980</t>
        </is>
      </c>
      <c r="O1269" t="inlineStr">
        <is>
          <t>eng</t>
        </is>
      </c>
      <c r="P1269" t="inlineStr">
        <is>
          <t>mdu</t>
        </is>
      </c>
      <c r="R1269" t="inlineStr">
        <is>
          <t xml:space="preserve">RC </t>
        </is>
      </c>
      <c r="S1269" t="n">
        <v>5</v>
      </c>
      <c r="T1269" t="n">
        <v>5</v>
      </c>
      <c r="U1269" t="inlineStr">
        <is>
          <t>2001-10-26</t>
        </is>
      </c>
      <c r="V1269" t="inlineStr">
        <is>
          <t>2001-10-26</t>
        </is>
      </c>
      <c r="W1269" t="inlineStr">
        <is>
          <t>1992-08-19</t>
        </is>
      </c>
      <c r="X1269" t="inlineStr">
        <is>
          <t>1992-08-19</t>
        </is>
      </c>
      <c r="Y1269" t="n">
        <v>242</v>
      </c>
      <c r="Z1269" t="n">
        <v>188</v>
      </c>
      <c r="AA1269" t="n">
        <v>214</v>
      </c>
      <c r="AB1269" t="n">
        <v>2</v>
      </c>
      <c r="AC1269" t="n">
        <v>2</v>
      </c>
      <c r="AD1269" t="n">
        <v>10</v>
      </c>
      <c r="AE1269" t="n">
        <v>10</v>
      </c>
      <c r="AF1269" t="n">
        <v>3</v>
      </c>
      <c r="AG1269" t="n">
        <v>3</v>
      </c>
      <c r="AH1269" t="n">
        <v>3</v>
      </c>
      <c r="AI1269" t="n">
        <v>3</v>
      </c>
      <c r="AJ1269" t="n">
        <v>8</v>
      </c>
      <c r="AK1269" t="n">
        <v>8</v>
      </c>
      <c r="AL1269" t="n">
        <v>1</v>
      </c>
      <c r="AM1269" t="n">
        <v>1</v>
      </c>
      <c r="AN1269" t="n">
        <v>0</v>
      </c>
      <c r="AO1269" t="n">
        <v>0</v>
      </c>
      <c r="AP1269" t="inlineStr">
        <is>
          <t>No</t>
        </is>
      </c>
      <c r="AQ1269" t="inlineStr">
        <is>
          <t>Yes</t>
        </is>
      </c>
      <c r="AR1269">
        <f>HYPERLINK("http://catalog.hathitrust.org/Record/000030549","HathiTrust Record")</f>
        <v/>
      </c>
      <c r="AS1269">
        <f>HYPERLINK("https://creighton-primo.hosted.exlibrisgroup.com/primo-explore/search?tab=default_tab&amp;search_scope=EVERYTHING&amp;vid=01CRU&amp;lang=en_US&amp;offset=0&amp;query=any,contains,991005152519702656","Catalog Record")</f>
        <v/>
      </c>
      <c r="AT1269">
        <f>HYPERLINK("http://www.worldcat.org/oclc/5219646","WorldCat Record")</f>
        <v/>
      </c>
      <c r="AU1269" t="inlineStr">
        <is>
          <t>292590297:eng</t>
        </is>
      </c>
      <c r="AV1269" t="inlineStr">
        <is>
          <t>5219646</t>
        </is>
      </c>
      <c r="AW1269" t="inlineStr">
        <is>
          <t>991005152519702656</t>
        </is>
      </c>
      <c r="AX1269" t="inlineStr">
        <is>
          <t>991005152519702656</t>
        </is>
      </c>
      <c r="AY1269" t="inlineStr">
        <is>
          <t>2268353090002656</t>
        </is>
      </c>
      <c r="AZ1269" t="inlineStr">
        <is>
          <t>BOOK</t>
        </is>
      </c>
      <c r="BB1269" t="inlineStr">
        <is>
          <t>9780839113935</t>
        </is>
      </c>
      <c r="BC1269" t="inlineStr">
        <is>
          <t>32285001246262</t>
        </is>
      </c>
      <c r="BD1269" t="inlineStr">
        <is>
          <t>893713535</t>
        </is>
      </c>
    </row>
    <row r="1270">
      <c r="A1270" t="inlineStr">
        <is>
          <t>No</t>
        </is>
      </c>
      <c r="B1270" t="inlineStr">
        <is>
          <t>RC565 .B76 1985</t>
        </is>
      </c>
      <c r="C1270" t="inlineStr">
        <is>
          <t>0                      RC 0565000B  76          1985</t>
        </is>
      </c>
      <c r="D1270" t="inlineStr">
        <is>
          <t>Treating the alcoholic : a developmental model of recovery / Stephanie Brown ; with the editorial assistance of Jill Mellick.</t>
        </is>
      </c>
      <c r="F1270" t="inlineStr">
        <is>
          <t>No</t>
        </is>
      </c>
      <c r="G1270" t="inlineStr">
        <is>
          <t>1</t>
        </is>
      </c>
      <c r="H1270" t="inlineStr">
        <is>
          <t>No</t>
        </is>
      </c>
      <c r="I1270" t="inlineStr">
        <is>
          <t>No</t>
        </is>
      </c>
      <c r="J1270" t="inlineStr">
        <is>
          <t>0</t>
        </is>
      </c>
      <c r="K1270" t="inlineStr">
        <is>
          <t>Brown, Stephanie, 1944-</t>
        </is>
      </c>
      <c r="L1270" t="inlineStr">
        <is>
          <t>New York : Wiley, c1985.</t>
        </is>
      </c>
      <c r="M1270" t="inlineStr">
        <is>
          <t>1985</t>
        </is>
      </c>
      <c r="O1270" t="inlineStr">
        <is>
          <t>eng</t>
        </is>
      </c>
      <c r="P1270" t="inlineStr">
        <is>
          <t>nyu</t>
        </is>
      </c>
      <c r="Q1270" t="inlineStr">
        <is>
          <t>Wiley series on personality processes</t>
        </is>
      </c>
      <c r="R1270" t="inlineStr">
        <is>
          <t xml:space="preserve">RC </t>
        </is>
      </c>
      <c r="S1270" t="n">
        <v>21</v>
      </c>
      <c r="T1270" t="n">
        <v>21</v>
      </c>
      <c r="U1270" t="inlineStr">
        <is>
          <t>1996-11-05</t>
        </is>
      </c>
      <c r="V1270" t="inlineStr">
        <is>
          <t>1996-11-05</t>
        </is>
      </c>
      <c r="W1270" t="inlineStr">
        <is>
          <t>1990-03-20</t>
        </is>
      </c>
      <c r="X1270" t="inlineStr">
        <is>
          <t>1990-03-20</t>
        </is>
      </c>
      <c r="Y1270" t="n">
        <v>691</v>
      </c>
      <c r="Z1270" t="n">
        <v>619</v>
      </c>
      <c r="AA1270" t="n">
        <v>639</v>
      </c>
      <c r="AB1270" t="n">
        <v>9</v>
      </c>
      <c r="AC1270" t="n">
        <v>9</v>
      </c>
      <c r="AD1270" t="n">
        <v>35</v>
      </c>
      <c r="AE1270" t="n">
        <v>35</v>
      </c>
      <c r="AF1270" t="n">
        <v>11</v>
      </c>
      <c r="AG1270" t="n">
        <v>11</v>
      </c>
      <c r="AH1270" t="n">
        <v>7</v>
      </c>
      <c r="AI1270" t="n">
        <v>7</v>
      </c>
      <c r="AJ1270" t="n">
        <v>18</v>
      </c>
      <c r="AK1270" t="n">
        <v>18</v>
      </c>
      <c r="AL1270" t="n">
        <v>7</v>
      </c>
      <c r="AM1270" t="n">
        <v>7</v>
      </c>
      <c r="AN1270" t="n">
        <v>0</v>
      </c>
      <c r="AO1270" t="n">
        <v>0</v>
      </c>
      <c r="AP1270" t="inlineStr">
        <is>
          <t>No</t>
        </is>
      </c>
      <c r="AQ1270" t="inlineStr">
        <is>
          <t>Yes</t>
        </is>
      </c>
      <c r="AR1270">
        <f>HYPERLINK("http://catalog.hathitrust.org/Record/000417953","HathiTrust Record")</f>
        <v/>
      </c>
      <c r="AS1270">
        <f>HYPERLINK("https://creighton-primo.hosted.exlibrisgroup.com/primo-explore/search?tab=default_tab&amp;search_scope=EVERYTHING&amp;vid=01CRU&amp;lang=en_US&amp;offset=0&amp;query=any,contains,991000579439702656","Catalog Record")</f>
        <v/>
      </c>
      <c r="AT1270">
        <f>HYPERLINK("http://www.worldcat.org/oclc/11727011","WorldCat Record")</f>
        <v/>
      </c>
      <c r="AU1270" t="inlineStr">
        <is>
          <t>836701567:eng</t>
        </is>
      </c>
      <c r="AV1270" t="inlineStr">
        <is>
          <t>11727011</t>
        </is>
      </c>
      <c r="AW1270" t="inlineStr">
        <is>
          <t>991000579439702656</t>
        </is>
      </c>
      <c r="AX1270" t="inlineStr">
        <is>
          <t>991000579439702656</t>
        </is>
      </c>
      <c r="AY1270" t="inlineStr">
        <is>
          <t>2255002750002656</t>
        </is>
      </c>
      <c r="AZ1270" t="inlineStr">
        <is>
          <t>BOOK</t>
        </is>
      </c>
      <c r="BB1270" t="inlineStr">
        <is>
          <t>9780471817369</t>
        </is>
      </c>
      <c r="BC1270" t="inlineStr">
        <is>
          <t>32285000088582</t>
        </is>
      </c>
      <c r="BD1270" t="inlineStr">
        <is>
          <t>893620604</t>
        </is>
      </c>
    </row>
    <row r="1271">
      <c r="A1271" t="inlineStr">
        <is>
          <t>No</t>
        </is>
      </c>
      <c r="B1271" t="inlineStr">
        <is>
          <t>RC565 .B87</t>
        </is>
      </c>
      <c r="C1271" t="inlineStr">
        <is>
          <t>0                      RC 0565000B  87</t>
        </is>
      </c>
      <c r="D1271" t="inlineStr">
        <is>
          <t>Nursing care of the alcoholic and drug abuser / by Pamela K. Burkhalter.</t>
        </is>
      </c>
      <c r="F1271" t="inlineStr">
        <is>
          <t>No</t>
        </is>
      </c>
      <c r="G1271" t="inlineStr">
        <is>
          <t>1</t>
        </is>
      </c>
      <c r="H1271" t="inlineStr">
        <is>
          <t>Yes</t>
        </is>
      </c>
      <c r="I1271" t="inlineStr">
        <is>
          <t>No</t>
        </is>
      </c>
      <c r="J1271" t="inlineStr">
        <is>
          <t>0</t>
        </is>
      </c>
      <c r="K1271" t="inlineStr">
        <is>
          <t>Burkhalter, Pamela K.</t>
        </is>
      </c>
      <c r="L1271" t="inlineStr">
        <is>
          <t>New York : McGraw-Hill, c1975.</t>
        </is>
      </c>
      <c r="M1271" t="inlineStr">
        <is>
          <t>1975</t>
        </is>
      </c>
      <c r="O1271" t="inlineStr">
        <is>
          <t>eng</t>
        </is>
      </c>
      <c r="P1271" t="inlineStr">
        <is>
          <t>nyu</t>
        </is>
      </c>
      <c r="R1271" t="inlineStr">
        <is>
          <t xml:space="preserve">RC </t>
        </is>
      </c>
      <c r="S1271" t="n">
        <v>6</v>
      </c>
      <c r="T1271" t="n">
        <v>6</v>
      </c>
      <c r="U1271" t="inlineStr">
        <is>
          <t>2007-11-21</t>
        </is>
      </c>
      <c r="V1271" t="inlineStr">
        <is>
          <t>2007-11-21</t>
        </is>
      </c>
      <c r="W1271" t="inlineStr">
        <is>
          <t>1991-10-23</t>
        </is>
      </c>
      <c r="X1271" t="inlineStr">
        <is>
          <t>1991-10-23</t>
        </is>
      </c>
      <c r="Y1271" t="n">
        <v>356</v>
      </c>
      <c r="Z1271" t="n">
        <v>294</v>
      </c>
      <c r="AA1271" t="n">
        <v>301</v>
      </c>
      <c r="AB1271" t="n">
        <v>4</v>
      </c>
      <c r="AC1271" t="n">
        <v>4</v>
      </c>
      <c r="AD1271" t="n">
        <v>10</v>
      </c>
      <c r="AE1271" t="n">
        <v>10</v>
      </c>
      <c r="AF1271" t="n">
        <v>5</v>
      </c>
      <c r="AG1271" t="n">
        <v>5</v>
      </c>
      <c r="AH1271" t="n">
        <v>1</v>
      </c>
      <c r="AI1271" t="n">
        <v>1</v>
      </c>
      <c r="AJ1271" t="n">
        <v>3</v>
      </c>
      <c r="AK1271" t="n">
        <v>3</v>
      </c>
      <c r="AL1271" t="n">
        <v>2</v>
      </c>
      <c r="AM1271" t="n">
        <v>2</v>
      </c>
      <c r="AN1271" t="n">
        <v>0</v>
      </c>
      <c r="AO1271" t="n">
        <v>0</v>
      </c>
      <c r="AP1271" t="inlineStr">
        <is>
          <t>No</t>
        </is>
      </c>
      <c r="AQ1271" t="inlineStr">
        <is>
          <t>Yes</t>
        </is>
      </c>
      <c r="AR1271">
        <f>HYPERLINK("http://catalog.hathitrust.org/Record/000015117","HathiTrust Record")</f>
        <v/>
      </c>
      <c r="AS1271">
        <f>HYPERLINK("https://creighton-primo.hosted.exlibrisgroup.com/primo-explore/search?tab=default_tab&amp;search_scope=EVERYTHING&amp;vid=01CRU&amp;lang=en_US&amp;offset=0&amp;query=any,contains,991001806549702656","Catalog Record")</f>
        <v/>
      </c>
      <c r="AT1271">
        <f>HYPERLINK("http://www.worldcat.org/oclc/940651","WorldCat Record")</f>
        <v/>
      </c>
      <c r="AU1271" t="inlineStr">
        <is>
          <t>404914:eng</t>
        </is>
      </c>
      <c r="AV1271" t="inlineStr">
        <is>
          <t>940651</t>
        </is>
      </c>
      <c r="AW1271" t="inlineStr">
        <is>
          <t>991001806549702656</t>
        </is>
      </c>
      <c r="AX1271" t="inlineStr">
        <is>
          <t>991001806549702656</t>
        </is>
      </c>
      <c r="AY1271" t="inlineStr">
        <is>
          <t>2261319020002656</t>
        </is>
      </c>
      <c r="AZ1271" t="inlineStr">
        <is>
          <t>BOOK</t>
        </is>
      </c>
      <c r="BB1271" t="inlineStr">
        <is>
          <t>9780070090514</t>
        </is>
      </c>
      <c r="BC1271" t="inlineStr">
        <is>
          <t>32285000779396</t>
        </is>
      </c>
      <c r="BD1271" t="inlineStr">
        <is>
          <t>893529246</t>
        </is>
      </c>
    </row>
    <row r="1272">
      <c r="A1272" t="inlineStr">
        <is>
          <t>No</t>
        </is>
      </c>
      <c r="B1272" t="inlineStr">
        <is>
          <t>RC565 .C28</t>
        </is>
      </c>
      <c r="C1272" t="inlineStr">
        <is>
          <t>0                      RC 0565000C  28</t>
        </is>
      </c>
      <c r="D1272" t="inlineStr">
        <is>
          <t>The treatment of alcoholics : an evaluative study.</t>
        </is>
      </c>
      <c r="F1272" t="inlineStr">
        <is>
          <t>No</t>
        </is>
      </c>
      <c r="G1272" t="inlineStr">
        <is>
          <t>1</t>
        </is>
      </c>
      <c r="H1272" t="inlineStr">
        <is>
          <t>No</t>
        </is>
      </c>
      <c r="I1272" t="inlineStr">
        <is>
          <t>No</t>
        </is>
      </c>
      <c r="J1272" t="inlineStr">
        <is>
          <t>0</t>
        </is>
      </c>
      <c r="K1272" t="inlineStr">
        <is>
          <t>Cahn, Sidney.</t>
        </is>
      </c>
      <c r="L1272" t="inlineStr">
        <is>
          <t>New York : Oxford University Press, 1970.</t>
        </is>
      </c>
      <c r="M1272" t="inlineStr">
        <is>
          <t>1970</t>
        </is>
      </c>
      <c r="O1272" t="inlineStr">
        <is>
          <t>eng</t>
        </is>
      </c>
      <c r="P1272" t="inlineStr">
        <is>
          <t>nyu</t>
        </is>
      </c>
      <c r="R1272" t="inlineStr">
        <is>
          <t xml:space="preserve">RC </t>
        </is>
      </c>
      <c r="S1272" t="n">
        <v>3</v>
      </c>
      <c r="T1272" t="n">
        <v>3</v>
      </c>
      <c r="U1272" t="inlineStr">
        <is>
          <t>1998-03-29</t>
        </is>
      </c>
      <c r="V1272" t="inlineStr">
        <is>
          <t>1998-03-29</t>
        </is>
      </c>
      <c r="W1272" t="inlineStr">
        <is>
          <t>1991-10-28</t>
        </is>
      </c>
      <c r="X1272" t="inlineStr">
        <is>
          <t>1991-10-28</t>
        </is>
      </c>
      <c r="Y1272" t="n">
        <v>541</v>
      </c>
      <c r="Z1272" t="n">
        <v>453</v>
      </c>
      <c r="AA1272" t="n">
        <v>461</v>
      </c>
      <c r="AB1272" t="n">
        <v>7</v>
      </c>
      <c r="AC1272" t="n">
        <v>7</v>
      </c>
      <c r="AD1272" t="n">
        <v>12</v>
      </c>
      <c r="AE1272" t="n">
        <v>12</v>
      </c>
      <c r="AF1272" t="n">
        <v>1</v>
      </c>
      <c r="AG1272" t="n">
        <v>1</v>
      </c>
      <c r="AH1272" t="n">
        <v>1</v>
      </c>
      <c r="AI1272" t="n">
        <v>1</v>
      </c>
      <c r="AJ1272" t="n">
        <v>5</v>
      </c>
      <c r="AK1272" t="n">
        <v>5</v>
      </c>
      <c r="AL1272" t="n">
        <v>5</v>
      </c>
      <c r="AM1272" t="n">
        <v>5</v>
      </c>
      <c r="AN1272" t="n">
        <v>1</v>
      </c>
      <c r="AO1272" t="n">
        <v>1</v>
      </c>
      <c r="AP1272" t="inlineStr">
        <is>
          <t>No</t>
        </is>
      </c>
      <c r="AQ1272" t="inlineStr">
        <is>
          <t>Yes</t>
        </is>
      </c>
      <c r="AR1272">
        <f>HYPERLINK("http://catalog.hathitrust.org/Record/001565233","HathiTrust Record")</f>
        <v/>
      </c>
      <c r="AS1272">
        <f>HYPERLINK("https://creighton-primo.hosted.exlibrisgroup.com/primo-explore/search?tab=default_tab&amp;search_scope=EVERYTHING&amp;vid=01CRU&amp;lang=en_US&amp;offset=0&amp;query=any,contains,991000605599702656","Catalog Record")</f>
        <v/>
      </c>
      <c r="AT1272">
        <f>HYPERLINK("http://www.worldcat.org/oclc/98964","WorldCat Record")</f>
        <v/>
      </c>
      <c r="AU1272" t="inlineStr">
        <is>
          <t>1331235:eng</t>
        </is>
      </c>
      <c r="AV1272" t="inlineStr">
        <is>
          <t>98964</t>
        </is>
      </c>
      <c r="AW1272" t="inlineStr">
        <is>
          <t>991000605599702656</t>
        </is>
      </c>
      <c r="AX1272" t="inlineStr">
        <is>
          <t>991000605599702656</t>
        </is>
      </c>
      <c r="AY1272" t="inlineStr">
        <is>
          <t>2271985260002656</t>
        </is>
      </c>
      <c r="AZ1272" t="inlineStr">
        <is>
          <t>BOOK</t>
        </is>
      </c>
      <c r="BC1272" t="inlineStr">
        <is>
          <t>32285000779222</t>
        </is>
      </c>
      <c r="BD1272" t="inlineStr">
        <is>
          <t>893595707</t>
        </is>
      </c>
    </row>
    <row r="1273">
      <c r="A1273" t="inlineStr">
        <is>
          <t>No</t>
        </is>
      </c>
      <c r="B1273" t="inlineStr">
        <is>
          <t>RC565 .C487 1982</t>
        </is>
      </c>
      <c r="C1273" t="inlineStr">
        <is>
          <t>0                      RC 0565000C  487         1982</t>
        </is>
      </c>
      <c r="D1273" t="inlineStr">
        <is>
          <t>Clinical case studies in the behavioral treatment of alcoholism / edited by William M. Hay and Peter E. Nathan.</t>
        </is>
      </c>
      <c r="F1273" t="inlineStr">
        <is>
          <t>No</t>
        </is>
      </c>
      <c r="G1273" t="inlineStr">
        <is>
          <t>1</t>
        </is>
      </c>
      <c r="H1273" t="inlineStr">
        <is>
          <t>No</t>
        </is>
      </c>
      <c r="I1273" t="inlineStr">
        <is>
          <t>No</t>
        </is>
      </c>
      <c r="J1273" t="inlineStr">
        <is>
          <t>0</t>
        </is>
      </c>
      <c r="L1273" t="inlineStr">
        <is>
          <t>New York : Plenum Press, c1982.</t>
        </is>
      </c>
      <c r="M1273" t="inlineStr">
        <is>
          <t>1982</t>
        </is>
      </c>
      <c r="O1273" t="inlineStr">
        <is>
          <t>eng</t>
        </is>
      </c>
      <c r="P1273" t="inlineStr">
        <is>
          <t>nyu</t>
        </is>
      </c>
      <c r="R1273" t="inlineStr">
        <is>
          <t xml:space="preserve">RC </t>
        </is>
      </c>
      <c r="S1273" t="n">
        <v>9</v>
      </c>
      <c r="T1273" t="n">
        <v>9</v>
      </c>
      <c r="U1273" t="inlineStr">
        <is>
          <t>2008-03-20</t>
        </is>
      </c>
      <c r="V1273" t="inlineStr">
        <is>
          <t>2008-03-20</t>
        </is>
      </c>
      <c r="W1273" t="inlineStr">
        <is>
          <t>1990-03-14</t>
        </is>
      </c>
      <c r="X1273" t="inlineStr">
        <is>
          <t>1990-03-14</t>
        </is>
      </c>
      <c r="Y1273" t="n">
        <v>276</v>
      </c>
      <c r="Z1273" t="n">
        <v>210</v>
      </c>
      <c r="AA1273" t="n">
        <v>237</v>
      </c>
      <c r="AB1273" t="n">
        <v>2</v>
      </c>
      <c r="AC1273" t="n">
        <v>2</v>
      </c>
      <c r="AD1273" t="n">
        <v>13</v>
      </c>
      <c r="AE1273" t="n">
        <v>14</v>
      </c>
      <c r="AF1273" t="n">
        <v>5</v>
      </c>
      <c r="AG1273" t="n">
        <v>6</v>
      </c>
      <c r="AH1273" t="n">
        <v>4</v>
      </c>
      <c r="AI1273" t="n">
        <v>4</v>
      </c>
      <c r="AJ1273" t="n">
        <v>7</v>
      </c>
      <c r="AK1273" t="n">
        <v>7</v>
      </c>
      <c r="AL1273" t="n">
        <v>1</v>
      </c>
      <c r="AM1273" t="n">
        <v>1</v>
      </c>
      <c r="AN1273" t="n">
        <v>0</v>
      </c>
      <c r="AO1273" t="n">
        <v>0</v>
      </c>
      <c r="AP1273" t="inlineStr">
        <is>
          <t>No</t>
        </is>
      </c>
      <c r="AQ1273" t="inlineStr">
        <is>
          <t>Yes</t>
        </is>
      </c>
      <c r="AR1273">
        <f>HYPERLINK("http://catalog.hathitrust.org/Record/000770146","HathiTrust Record")</f>
        <v/>
      </c>
      <c r="AS1273">
        <f>HYPERLINK("https://creighton-primo.hosted.exlibrisgroup.com/primo-explore/search?tab=default_tab&amp;search_scope=EVERYTHING&amp;vid=01CRU&amp;lang=en_US&amp;offset=0&amp;query=any,contains,991000076749702656","Catalog Record")</f>
        <v/>
      </c>
      <c r="AT1273">
        <f>HYPERLINK("http://www.worldcat.org/oclc/8806652","WorldCat Record")</f>
        <v/>
      </c>
      <c r="AU1273" t="inlineStr">
        <is>
          <t>355955645:eng</t>
        </is>
      </c>
      <c r="AV1273" t="inlineStr">
        <is>
          <t>8806652</t>
        </is>
      </c>
      <c r="AW1273" t="inlineStr">
        <is>
          <t>991000076749702656</t>
        </is>
      </c>
      <c r="AX1273" t="inlineStr">
        <is>
          <t>991000076749702656</t>
        </is>
      </c>
      <c r="AY1273" t="inlineStr">
        <is>
          <t>2267583530002656</t>
        </is>
      </c>
      <c r="AZ1273" t="inlineStr">
        <is>
          <t>BOOK</t>
        </is>
      </c>
      <c r="BB1273" t="inlineStr">
        <is>
          <t>9780306409400</t>
        </is>
      </c>
      <c r="BC1273" t="inlineStr">
        <is>
          <t>32285000084938</t>
        </is>
      </c>
      <c r="BD1273" t="inlineStr">
        <is>
          <t>893508495</t>
        </is>
      </c>
    </row>
    <row r="1274">
      <c r="A1274" t="inlineStr">
        <is>
          <t>No</t>
        </is>
      </c>
      <c r="B1274" t="inlineStr">
        <is>
          <t>RC565 .C78</t>
        </is>
      </c>
      <c r="C1274" t="inlineStr">
        <is>
          <t>0                      RC 0565000C  78</t>
        </is>
      </c>
      <c r="D1274" t="inlineStr">
        <is>
          <t>Logotherapy : new help for problem drinkers / by James C. Crumbaugh, William M. Wood, W. Chadwick Wood.</t>
        </is>
      </c>
      <c r="F1274" t="inlineStr">
        <is>
          <t>No</t>
        </is>
      </c>
      <c r="G1274" t="inlineStr">
        <is>
          <t>1</t>
        </is>
      </c>
      <c r="H1274" t="inlineStr">
        <is>
          <t>No</t>
        </is>
      </c>
      <c r="I1274" t="inlineStr">
        <is>
          <t>No</t>
        </is>
      </c>
      <c r="J1274" t="inlineStr">
        <is>
          <t>0</t>
        </is>
      </c>
      <c r="K1274" t="inlineStr">
        <is>
          <t>Crumbaugh, James C.</t>
        </is>
      </c>
      <c r="L1274" t="inlineStr">
        <is>
          <t>Chicago : Nelson-Hall, c1980.</t>
        </is>
      </c>
      <c r="M1274" t="inlineStr">
        <is>
          <t>1980</t>
        </is>
      </c>
      <c r="O1274" t="inlineStr">
        <is>
          <t>eng</t>
        </is>
      </c>
      <c r="P1274" t="inlineStr">
        <is>
          <t>ilu</t>
        </is>
      </c>
      <c r="R1274" t="inlineStr">
        <is>
          <t xml:space="preserve">RC </t>
        </is>
      </c>
      <c r="S1274" t="n">
        <v>1</v>
      </c>
      <c r="T1274" t="n">
        <v>1</v>
      </c>
      <c r="U1274" t="inlineStr">
        <is>
          <t>2009-06-26</t>
        </is>
      </c>
      <c r="V1274" t="inlineStr">
        <is>
          <t>2009-06-26</t>
        </is>
      </c>
      <c r="W1274" t="inlineStr">
        <is>
          <t>1993-03-23</t>
        </is>
      </c>
      <c r="X1274" t="inlineStr">
        <is>
          <t>1993-03-23</t>
        </is>
      </c>
      <c r="Y1274" t="n">
        <v>151</v>
      </c>
      <c r="Z1274" t="n">
        <v>134</v>
      </c>
      <c r="AA1274" t="n">
        <v>136</v>
      </c>
      <c r="AB1274" t="n">
        <v>4</v>
      </c>
      <c r="AC1274" t="n">
        <v>4</v>
      </c>
      <c r="AD1274" t="n">
        <v>3</v>
      </c>
      <c r="AE1274" t="n">
        <v>3</v>
      </c>
      <c r="AF1274" t="n">
        <v>1</v>
      </c>
      <c r="AG1274" t="n">
        <v>1</v>
      </c>
      <c r="AH1274" t="n">
        <v>0</v>
      </c>
      <c r="AI1274" t="n">
        <v>0</v>
      </c>
      <c r="AJ1274" t="n">
        <v>1</v>
      </c>
      <c r="AK1274" t="n">
        <v>1</v>
      </c>
      <c r="AL1274" t="n">
        <v>2</v>
      </c>
      <c r="AM1274" t="n">
        <v>2</v>
      </c>
      <c r="AN1274" t="n">
        <v>0</v>
      </c>
      <c r="AO1274" t="n">
        <v>0</v>
      </c>
      <c r="AP1274" t="inlineStr">
        <is>
          <t>No</t>
        </is>
      </c>
      <c r="AQ1274" t="inlineStr">
        <is>
          <t>Yes</t>
        </is>
      </c>
      <c r="AR1274">
        <f>HYPERLINK("http://catalog.hathitrust.org/Record/009815735","HathiTrust Record")</f>
        <v/>
      </c>
      <c r="AS1274">
        <f>HYPERLINK("https://creighton-primo.hosted.exlibrisgroup.com/primo-explore/search?tab=default_tab&amp;search_scope=EVERYTHING&amp;vid=01CRU&amp;lang=en_US&amp;offset=0&amp;query=any,contains,991004801189702656","Catalog Record")</f>
        <v/>
      </c>
      <c r="AT1274">
        <f>HYPERLINK("http://www.worldcat.org/oclc/5219062","WorldCat Record")</f>
        <v/>
      </c>
      <c r="AU1274" t="inlineStr">
        <is>
          <t>1044319043:eng</t>
        </is>
      </c>
      <c r="AV1274" t="inlineStr">
        <is>
          <t>5219062</t>
        </is>
      </c>
      <c r="AW1274" t="inlineStr">
        <is>
          <t>991004801189702656</t>
        </is>
      </c>
      <c r="AX1274" t="inlineStr">
        <is>
          <t>991004801189702656</t>
        </is>
      </c>
      <c r="AY1274" t="inlineStr">
        <is>
          <t>2268357160002656</t>
        </is>
      </c>
      <c r="AZ1274" t="inlineStr">
        <is>
          <t>BOOK</t>
        </is>
      </c>
      <c r="BB1274" t="inlineStr">
        <is>
          <t>9780882294216</t>
        </is>
      </c>
      <c r="BC1274" t="inlineStr">
        <is>
          <t>32285001607505</t>
        </is>
      </c>
      <c r="BD1274" t="inlineStr">
        <is>
          <t>893526542</t>
        </is>
      </c>
    </row>
    <row r="1275">
      <c r="A1275" t="inlineStr">
        <is>
          <t>No</t>
        </is>
      </c>
      <c r="B1275" t="inlineStr">
        <is>
          <t>RC565 .C84</t>
        </is>
      </c>
      <c r="C1275" t="inlineStr">
        <is>
          <t>0                      RC 0565000C  84</t>
        </is>
      </c>
      <c r="D1275" t="inlineStr">
        <is>
          <t>Alcohol abuse and rehabilitation approaches / [edited by] John G. Cull and Richard E. Hardy.</t>
        </is>
      </c>
      <c r="F1275" t="inlineStr">
        <is>
          <t>No</t>
        </is>
      </c>
      <c r="G1275" t="inlineStr">
        <is>
          <t>1</t>
        </is>
      </c>
      <c r="H1275" t="inlineStr">
        <is>
          <t>No</t>
        </is>
      </c>
      <c r="I1275" t="inlineStr">
        <is>
          <t>No</t>
        </is>
      </c>
      <c r="J1275" t="inlineStr">
        <is>
          <t>0</t>
        </is>
      </c>
      <c r="K1275" t="inlineStr">
        <is>
          <t>Cull, John G.</t>
        </is>
      </c>
      <c r="L1275" t="inlineStr">
        <is>
          <t>Springfield, Ill. : Thomas, [1974]</t>
        </is>
      </c>
      <c r="M1275" t="inlineStr">
        <is>
          <t>1974</t>
        </is>
      </c>
      <c r="O1275" t="inlineStr">
        <is>
          <t>eng</t>
        </is>
      </c>
      <c r="P1275" t="inlineStr">
        <is>
          <t>ilu</t>
        </is>
      </c>
      <c r="Q1275" t="inlineStr">
        <is>
          <t>American lecture series, publication no. 933. A publication in the Bannerstone division of American lectures in social and rehabilitation psychology</t>
        </is>
      </c>
      <c r="R1275" t="inlineStr">
        <is>
          <t xml:space="preserve">RC </t>
        </is>
      </c>
      <c r="S1275" t="n">
        <v>27</v>
      </c>
      <c r="T1275" t="n">
        <v>27</v>
      </c>
      <c r="U1275" t="inlineStr">
        <is>
          <t>2001-10-26</t>
        </is>
      </c>
      <c r="V1275" t="inlineStr">
        <is>
          <t>2001-10-26</t>
        </is>
      </c>
      <c r="W1275" t="inlineStr">
        <is>
          <t>1991-10-31</t>
        </is>
      </c>
      <c r="X1275" t="inlineStr">
        <is>
          <t>1991-10-31</t>
        </is>
      </c>
      <c r="Y1275" t="n">
        <v>312</v>
      </c>
      <c r="Z1275" t="n">
        <v>266</v>
      </c>
      <c r="AA1275" t="n">
        <v>274</v>
      </c>
      <c r="AB1275" t="n">
        <v>2</v>
      </c>
      <c r="AC1275" t="n">
        <v>2</v>
      </c>
      <c r="AD1275" t="n">
        <v>12</v>
      </c>
      <c r="AE1275" t="n">
        <v>12</v>
      </c>
      <c r="AF1275" t="n">
        <v>4</v>
      </c>
      <c r="AG1275" t="n">
        <v>4</v>
      </c>
      <c r="AH1275" t="n">
        <v>2</v>
      </c>
      <c r="AI1275" t="n">
        <v>2</v>
      </c>
      <c r="AJ1275" t="n">
        <v>8</v>
      </c>
      <c r="AK1275" t="n">
        <v>8</v>
      </c>
      <c r="AL1275" t="n">
        <v>1</v>
      </c>
      <c r="AM1275" t="n">
        <v>1</v>
      </c>
      <c r="AN1275" t="n">
        <v>0</v>
      </c>
      <c r="AO1275" t="n">
        <v>0</v>
      </c>
      <c r="AP1275" t="inlineStr">
        <is>
          <t>No</t>
        </is>
      </c>
      <c r="AQ1275" t="inlineStr">
        <is>
          <t>Yes</t>
        </is>
      </c>
      <c r="AR1275">
        <f>HYPERLINK("http://catalog.hathitrust.org/Record/000774392","HathiTrust Record")</f>
        <v/>
      </c>
      <c r="AS1275">
        <f>HYPERLINK("https://creighton-primo.hosted.exlibrisgroup.com/primo-explore/search?tab=default_tab&amp;search_scope=EVERYTHING&amp;vid=01CRU&amp;lang=en_US&amp;offset=0&amp;query=any,contains,991003163259702656","Catalog Record")</f>
        <v/>
      </c>
      <c r="AT1275">
        <f>HYPERLINK("http://www.worldcat.org/oclc/701629","WorldCat Record")</f>
        <v/>
      </c>
      <c r="AU1275" t="inlineStr">
        <is>
          <t>1602865:eng</t>
        </is>
      </c>
      <c r="AV1275" t="inlineStr">
        <is>
          <t>701629</t>
        </is>
      </c>
      <c r="AW1275" t="inlineStr">
        <is>
          <t>991003163259702656</t>
        </is>
      </c>
      <c r="AX1275" t="inlineStr">
        <is>
          <t>991003163259702656</t>
        </is>
      </c>
      <c r="AY1275" t="inlineStr">
        <is>
          <t>2255113030002656</t>
        </is>
      </c>
      <c r="AZ1275" t="inlineStr">
        <is>
          <t>BOOK</t>
        </is>
      </c>
      <c r="BB1275" t="inlineStr">
        <is>
          <t>9780398030179</t>
        </is>
      </c>
      <c r="BC1275" t="inlineStr">
        <is>
          <t>32285000803154</t>
        </is>
      </c>
      <c r="BD1275" t="inlineStr">
        <is>
          <t>893698714</t>
        </is>
      </c>
    </row>
    <row r="1276">
      <c r="A1276" t="inlineStr">
        <is>
          <t>No</t>
        </is>
      </c>
      <c r="B1276" t="inlineStr">
        <is>
          <t>RC565 .D597 2002</t>
        </is>
      </c>
      <c r="C1276" t="inlineStr">
        <is>
          <t>0                      RC 0565000D  597         2002</t>
        </is>
      </c>
      <c r="D1276" t="inlineStr">
        <is>
          <t>The heart of addiction / Lance M. Dodes.</t>
        </is>
      </c>
      <c r="F1276" t="inlineStr">
        <is>
          <t>No</t>
        </is>
      </c>
      <c r="G1276" t="inlineStr">
        <is>
          <t>1</t>
        </is>
      </c>
      <c r="H1276" t="inlineStr">
        <is>
          <t>No</t>
        </is>
      </c>
      <c r="I1276" t="inlineStr">
        <is>
          <t>No</t>
        </is>
      </c>
      <c r="J1276" t="inlineStr">
        <is>
          <t>0</t>
        </is>
      </c>
      <c r="K1276" t="inlineStr">
        <is>
          <t>Dodes, Lance M.</t>
        </is>
      </c>
      <c r="L1276" t="inlineStr">
        <is>
          <t>New York : HarperCollins, c2002.</t>
        </is>
      </c>
      <c r="M1276" t="inlineStr">
        <is>
          <t>2002</t>
        </is>
      </c>
      <c r="N1276" t="inlineStr">
        <is>
          <t>1st ed.</t>
        </is>
      </c>
      <c r="O1276" t="inlineStr">
        <is>
          <t>eng</t>
        </is>
      </c>
      <c r="P1276" t="inlineStr">
        <is>
          <t>nyu</t>
        </is>
      </c>
      <c r="R1276" t="inlineStr">
        <is>
          <t xml:space="preserve">RC </t>
        </is>
      </c>
      <c r="S1276" t="n">
        <v>3</v>
      </c>
      <c r="T1276" t="n">
        <v>3</v>
      </c>
      <c r="U1276" t="inlineStr">
        <is>
          <t>2007-03-26</t>
        </is>
      </c>
      <c r="V1276" t="inlineStr">
        <is>
          <t>2007-03-26</t>
        </is>
      </c>
      <c r="W1276" t="inlineStr">
        <is>
          <t>2002-11-14</t>
        </is>
      </c>
      <c r="X1276" t="inlineStr">
        <is>
          <t>2002-11-14</t>
        </is>
      </c>
      <c r="Y1276" t="n">
        <v>872</v>
      </c>
      <c r="Z1276" t="n">
        <v>825</v>
      </c>
      <c r="AA1276" t="n">
        <v>836</v>
      </c>
      <c r="AB1276" t="n">
        <v>11</v>
      </c>
      <c r="AC1276" t="n">
        <v>11</v>
      </c>
      <c r="AD1276" t="n">
        <v>16</v>
      </c>
      <c r="AE1276" t="n">
        <v>16</v>
      </c>
      <c r="AF1276" t="n">
        <v>7</v>
      </c>
      <c r="AG1276" t="n">
        <v>7</v>
      </c>
      <c r="AH1276" t="n">
        <v>1</v>
      </c>
      <c r="AI1276" t="n">
        <v>1</v>
      </c>
      <c r="AJ1276" t="n">
        <v>7</v>
      </c>
      <c r="AK1276" t="n">
        <v>7</v>
      </c>
      <c r="AL1276" t="n">
        <v>4</v>
      </c>
      <c r="AM1276" t="n">
        <v>4</v>
      </c>
      <c r="AN1276" t="n">
        <v>0</v>
      </c>
      <c r="AO1276" t="n">
        <v>0</v>
      </c>
      <c r="AP1276" t="inlineStr">
        <is>
          <t>No</t>
        </is>
      </c>
      <c r="AQ1276" t="inlineStr">
        <is>
          <t>No</t>
        </is>
      </c>
      <c r="AS1276">
        <f>HYPERLINK("https://creighton-primo.hosted.exlibrisgroup.com/primo-explore/search?tab=default_tab&amp;search_scope=EVERYTHING&amp;vid=01CRU&amp;lang=en_US&amp;offset=0&amp;query=any,contains,991003930699702656","Catalog Record")</f>
        <v/>
      </c>
      <c r="AT1276">
        <f>HYPERLINK("http://www.worldcat.org/oclc/47136434","WorldCat Record")</f>
        <v/>
      </c>
      <c r="AU1276" t="inlineStr">
        <is>
          <t>9593430960:eng</t>
        </is>
      </c>
      <c r="AV1276" t="inlineStr">
        <is>
          <t>47136434</t>
        </is>
      </c>
      <c r="AW1276" t="inlineStr">
        <is>
          <t>991003930699702656</t>
        </is>
      </c>
      <c r="AX1276" t="inlineStr">
        <is>
          <t>991003930699702656</t>
        </is>
      </c>
      <c r="AY1276" t="inlineStr">
        <is>
          <t>2270055700002656</t>
        </is>
      </c>
      <c r="AZ1276" t="inlineStr">
        <is>
          <t>BOOK</t>
        </is>
      </c>
      <c r="BB1276" t="inlineStr">
        <is>
          <t>9780060198114</t>
        </is>
      </c>
      <c r="BC1276" t="inlineStr">
        <is>
          <t>32285004663802</t>
        </is>
      </c>
      <c r="BD1276" t="inlineStr">
        <is>
          <t>893810263</t>
        </is>
      </c>
    </row>
    <row r="1277">
      <c r="A1277" t="inlineStr">
        <is>
          <t>No</t>
        </is>
      </c>
      <c r="B1277" t="inlineStr">
        <is>
          <t>RC565 .E44 1984</t>
        </is>
      </c>
      <c r="C1277" t="inlineStr">
        <is>
          <t>0                      RC 0565000E  44          1984</t>
        </is>
      </c>
      <c r="D1277" t="inlineStr">
        <is>
          <t>Families under the influence : changing alcoholic patterns / Michael Elkin.</t>
        </is>
      </c>
      <c r="F1277" t="inlineStr">
        <is>
          <t>No</t>
        </is>
      </c>
      <c r="G1277" t="inlineStr">
        <is>
          <t>1</t>
        </is>
      </c>
      <c r="H1277" t="inlineStr">
        <is>
          <t>No</t>
        </is>
      </c>
      <c r="I1277" t="inlineStr">
        <is>
          <t>No</t>
        </is>
      </c>
      <c r="J1277" t="inlineStr">
        <is>
          <t>0</t>
        </is>
      </c>
      <c r="K1277" t="inlineStr">
        <is>
          <t>Elkin, Michael.</t>
        </is>
      </c>
      <c r="L1277" t="inlineStr">
        <is>
          <t>New York : Norton, c1984.</t>
        </is>
      </c>
      <c r="M1277" t="inlineStr">
        <is>
          <t>1984</t>
        </is>
      </c>
      <c r="N1277" t="inlineStr">
        <is>
          <t>1st ed.</t>
        </is>
      </c>
      <c r="O1277" t="inlineStr">
        <is>
          <t>eng</t>
        </is>
      </c>
      <c r="P1277" t="inlineStr">
        <is>
          <t>nyu</t>
        </is>
      </c>
      <c r="R1277" t="inlineStr">
        <is>
          <t xml:space="preserve">RC </t>
        </is>
      </c>
      <c r="S1277" t="n">
        <v>37</v>
      </c>
      <c r="T1277" t="n">
        <v>37</v>
      </c>
      <c r="U1277" t="inlineStr">
        <is>
          <t>2006-04-23</t>
        </is>
      </c>
      <c r="V1277" t="inlineStr">
        <is>
          <t>2006-04-23</t>
        </is>
      </c>
      <c r="W1277" t="inlineStr">
        <is>
          <t>1990-02-06</t>
        </is>
      </c>
      <c r="X1277" t="inlineStr">
        <is>
          <t>1990-02-06</t>
        </is>
      </c>
      <c r="Y1277" t="n">
        <v>558</v>
      </c>
      <c r="Z1277" t="n">
        <v>491</v>
      </c>
      <c r="AA1277" t="n">
        <v>540</v>
      </c>
      <c r="AB1277" t="n">
        <v>5</v>
      </c>
      <c r="AC1277" t="n">
        <v>5</v>
      </c>
      <c r="AD1277" t="n">
        <v>12</v>
      </c>
      <c r="AE1277" t="n">
        <v>13</v>
      </c>
      <c r="AF1277" t="n">
        <v>3</v>
      </c>
      <c r="AG1277" t="n">
        <v>3</v>
      </c>
      <c r="AH1277" t="n">
        <v>2</v>
      </c>
      <c r="AI1277" t="n">
        <v>3</v>
      </c>
      <c r="AJ1277" t="n">
        <v>7</v>
      </c>
      <c r="AK1277" t="n">
        <v>7</v>
      </c>
      <c r="AL1277" t="n">
        <v>3</v>
      </c>
      <c r="AM1277" t="n">
        <v>3</v>
      </c>
      <c r="AN1277" t="n">
        <v>0</v>
      </c>
      <c r="AO1277" t="n">
        <v>0</v>
      </c>
      <c r="AP1277" t="inlineStr">
        <is>
          <t>No</t>
        </is>
      </c>
      <c r="AQ1277" t="inlineStr">
        <is>
          <t>No</t>
        </is>
      </c>
      <c r="AS1277">
        <f>HYPERLINK("https://creighton-primo.hosted.exlibrisgroup.com/primo-explore/search?tab=default_tab&amp;search_scope=EVERYTHING&amp;vid=01CRU&amp;lang=en_US&amp;offset=0&amp;query=any,contains,991000298299702656","Catalog Record")</f>
        <v/>
      </c>
      <c r="AT1277">
        <f>HYPERLINK("http://www.worldcat.org/oclc/10019031","WorldCat Record")</f>
        <v/>
      </c>
      <c r="AU1277" t="inlineStr">
        <is>
          <t>3159303:eng</t>
        </is>
      </c>
      <c r="AV1277" t="inlineStr">
        <is>
          <t>10019031</t>
        </is>
      </c>
      <c r="AW1277" t="inlineStr">
        <is>
          <t>991000298299702656</t>
        </is>
      </c>
      <c r="AX1277" t="inlineStr">
        <is>
          <t>991000298299702656</t>
        </is>
      </c>
      <c r="AY1277" t="inlineStr">
        <is>
          <t>2268971500002656</t>
        </is>
      </c>
      <c r="AZ1277" t="inlineStr">
        <is>
          <t>BOOK</t>
        </is>
      </c>
      <c r="BB1277" t="inlineStr">
        <is>
          <t>9780393017700</t>
        </is>
      </c>
      <c r="BC1277" t="inlineStr">
        <is>
          <t>32285000039601</t>
        </is>
      </c>
      <c r="BD1277" t="inlineStr">
        <is>
          <t>893607796</t>
        </is>
      </c>
    </row>
    <row r="1278">
      <c r="A1278" t="inlineStr">
        <is>
          <t>No</t>
        </is>
      </c>
      <c r="B1278" t="inlineStr">
        <is>
          <t>RC565 .E46</t>
        </is>
      </c>
      <c r="C1278" t="inlineStr">
        <is>
          <t>0                      RC 0565000E  46</t>
        </is>
      </c>
      <c r="D1278" t="inlineStr">
        <is>
          <t>Emerging concepts of alcohol dependence / [edited by] E. Mansell Pattison, Mark B. Sobell, and Linda C. Sobell.</t>
        </is>
      </c>
      <c r="F1278" t="inlineStr">
        <is>
          <t>No</t>
        </is>
      </c>
      <c r="G1278" t="inlineStr">
        <is>
          <t>1</t>
        </is>
      </c>
      <c r="H1278" t="inlineStr">
        <is>
          <t>No</t>
        </is>
      </c>
      <c r="I1278" t="inlineStr">
        <is>
          <t>No</t>
        </is>
      </c>
      <c r="J1278" t="inlineStr">
        <is>
          <t>0</t>
        </is>
      </c>
      <c r="L1278" t="inlineStr">
        <is>
          <t>New York : Springer Pub. Co., c1977.</t>
        </is>
      </c>
      <c r="M1278" t="inlineStr">
        <is>
          <t>1977</t>
        </is>
      </c>
      <c r="O1278" t="inlineStr">
        <is>
          <t>eng</t>
        </is>
      </c>
      <c r="P1278" t="inlineStr">
        <is>
          <t>nyu</t>
        </is>
      </c>
      <c r="R1278" t="inlineStr">
        <is>
          <t xml:space="preserve">RC </t>
        </is>
      </c>
      <c r="S1278" t="n">
        <v>4</v>
      </c>
      <c r="T1278" t="n">
        <v>4</v>
      </c>
      <c r="U1278" t="inlineStr">
        <is>
          <t>1998-03-25</t>
        </is>
      </c>
      <c r="V1278" t="inlineStr">
        <is>
          <t>1998-03-25</t>
        </is>
      </c>
      <c r="W1278" t="inlineStr">
        <is>
          <t>1997-08-12</t>
        </is>
      </c>
      <c r="X1278" t="inlineStr">
        <is>
          <t>1997-08-12</t>
        </is>
      </c>
      <c r="Y1278" t="n">
        <v>581</v>
      </c>
      <c r="Z1278" t="n">
        <v>518</v>
      </c>
      <c r="AA1278" t="n">
        <v>533</v>
      </c>
      <c r="AB1278" t="n">
        <v>6</v>
      </c>
      <c r="AC1278" t="n">
        <v>6</v>
      </c>
      <c r="AD1278" t="n">
        <v>22</v>
      </c>
      <c r="AE1278" t="n">
        <v>24</v>
      </c>
      <c r="AF1278" t="n">
        <v>7</v>
      </c>
      <c r="AG1278" t="n">
        <v>8</v>
      </c>
      <c r="AH1278" t="n">
        <v>4</v>
      </c>
      <c r="AI1278" t="n">
        <v>5</v>
      </c>
      <c r="AJ1278" t="n">
        <v>12</v>
      </c>
      <c r="AK1278" t="n">
        <v>12</v>
      </c>
      <c r="AL1278" t="n">
        <v>5</v>
      </c>
      <c r="AM1278" t="n">
        <v>5</v>
      </c>
      <c r="AN1278" t="n">
        <v>0</v>
      </c>
      <c r="AO1278" t="n">
        <v>0</v>
      </c>
      <c r="AP1278" t="inlineStr">
        <is>
          <t>No</t>
        </is>
      </c>
      <c r="AQ1278" t="inlineStr">
        <is>
          <t>Yes</t>
        </is>
      </c>
      <c r="AR1278">
        <f>HYPERLINK("http://catalog.hathitrust.org/Record/000727604","HathiTrust Record")</f>
        <v/>
      </c>
      <c r="AS1278">
        <f>HYPERLINK("https://creighton-primo.hosted.exlibrisgroup.com/primo-explore/search?tab=default_tab&amp;search_scope=EVERYTHING&amp;vid=01CRU&amp;lang=en_US&amp;offset=0&amp;query=any,contains,991004270319702656","Catalog Record")</f>
        <v/>
      </c>
      <c r="AT1278">
        <f>HYPERLINK("http://www.worldcat.org/oclc/2875368","WorldCat Record")</f>
        <v/>
      </c>
      <c r="AU1278" t="inlineStr">
        <is>
          <t>6412141:eng</t>
        </is>
      </c>
      <c r="AV1278" t="inlineStr">
        <is>
          <t>2875368</t>
        </is>
      </c>
      <c r="AW1278" t="inlineStr">
        <is>
          <t>991004270319702656</t>
        </is>
      </c>
      <c r="AX1278" t="inlineStr">
        <is>
          <t>991004270319702656</t>
        </is>
      </c>
      <c r="AY1278" t="inlineStr">
        <is>
          <t>2259482300002656</t>
        </is>
      </c>
      <c r="AZ1278" t="inlineStr">
        <is>
          <t>BOOK</t>
        </is>
      </c>
      <c r="BB1278" t="inlineStr">
        <is>
          <t>9780826119506</t>
        </is>
      </c>
      <c r="BC1278" t="inlineStr">
        <is>
          <t>32285003092532</t>
        </is>
      </c>
      <c r="BD1278" t="inlineStr">
        <is>
          <t>893532203</t>
        </is>
      </c>
    </row>
    <row r="1279">
      <c r="A1279" t="inlineStr">
        <is>
          <t>No</t>
        </is>
      </c>
      <c r="B1279" t="inlineStr">
        <is>
          <t>RC565 .F58 1978</t>
        </is>
      </c>
      <c r="C1279" t="inlineStr">
        <is>
          <t>0                      RC 0565000F  58          1978</t>
        </is>
      </c>
      <c r="D1279" t="inlineStr">
        <is>
          <t>The diagnosis and treatment of alcoholism / by Gary G. Forrest.</t>
        </is>
      </c>
      <c r="F1279" t="inlineStr">
        <is>
          <t>No</t>
        </is>
      </c>
      <c r="G1279" t="inlineStr">
        <is>
          <t>1</t>
        </is>
      </c>
      <c r="H1279" t="inlineStr">
        <is>
          <t>No</t>
        </is>
      </c>
      <c r="I1279" t="inlineStr">
        <is>
          <t>No</t>
        </is>
      </c>
      <c r="J1279" t="inlineStr">
        <is>
          <t>0</t>
        </is>
      </c>
      <c r="K1279" t="inlineStr">
        <is>
          <t>Forrest, Gary G.</t>
        </is>
      </c>
      <c r="L1279" t="inlineStr">
        <is>
          <t>Springfield, Ill. : Thomas, c1978.</t>
        </is>
      </c>
      <c r="M1279" t="inlineStr">
        <is>
          <t>1978</t>
        </is>
      </c>
      <c r="N1279" t="inlineStr">
        <is>
          <t>2d ed.</t>
        </is>
      </c>
      <c r="O1279" t="inlineStr">
        <is>
          <t>eng</t>
        </is>
      </c>
      <c r="P1279" t="inlineStr">
        <is>
          <t>ilu</t>
        </is>
      </c>
      <c r="R1279" t="inlineStr">
        <is>
          <t xml:space="preserve">RC </t>
        </is>
      </c>
      <c r="S1279" t="n">
        <v>8</v>
      </c>
      <c r="T1279" t="n">
        <v>8</v>
      </c>
      <c r="U1279" t="inlineStr">
        <is>
          <t>2000-03-02</t>
        </is>
      </c>
      <c r="V1279" t="inlineStr">
        <is>
          <t>2000-03-02</t>
        </is>
      </c>
      <c r="W1279" t="inlineStr">
        <is>
          <t>1990-03-20</t>
        </is>
      </c>
      <c r="X1279" t="inlineStr">
        <is>
          <t>1990-03-20</t>
        </is>
      </c>
      <c r="Y1279" t="n">
        <v>256</v>
      </c>
      <c r="Z1279" t="n">
        <v>225</v>
      </c>
      <c r="AA1279" t="n">
        <v>404</v>
      </c>
      <c r="AB1279" t="n">
        <v>4</v>
      </c>
      <c r="AC1279" t="n">
        <v>4</v>
      </c>
      <c r="AD1279" t="n">
        <v>7</v>
      </c>
      <c r="AE1279" t="n">
        <v>11</v>
      </c>
      <c r="AF1279" t="n">
        <v>2</v>
      </c>
      <c r="AG1279" t="n">
        <v>3</v>
      </c>
      <c r="AH1279" t="n">
        <v>0</v>
      </c>
      <c r="AI1279" t="n">
        <v>1</v>
      </c>
      <c r="AJ1279" t="n">
        <v>4</v>
      </c>
      <c r="AK1279" t="n">
        <v>7</v>
      </c>
      <c r="AL1279" t="n">
        <v>2</v>
      </c>
      <c r="AM1279" t="n">
        <v>2</v>
      </c>
      <c r="AN1279" t="n">
        <v>0</v>
      </c>
      <c r="AO1279" t="n">
        <v>0</v>
      </c>
      <c r="AP1279" t="inlineStr">
        <is>
          <t>No</t>
        </is>
      </c>
      <c r="AQ1279" t="inlineStr">
        <is>
          <t>Yes</t>
        </is>
      </c>
      <c r="AR1279">
        <f>HYPERLINK("http://catalog.hathitrust.org/Record/004422674","HathiTrust Record")</f>
        <v/>
      </c>
      <c r="AS1279">
        <f>HYPERLINK("https://creighton-primo.hosted.exlibrisgroup.com/primo-explore/search?tab=default_tab&amp;search_scope=EVERYTHING&amp;vid=01CRU&amp;lang=en_US&amp;offset=0&amp;query=any,contains,991004459409702656","Catalog Record")</f>
        <v/>
      </c>
      <c r="AT1279">
        <f>HYPERLINK("http://www.worldcat.org/oclc/3542106","WorldCat Record")</f>
        <v/>
      </c>
      <c r="AU1279" t="inlineStr">
        <is>
          <t>3769602445:eng</t>
        </is>
      </c>
      <c r="AV1279" t="inlineStr">
        <is>
          <t>3542106</t>
        </is>
      </c>
      <c r="AW1279" t="inlineStr">
        <is>
          <t>991004459409702656</t>
        </is>
      </c>
      <c r="AX1279" t="inlineStr">
        <is>
          <t>991004459409702656</t>
        </is>
      </c>
      <c r="AY1279" t="inlineStr">
        <is>
          <t>2264386800002656</t>
        </is>
      </c>
      <c r="AZ1279" t="inlineStr">
        <is>
          <t>BOOK</t>
        </is>
      </c>
      <c r="BB1279" t="inlineStr">
        <is>
          <t>9780398037796</t>
        </is>
      </c>
      <c r="BC1279" t="inlineStr">
        <is>
          <t>32285000088590</t>
        </is>
      </c>
      <c r="BD1279" t="inlineStr">
        <is>
          <t>893259751</t>
        </is>
      </c>
    </row>
    <row r="1280">
      <c r="A1280" t="inlineStr">
        <is>
          <t>No</t>
        </is>
      </c>
      <c r="B1280" t="inlineStr">
        <is>
          <t>RC565 .G33 1987</t>
        </is>
      </c>
      <c r="C1280" t="inlineStr">
        <is>
          <t>0                      RC 0565000G  33          1987</t>
        </is>
      </c>
      <c r="D1280" t="inlineStr">
        <is>
          <t>Alcoholism : a guide to diagnosis, intervention, and treatment / Donald M. Gallant.</t>
        </is>
      </c>
      <c r="F1280" t="inlineStr">
        <is>
          <t>No</t>
        </is>
      </c>
      <c r="G1280" t="inlineStr">
        <is>
          <t>1</t>
        </is>
      </c>
      <c r="H1280" t="inlineStr">
        <is>
          <t>No</t>
        </is>
      </c>
      <c r="I1280" t="inlineStr">
        <is>
          <t>No</t>
        </is>
      </c>
      <c r="J1280" t="inlineStr">
        <is>
          <t>0</t>
        </is>
      </c>
      <c r="K1280" t="inlineStr">
        <is>
          <t>Gallant, Donald M., 1929-</t>
        </is>
      </c>
      <c r="L1280" t="inlineStr">
        <is>
          <t>New York : Norton, 1987.</t>
        </is>
      </c>
      <c r="M1280" t="inlineStr">
        <is>
          <t>1988</t>
        </is>
      </c>
      <c r="O1280" t="inlineStr">
        <is>
          <t>eng</t>
        </is>
      </c>
      <c r="P1280" t="inlineStr">
        <is>
          <t>nyu</t>
        </is>
      </c>
      <c r="R1280" t="inlineStr">
        <is>
          <t xml:space="preserve">RC </t>
        </is>
      </c>
      <c r="S1280" t="n">
        <v>28</v>
      </c>
      <c r="T1280" t="n">
        <v>28</v>
      </c>
      <c r="U1280" t="inlineStr">
        <is>
          <t>2000-04-04</t>
        </is>
      </c>
      <c r="V1280" t="inlineStr">
        <is>
          <t>2000-04-04</t>
        </is>
      </c>
      <c r="W1280" t="inlineStr">
        <is>
          <t>1990-02-06</t>
        </is>
      </c>
      <c r="X1280" t="inlineStr">
        <is>
          <t>1990-02-06</t>
        </is>
      </c>
      <c r="Y1280" t="n">
        <v>360</v>
      </c>
      <c r="Z1280" t="n">
        <v>310</v>
      </c>
      <c r="AA1280" t="n">
        <v>311</v>
      </c>
      <c r="AB1280" t="n">
        <v>4</v>
      </c>
      <c r="AC1280" t="n">
        <v>4</v>
      </c>
      <c r="AD1280" t="n">
        <v>15</v>
      </c>
      <c r="AE1280" t="n">
        <v>15</v>
      </c>
      <c r="AF1280" t="n">
        <v>5</v>
      </c>
      <c r="AG1280" t="n">
        <v>5</v>
      </c>
      <c r="AH1280" t="n">
        <v>2</v>
      </c>
      <c r="AI1280" t="n">
        <v>2</v>
      </c>
      <c r="AJ1280" t="n">
        <v>9</v>
      </c>
      <c r="AK1280" t="n">
        <v>9</v>
      </c>
      <c r="AL1280" t="n">
        <v>3</v>
      </c>
      <c r="AM1280" t="n">
        <v>3</v>
      </c>
      <c r="AN1280" t="n">
        <v>0</v>
      </c>
      <c r="AO1280" t="n">
        <v>0</v>
      </c>
      <c r="AP1280" t="inlineStr">
        <is>
          <t>No</t>
        </is>
      </c>
      <c r="AQ1280" t="inlineStr">
        <is>
          <t>No</t>
        </is>
      </c>
      <c r="AS1280">
        <f>HYPERLINK("https://creighton-primo.hosted.exlibrisgroup.com/primo-explore/search?tab=default_tab&amp;search_scope=EVERYTHING&amp;vid=01CRU&amp;lang=en_US&amp;offset=0&amp;query=any,contains,991001121169702656","Catalog Record")</f>
        <v/>
      </c>
      <c r="AT1280">
        <f>HYPERLINK("http://www.worldcat.org/oclc/16580998","WorldCat Record")</f>
        <v/>
      </c>
      <c r="AU1280" t="inlineStr">
        <is>
          <t>311977340:eng</t>
        </is>
      </c>
      <c r="AV1280" t="inlineStr">
        <is>
          <t>16580998</t>
        </is>
      </c>
      <c r="AW1280" t="inlineStr">
        <is>
          <t>991001121169702656</t>
        </is>
      </c>
      <c r="AX1280" t="inlineStr">
        <is>
          <t>991001121169702656</t>
        </is>
      </c>
      <c r="AY1280" t="inlineStr">
        <is>
          <t>2260308190002656</t>
        </is>
      </c>
      <c r="AZ1280" t="inlineStr">
        <is>
          <t>BOOK</t>
        </is>
      </c>
      <c r="BB1280" t="inlineStr">
        <is>
          <t>9780393700435</t>
        </is>
      </c>
      <c r="BC1280" t="inlineStr">
        <is>
          <t>32285000039593</t>
        </is>
      </c>
      <c r="BD1280" t="inlineStr">
        <is>
          <t>893690360</t>
        </is>
      </c>
    </row>
    <row r="1281">
      <c r="A1281" t="inlineStr">
        <is>
          <t>No</t>
        </is>
      </c>
      <c r="B1281" t="inlineStr">
        <is>
          <t>RC565 .G638 1994</t>
        </is>
      </c>
      <c r="C1281" t="inlineStr">
        <is>
          <t>0                      RC 0565000G  638         1994</t>
        </is>
      </c>
      <c r="D1281" t="inlineStr">
        <is>
          <t>Alcoholism : the facts / by Donald W. Goodwin.</t>
        </is>
      </c>
      <c r="F1281" t="inlineStr">
        <is>
          <t>No</t>
        </is>
      </c>
      <c r="G1281" t="inlineStr">
        <is>
          <t>1</t>
        </is>
      </c>
      <c r="H1281" t="inlineStr">
        <is>
          <t>No</t>
        </is>
      </c>
      <c r="I1281" t="inlineStr">
        <is>
          <t>No</t>
        </is>
      </c>
      <c r="J1281" t="inlineStr">
        <is>
          <t>0</t>
        </is>
      </c>
      <c r="K1281" t="inlineStr">
        <is>
          <t>Goodwin, Donald W.</t>
        </is>
      </c>
      <c r="L1281" t="inlineStr">
        <is>
          <t>Oxford ; New York : Oxford University Press, 1994.</t>
        </is>
      </c>
      <c r="M1281" t="inlineStr">
        <is>
          <t>1994</t>
        </is>
      </c>
      <c r="N1281" t="inlineStr">
        <is>
          <t>2nd ed.</t>
        </is>
      </c>
      <c r="O1281" t="inlineStr">
        <is>
          <t>eng</t>
        </is>
      </c>
      <c r="P1281" t="inlineStr">
        <is>
          <t>enk</t>
        </is>
      </c>
      <c r="Q1281" t="inlineStr">
        <is>
          <t>Oxford medical publications</t>
        </is>
      </c>
      <c r="R1281" t="inlineStr">
        <is>
          <t xml:space="preserve">RC </t>
        </is>
      </c>
      <c r="S1281" t="n">
        <v>43</v>
      </c>
      <c r="T1281" t="n">
        <v>43</v>
      </c>
      <c r="U1281" t="inlineStr">
        <is>
          <t>2006-09-19</t>
        </is>
      </c>
      <c r="V1281" t="inlineStr">
        <is>
          <t>2006-09-19</t>
        </is>
      </c>
      <c r="W1281" t="inlineStr">
        <is>
          <t>1995-12-27</t>
        </is>
      </c>
      <c r="X1281" t="inlineStr">
        <is>
          <t>1995-12-27</t>
        </is>
      </c>
      <c r="Y1281" t="n">
        <v>336</v>
      </c>
      <c r="Z1281" t="n">
        <v>258</v>
      </c>
      <c r="AA1281" t="n">
        <v>1181</v>
      </c>
      <c r="AB1281" t="n">
        <v>3</v>
      </c>
      <c r="AC1281" t="n">
        <v>10</v>
      </c>
      <c r="AD1281" t="n">
        <v>6</v>
      </c>
      <c r="AE1281" t="n">
        <v>36</v>
      </c>
      <c r="AF1281" t="n">
        <v>0</v>
      </c>
      <c r="AG1281" t="n">
        <v>14</v>
      </c>
      <c r="AH1281" t="n">
        <v>0</v>
      </c>
      <c r="AI1281" t="n">
        <v>7</v>
      </c>
      <c r="AJ1281" t="n">
        <v>3</v>
      </c>
      <c r="AK1281" t="n">
        <v>11</v>
      </c>
      <c r="AL1281" t="n">
        <v>2</v>
      </c>
      <c r="AM1281" t="n">
        <v>8</v>
      </c>
      <c r="AN1281" t="n">
        <v>1</v>
      </c>
      <c r="AO1281" t="n">
        <v>1</v>
      </c>
      <c r="AP1281" t="inlineStr">
        <is>
          <t>No</t>
        </is>
      </c>
      <c r="AQ1281" t="inlineStr">
        <is>
          <t>Yes</t>
        </is>
      </c>
      <c r="AR1281">
        <f>HYPERLINK("http://catalog.hathitrust.org/Record/002937938","HathiTrust Record")</f>
        <v/>
      </c>
      <c r="AS1281">
        <f>HYPERLINK("https://creighton-primo.hosted.exlibrisgroup.com/primo-explore/search?tab=default_tab&amp;search_scope=EVERYTHING&amp;vid=01CRU&amp;lang=en_US&amp;offset=0&amp;query=any,contains,991002230629702656","Catalog Record")</f>
        <v/>
      </c>
      <c r="AT1281">
        <f>HYPERLINK("http://www.worldcat.org/oclc/28722392","WorldCat Record")</f>
        <v/>
      </c>
      <c r="AU1281" t="inlineStr">
        <is>
          <t>116100118:eng</t>
        </is>
      </c>
      <c r="AV1281" t="inlineStr">
        <is>
          <t>28722392</t>
        </is>
      </c>
      <c r="AW1281" t="inlineStr">
        <is>
          <t>991002230629702656</t>
        </is>
      </c>
      <c r="AX1281" t="inlineStr">
        <is>
          <t>991002230629702656</t>
        </is>
      </c>
      <c r="AY1281" t="inlineStr">
        <is>
          <t>2265697370002656</t>
        </is>
      </c>
      <c r="AZ1281" t="inlineStr">
        <is>
          <t>BOOK</t>
        </is>
      </c>
      <c r="BB1281" t="inlineStr">
        <is>
          <t>9780192623386</t>
        </is>
      </c>
      <c r="BC1281" t="inlineStr">
        <is>
          <t>32285002113487</t>
        </is>
      </c>
      <c r="BD1281" t="inlineStr">
        <is>
          <t>893785881</t>
        </is>
      </c>
    </row>
    <row r="1282">
      <c r="A1282" t="inlineStr">
        <is>
          <t>No</t>
        </is>
      </c>
      <c r="B1282" t="inlineStr">
        <is>
          <t>RC565 .G64</t>
        </is>
      </c>
      <c r="C1282" t="inlineStr">
        <is>
          <t>0                      RC 0565000G  64</t>
        </is>
      </c>
      <c r="D1282" t="inlineStr">
        <is>
          <t>Is alcoholism hereditary? / Donald Goodwin.</t>
        </is>
      </c>
      <c r="F1282" t="inlineStr">
        <is>
          <t>No</t>
        </is>
      </c>
      <c r="G1282" t="inlineStr">
        <is>
          <t>1</t>
        </is>
      </c>
      <c r="H1282" t="inlineStr">
        <is>
          <t>No</t>
        </is>
      </c>
      <c r="I1282" t="inlineStr">
        <is>
          <t>No</t>
        </is>
      </c>
      <c r="J1282" t="inlineStr">
        <is>
          <t>0</t>
        </is>
      </c>
      <c r="K1282" t="inlineStr">
        <is>
          <t>Goodwin, Donald W.</t>
        </is>
      </c>
      <c r="L1282" t="inlineStr">
        <is>
          <t>New York : Oxford University Press, 1976.</t>
        </is>
      </c>
      <c r="M1282" t="inlineStr">
        <is>
          <t>1976</t>
        </is>
      </c>
      <c r="O1282" t="inlineStr">
        <is>
          <t>eng</t>
        </is>
      </c>
      <c r="P1282" t="inlineStr">
        <is>
          <t>nyu</t>
        </is>
      </c>
      <c r="R1282" t="inlineStr">
        <is>
          <t xml:space="preserve">RC </t>
        </is>
      </c>
      <c r="S1282" t="n">
        <v>11</v>
      </c>
      <c r="T1282" t="n">
        <v>11</v>
      </c>
      <c r="U1282" t="inlineStr">
        <is>
          <t>2006-09-19</t>
        </is>
      </c>
      <c r="V1282" t="inlineStr">
        <is>
          <t>2006-09-19</t>
        </is>
      </c>
      <c r="W1282" t="inlineStr">
        <is>
          <t>1994-04-19</t>
        </is>
      </c>
      <c r="X1282" t="inlineStr">
        <is>
          <t>1994-04-19</t>
        </is>
      </c>
      <c r="Y1282" t="n">
        <v>676</v>
      </c>
      <c r="Z1282" t="n">
        <v>567</v>
      </c>
      <c r="AA1282" t="n">
        <v>696</v>
      </c>
      <c r="AB1282" t="n">
        <v>6</v>
      </c>
      <c r="AC1282" t="n">
        <v>6</v>
      </c>
      <c r="AD1282" t="n">
        <v>20</v>
      </c>
      <c r="AE1282" t="n">
        <v>24</v>
      </c>
      <c r="AF1282" t="n">
        <v>5</v>
      </c>
      <c r="AG1282" t="n">
        <v>6</v>
      </c>
      <c r="AH1282" t="n">
        <v>4</v>
      </c>
      <c r="AI1282" t="n">
        <v>5</v>
      </c>
      <c r="AJ1282" t="n">
        <v>13</v>
      </c>
      <c r="AK1282" t="n">
        <v>15</v>
      </c>
      <c r="AL1282" t="n">
        <v>4</v>
      </c>
      <c r="AM1282" t="n">
        <v>4</v>
      </c>
      <c r="AN1282" t="n">
        <v>0</v>
      </c>
      <c r="AO1282" t="n">
        <v>0</v>
      </c>
      <c r="AP1282" t="inlineStr">
        <is>
          <t>No</t>
        </is>
      </c>
      <c r="AQ1282" t="inlineStr">
        <is>
          <t>Yes</t>
        </is>
      </c>
      <c r="AR1282">
        <f>HYPERLINK("http://catalog.hathitrust.org/Record/000696650","HathiTrust Record")</f>
        <v/>
      </c>
      <c r="AS1282">
        <f>HYPERLINK("https://creighton-primo.hosted.exlibrisgroup.com/primo-explore/search?tab=default_tab&amp;search_scope=EVERYTHING&amp;vid=01CRU&amp;lang=en_US&amp;offset=0&amp;query=any,contains,991004038149702656","Catalog Record")</f>
        <v/>
      </c>
      <c r="AT1282">
        <f>HYPERLINK("http://www.worldcat.org/oclc/2180037","WorldCat Record")</f>
        <v/>
      </c>
      <c r="AU1282" t="inlineStr">
        <is>
          <t>4190653:eng</t>
        </is>
      </c>
      <c r="AV1282" t="inlineStr">
        <is>
          <t>2180037</t>
        </is>
      </c>
      <c r="AW1282" t="inlineStr">
        <is>
          <t>991004038149702656</t>
        </is>
      </c>
      <c r="AX1282" t="inlineStr">
        <is>
          <t>991004038149702656</t>
        </is>
      </c>
      <c r="AY1282" t="inlineStr">
        <is>
          <t>2263660420002656</t>
        </is>
      </c>
      <c r="AZ1282" t="inlineStr">
        <is>
          <t>BOOK</t>
        </is>
      </c>
      <c r="BB1282" t="inlineStr">
        <is>
          <t>9780195020090</t>
        </is>
      </c>
      <c r="BC1282" t="inlineStr">
        <is>
          <t>32285001890036</t>
        </is>
      </c>
      <c r="BD1282" t="inlineStr">
        <is>
          <t>893806574</t>
        </is>
      </c>
    </row>
    <row r="1283">
      <c r="A1283" t="inlineStr">
        <is>
          <t>No</t>
        </is>
      </c>
      <c r="B1283" t="inlineStr">
        <is>
          <t>RC565 .H26 1989</t>
        </is>
      </c>
      <c r="C1283" t="inlineStr">
        <is>
          <t>0                      RC 0565000H  26          1989</t>
        </is>
      </c>
      <c r="D1283" t="inlineStr">
        <is>
          <t>Handbook of alcoholism treatment approaches : effective alternatives / edited by Reid K. Hester, William R. Miller.</t>
        </is>
      </c>
      <c r="F1283" t="inlineStr">
        <is>
          <t>No</t>
        </is>
      </c>
      <c r="G1283" t="inlineStr">
        <is>
          <t>1</t>
        </is>
      </c>
      <c r="H1283" t="inlineStr">
        <is>
          <t>No</t>
        </is>
      </c>
      <c r="I1283" t="inlineStr">
        <is>
          <t>No</t>
        </is>
      </c>
      <c r="J1283" t="inlineStr">
        <is>
          <t>0</t>
        </is>
      </c>
      <c r="L1283" t="inlineStr">
        <is>
          <t>New York : Pergamon Press, c1989.</t>
        </is>
      </c>
      <c r="M1283" t="inlineStr">
        <is>
          <t>1989</t>
        </is>
      </c>
      <c r="O1283" t="inlineStr">
        <is>
          <t>eng</t>
        </is>
      </c>
      <c r="P1283" t="inlineStr">
        <is>
          <t>nyu</t>
        </is>
      </c>
      <c r="Q1283" t="inlineStr">
        <is>
          <t>Pergamon general psychology series ; 157</t>
        </is>
      </c>
      <c r="R1283" t="inlineStr">
        <is>
          <t xml:space="preserve">RC </t>
        </is>
      </c>
      <c r="S1283" t="n">
        <v>22</v>
      </c>
      <c r="T1283" t="n">
        <v>22</v>
      </c>
      <c r="U1283" t="inlineStr">
        <is>
          <t>2010-11-17</t>
        </is>
      </c>
      <c r="V1283" t="inlineStr">
        <is>
          <t>2010-11-17</t>
        </is>
      </c>
      <c r="W1283" t="inlineStr">
        <is>
          <t>1991-06-06</t>
        </is>
      </c>
      <c r="X1283" t="inlineStr">
        <is>
          <t>1991-06-06</t>
        </is>
      </c>
      <c r="Y1283" t="n">
        <v>438</v>
      </c>
      <c r="Z1283" t="n">
        <v>332</v>
      </c>
      <c r="AA1283" t="n">
        <v>339</v>
      </c>
      <c r="AB1283" t="n">
        <v>2</v>
      </c>
      <c r="AC1283" t="n">
        <v>2</v>
      </c>
      <c r="AD1283" t="n">
        <v>12</v>
      </c>
      <c r="AE1283" t="n">
        <v>12</v>
      </c>
      <c r="AF1283" t="n">
        <v>2</v>
      </c>
      <c r="AG1283" t="n">
        <v>2</v>
      </c>
      <c r="AH1283" t="n">
        <v>3</v>
      </c>
      <c r="AI1283" t="n">
        <v>3</v>
      </c>
      <c r="AJ1283" t="n">
        <v>8</v>
      </c>
      <c r="AK1283" t="n">
        <v>8</v>
      </c>
      <c r="AL1283" t="n">
        <v>1</v>
      </c>
      <c r="AM1283" t="n">
        <v>1</v>
      </c>
      <c r="AN1283" t="n">
        <v>0</v>
      </c>
      <c r="AO1283" t="n">
        <v>0</v>
      </c>
      <c r="AP1283" t="inlineStr">
        <is>
          <t>No</t>
        </is>
      </c>
      <c r="AQ1283" t="inlineStr">
        <is>
          <t>Yes</t>
        </is>
      </c>
      <c r="AR1283">
        <f>HYPERLINK("http://catalog.hathitrust.org/Record/001091158","HathiTrust Record")</f>
        <v/>
      </c>
      <c r="AS1283">
        <f>HYPERLINK("https://creighton-primo.hosted.exlibrisgroup.com/primo-explore/search?tab=default_tab&amp;search_scope=EVERYTHING&amp;vid=01CRU&amp;lang=en_US&amp;offset=0&amp;query=any,contains,991001321109702656","Catalog Record")</f>
        <v/>
      </c>
      <c r="AT1283">
        <f>HYPERLINK("http://www.worldcat.org/oclc/18224741","WorldCat Record")</f>
        <v/>
      </c>
      <c r="AU1283" t="inlineStr">
        <is>
          <t>10792209754:eng</t>
        </is>
      </c>
      <c r="AV1283" t="inlineStr">
        <is>
          <t>18224741</t>
        </is>
      </c>
      <c r="AW1283" t="inlineStr">
        <is>
          <t>991001321109702656</t>
        </is>
      </c>
      <c r="AX1283" t="inlineStr">
        <is>
          <t>991001321109702656</t>
        </is>
      </c>
      <c r="AY1283" t="inlineStr">
        <is>
          <t>2263905280002656</t>
        </is>
      </c>
      <c r="AZ1283" t="inlineStr">
        <is>
          <t>BOOK</t>
        </is>
      </c>
      <c r="BB1283" t="inlineStr">
        <is>
          <t>9780080364285</t>
        </is>
      </c>
      <c r="BC1283" t="inlineStr">
        <is>
          <t>32285000593441</t>
        </is>
      </c>
      <c r="BD1283" t="inlineStr">
        <is>
          <t>893522495</t>
        </is>
      </c>
    </row>
    <row r="1284">
      <c r="A1284" t="inlineStr">
        <is>
          <t>No</t>
        </is>
      </c>
      <c r="B1284" t="inlineStr">
        <is>
          <t>RC565 .I34 1983</t>
        </is>
      </c>
      <c r="C1284" t="inlineStr">
        <is>
          <t>0                      RC 0565000I  34          1983</t>
        </is>
      </c>
      <c r="D1284" t="inlineStr">
        <is>
          <t>Identifying and measuring alcoholic personality characteristics / W. Miles Cox, editor.</t>
        </is>
      </c>
      <c r="F1284" t="inlineStr">
        <is>
          <t>No</t>
        </is>
      </c>
      <c r="G1284" t="inlineStr">
        <is>
          <t>1</t>
        </is>
      </c>
      <c r="H1284" t="inlineStr">
        <is>
          <t>No</t>
        </is>
      </c>
      <c r="I1284" t="inlineStr">
        <is>
          <t>No</t>
        </is>
      </c>
      <c r="J1284" t="inlineStr">
        <is>
          <t>0</t>
        </is>
      </c>
      <c r="L1284" t="inlineStr">
        <is>
          <t>San Francisco : Jossey-Bass, c1983.</t>
        </is>
      </c>
      <c r="M1284" t="inlineStr">
        <is>
          <t>1983</t>
        </is>
      </c>
      <c r="O1284" t="inlineStr">
        <is>
          <t>eng</t>
        </is>
      </c>
      <c r="P1284" t="inlineStr">
        <is>
          <t>cau</t>
        </is>
      </c>
      <c r="Q1284" t="inlineStr">
        <is>
          <t>New directions for methodology of social and behavioral science, 0271-1249 ; no. 16</t>
        </is>
      </c>
      <c r="R1284" t="inlineStr">
        <is>
          <t xml:space="preserve">RC </t>
        </is>
      </c>
      <c r="S1284" t="n">
        <v>11</v>
      </c>
      <c r="T1284" t="n">
        <v>11</v>
      </c>
      <c r="U1284" t="inlineStr">
        <is>
          <t>2006-09-19</t>
        </is>
      </c>
      <c r="V1284" t="inlineStr">
        <is>
          <t>2006-09-19</t>
        </is>
      </c>
      <c r="W1284" t="inlineStr">
        <is>
          <t>1991-10-28</t>
        </is>
      </c>
      <c r="X1284" t="inlineStr">
        <is>
          <t>1991-10-28</t>
        </is>
      </c>
      <c r="Y1284" t="n">
        <v>183</v>
      </c>
      <c r="Z1284" t="n">
        <v>161</v>
      </c>
      <c r="AA1284" t="n">
        <v>166</v>
      </c>
      <c r="AB1284" t="n">
        <v>2</v>
      </c>
      <c r="AC1284" t="n">
        <v>2</v>
      </c>
      <c r="AD1284" t="n">
        <v>6</v>
      </c>
      <c r="AE1284" t="n">
        <v>6</v>
      </c>
      <c r="AF1284" t="n">
        <v>0</v>
      </c>
      <c r="AG1284" t="n">
        <v>0</v>
      </c>
      <c r="AH1284" t="n">
        <v>1</v>
      </c>
      <c r="AI1284" t="n">
        <v>1</v>
      </c>
      <c r="AJ1284" t="n">
        <v>5</v>
      </c>
      <c r="AK1284" t="n">
        <v>5</v>
      </c>
      <c r="AL1284" t="n">
        <v>1</v>
      </c>
      <c r="AM1284" t="n">
        <v>1</v>
      </c>
      <c r="AN1284" t="n">
        <v>0</v>
      </c>
      <c r="AO1284" t="n">
        <v>0</v>
      </c>
      <c r="AP1284" t="inlineStr">
        <is>
          <t>No</t>
        </is>
      </c>
      <c r="AQ1284" t="inlineStr">
        <is>
          <t>No</t>
        </is>
      </c>
      <c r="AS1284">
        <f>HYPERLINK("https://creighton-primo.hosted.exlibrisgroup.com/primo-explore/search?tab=default_tab&amp;search_scope=EVERYTHING&amp;vid=01CRU&amp;lang=en_US&amp;offset=0&amp;query=any,contains,991000283849702656","Catalog Record")</f>
        <v/>
      </c>
      <c r="AT1284">
        <f>HYPERLINK("http://www.worldcat.org/oclc/9925778","WorldCat Record")</f>
        <v/>
      </c>
      <c r="AU1284" t="inlineStr">
        <is>
          <t>43964351:eng</t>
        </is>
      </c>
      <c r="AV1284" t="inlineStr">
        <is>
          <t>9925778</t>
        </is>
      </c>
      <c r="AW1284" t="inlineStr">
        <is>
          <t>991000283849702656</t>
        </is>
      </c>
      <c r="AX1284" t="inlineStr">
        <is>
          <t>991000283849702656</t>
        </is>
      </c>
      <c r="AY1284" t="inlineStr">
        <is>
          <t>2255852520002656</t>
        </is>
      </c>
      <c r="AZ1284" t="inlineStr">
        <is>
          <t>BOOK</t>
        </is>
      </c>
      <c r="BB1284" t="inlineStr">
        <is>
          <t>9780875899640</t>
        </is>
      </c>
      <c r="BC1284" t="inlineStr">
        <is>
          <t>32285000802065</t>
        </is>
      </c>
      <c r="BD1284" t="inlineStr">
        <is>
          <t>893595448</t>
        </is>
      </c>
    </row>
    <row r="1285">
      <c r="A1285" t="inlineStr">
        <is>
          <t>No</t>
        </is>
      </c>
      <c r="B1285" t="inlineStr">
        <is>
          <t>RC565 .J858 2001</t>
        </is>
      </c>
      <c r="C1285" t="inlineStr">
        <is>
          <t>0                      RC 0565000J  858         2001</t>
        </is>
      </c>
      <c r="D1285" t="inlineStr">
        <is>
          <t>Psychology of alcohol and other drugs : a research perspective / John Jung.</t>
        </is>
      </c>
      <c r="F1285" t="inlineStr">
        <is>
          <t>No</t>
        </is>
      </c>
      <c r="G1285" t="inlineStr">
        <is>
          <t>1</t>
        </is>
      </c>
      <c r="H1285" t="inlineStr">
        <is>
          <t>No</t>
        </is>
      </c>
      <c r="I1285" t="inlineStr">
        <is>
          <t>No</t>
        </is>
      </c>
      <c r="J1285" t="inlineStr">
        <is>
          <t>0</t>
        </is>
      </c>
      <c r="K1285" t="inlineStr">
        <is>
          <t>Jung, John, 1937-</t>
        </is>
      </c>
      <c r="L1285" t="inlineStr">
        <is>
          <t>Thousand Oaks, Calif. : Sage Publications, Inc., c2001.</t>
        </is>
      </c>
      <c r="M1285" t="inlineStr">
        <is>
          <t>2001</t>
        </is>
      </c>
      <c r="O1285" t="inlineStr">
        <is>
          <t>eng</t>
        </is>
      </c>
      <c r="P1285" t="inlineStr">
        <is>
          <t>cau</t>
        </is>
      </c>
      <c r="R1285" t="inlineStr">
        <is>
          <t xml:space="preserve">RC </t>
        </is>
      </c>
      <c r="S1285" t="n">
        <v>11</v>
      </c>
      <c r="T1285" t="n">
        <v>11</v>
      </c>
      <c r="U1285" t="inlineStr">
        <is>
          <t>2010-05-19</t>
        </is>
      </c>
      <c r="V1285" t="inlineStr">
        <is>
          <t>2010-05-19</t>
        </is>
      </c>
      <c r="W1285" t="inlineStr">
        <is>
          <t>2003-04-02</t>
        </is>
      </c>
      <c r="X1285" t="inlineStr">
        <is>
          <t>2003-04-02</t>
        </is>
      </c>
      <c r="Y1285" t="n">
        <v>374</v>
      </c>
      <c r="Z1285" t="n">
        <v>296</v>
      </c>
      <c r="AA1285" t="n">
        <v>302</v>
      </c>
      <c r="AB1285" t="n">
        <v>4</v>
      </c>
      <c r="AC1285" t="n">
        <v>4</v>
      </c>
      <c r="AD1285" t="n">
        <v>15</v>
      </c>
      <c r="AE1285" t="n">
        <v>15</v>
      </c>
      <c r="AF1285" t="n">
        <v>6</v>
      </c>
      <c r="AG1285" t="n">
        <v>6</v>
      </c>
      <c r="AH1285" t="n">
        <v>2</v>
      </c>
      <c r="AI1285" t="n">
        <v>2</v>
      </c>
      <c r="AJ1285" t="n">
        <v>8</v>
      </c>
      <c r="AK1285" t="n">
        <v>8</v>
      </c>
      <c r="AL1285" t="n">
        <v>3</v>
      </c>
      <c r="AM1285" t="n">
        <v>3</v>
      </c>
      <c r="AN1285" t="n">
        <v>0</v>
      </c>
      <c r="AO1285" t="n">
        <v>0</v>
      </c>
      <c r="AP1285" t="inlineStr">
        <is>
          <t>No</t>
        </is>
      </c>
      <c r="AQ1285" t="inlineStr">
        <is>
          <t>No</t>
        </is>
      </c>
      <c r="AS1285">
        <f>HYPERLINK("https://creighton-primo.hosted.exlibrisgroup.com/primo-explore/search?tab=default_tab&amp;search_scope=EVERYTHING&amp;vid=01CRU&amp;lang=en_US&amp;offset=0&amp;query=any,contains,991004008299702656","Catalog Record")</f>
        <v/>
      </c>
      <c r="AT1285">
        <f>HYPERLINK("http://www.worldcat.org/oclc/43708430","WorldCat Record")</f>
        <v/>
      </c>
      <c r="AU1285" t="inlineStr">
        <is>
          <t>836998172:eng</t>
        </is>
      </c>
      <c r="AV1285" t="inlineStr">
        <is>
          <t>43708430</t>
        </is>
      </c>
      <c r="AW1285" t="inlineStr">
        <is>
          <t>991004008299702656</t>
        </is>
      </c>
      <c r="AX1285" t="inlineStr">
        <is>
          <t>991004008299702656</t>
        </is>
      </c>
      <c r="AY1285" t="inlineStr">
        <is>
          <t>2255451880002656</t>
        </is>
      </c>
      <c r="AZ1285" t="inlineStr">
        <is>
          <t>BOOK</t>
        </is>
      </c>
      <c r="BB1285" t="inlineStr">
        <is>
          <t>9780761921004</t>
        </is>
      </c>
      <c r="BC1285" t="inlineStr">
        <is>
          <t>32285004689021</t>
        </is>
      </c>
      <c r="BD1285" t="inlineStr">
        <is>
          <t>893618112</t>
        </is>
      </c>
    </row>
    <row r="1286">
      <c r="A1286" t="inlineStr">
        <is>
          <t>No</t>
        </is>
      </c>
      <c r="B1286" t="inlineStr">
        <is>
          <t>RC565 .K4</t>
        </is>
      </c>
      <c r="C1286" t="inlineStr">
        <is>
          <t>0                      RC 0565000K  4</t>
        </is>
      </c>
      <c r="D1286" t="inlineStr">
        <is>
          <t>Alcoholism / [by] Neil Kessel and Henry Walton.</t>
        </is>
      </c>
      <c r="F1286" t="inlineStr">
        <is>
          <t>No</t>
        </is>
      </c>
      <c r="G1286" t="inlineStr">
        <is>
          <t>1</t>
        </is>
      </c>
      <c r="H1286" t="inlineStr">
        <is>
          <t>No</t>
        </is>
      </c>
      <c r="I1286" t="inlineStr">
        <is>
          <t>No</t>
        </is>
      </c>
      <c r="J1286" t="inlineStr">
        <is>
          <t>0</t>
        </is>
      </c>
      <c r="K1286" t="inlineStr">
        <is>
          <t>Kessel, Neil.</t>
        </is>
      </c>
      <c r="L1286" t="inlineStr">
        <is>
          <t>Baltimore : Penguin Books, [1965]</t>
        </is>
      </c>
      <c r="M1286" t="inlineStr">
        <is>
          <t>1965</t>
        </is>
      </c>
      <c r="O1286" t="inlineStr">
        <is>
          <t>eng</t>
        </is>
      </c>
      <c r="P1286" t="inlineStr">
        <is>
          <t>mdu</t>
        </is>
      </c>
      <c r="Q1286" t="inlineStr">
        <is>
          <t>Pelican book ; A774</t>
        </is>
      </c>
      <c r="R1286" t="inlineStr">
        <is>
          <t xml:space="preserve">RC </t>
        </is>
      </c>
      <c r="S1286" t="n">
        <v>21</v>
      </c>
      <c r="T1286" t="n">
        <v>21</v>
      </c>
      <c r="U1286" t="inlineStr">
        <is>
          <t>2000-10-04</t>
        </is>
      </c>
      <c r="V1286" t="inlineStr">
        <is>
          <t>2000-10-04</t>
        </is>
      </c>
      <c r="W1286" t="inlineStr">
        <is>
          <t>1992-04-15</t>
        </is>
      </c>
      <c r="X1286" t="inlineStr">
        <is>
          <t>1992-04-15</t>
        </is>
      </c>
      <c r="Y1286" t="n">
        <v>196</v>
      </c>
      <c r="Z1286" t="n">
        <v>147</v>
      </c>
      <c r="AA1286" t="n">
        <v>147</v>
      </c>
      <c r="AB1286" t="n">
        <v>2</v>
      </c>
      <c r="AC1286" t="n">
        <v>2</v>
      </c>
      <c r="AD1286" t="n">
        <v>2</v>
      </c>
      <c r="AE1286" t="n">
        <v>2</v>
      </c>
      <c r="AF1286" t="n">
        <v>0</v>
      </c>
      <c r="AG1286" t="n">
        <v>0</v>
      </c>
      <c r="AH1286" t="n">
        <v>0</v>
      </c>
      <c r="AI1286" t="n">
        <v>0</v>
      </c>
      <c r="AJ1286" t="n">
        <v>1</v>
      </c>
      <c r="AK1286" t="n">
        <v>1</v>
      </c>
      <c r="AL1286" t="n">
        <v>1</v>
      </c>
      <c r="AM1286" t="n">
        <v>1</v>
      </c>
      <c r="AN1286" t="n">
        <v>0</v>
      </c>
      <c r="AO1286" t="n">
        <v>0</v>
      </c>
      <c r="AP1286" t="inlineStr">
        <is>
          <t>No</t>
        </is>
      </c>
      <c r="AQ1286" t="inlineStr">
        <is>
          <t>No</t>
        </is>
      </c>
      <c r="AS1286">
        <f>HYPERLINK("https://creighton-primo.hosted.exlibrisgroup.com/primo-explore/search?tab=default_tab&amp;search_scope=EVERYTHING&amp;vid=01CRU&amp;lang=en_US&amp;offset=0&amp;query=any,contains,991004074159702656","Catalog Record")</f>
        <v/>
      </c>
      <c r="AT1286">
        <f>HYPERLINK("http://www.worldcat.org/oclc/2314442","WorldCat Record")</f>
        <v/>
      </c>
      <c r="AU1286" t="inlineStr">
        <is>
          <t>8907739033:eng</t>
        </is>
      </c>
      <c r="AV1286" t="inlineStr">
        <is>
          <t>2314442</t>
        </is>
      </c>
      <c r="AW1286" t="inlineStr">
        <is>
          <t>991004074159702656</t>
        </is>
      </c>
      <c r="AX1286" t="inlineStr">
        <is>
          <t>991004074159702656</t>
        </is>
      </c>
      <c r="AY1286" t="inlineStr">
        <is>
          <t>2263723210002656</t>
        </is>
      </c>
      <c r="AZ1286" t="inlineStr">
        <is>
          <t>BOOK</t>
        </is>
      </c>
      <c r="BC1286" t="inlineStr">
        <is>
          <t>32285001060598</t>
        </is>
      </c>
      <c r="BD1286" t="inlineStr">
        <is>
          <t>893800556</t>
        </is>
      </c>
    </row>
    <row r="1287">
      <c r="A1287" t="inlineStr">
        <is>
          <t>No</t>
        </is>
      </c>
      <c r="B1287" t="inlineStr">
        <is>
          <t>RC565 .L538 1988</t>
        </is>
      </c>
      <c r="C1287" t="inlineStr">
        <is>
          <t>0                      RC 0565000L  538         1988</t>
        </is>
      </c>
      <c r="D1287" t="inlineStr">
        <is>
          <t>Alcoholism and women, genetics, and fetal development / by William J. Haugen Light.</t>
        </is>
      </c>
      <c r="F1287" t="inlineStr">
        <is>
          <t>No</t>
        </is>
      </c>
      <c r="G1287" t="inlineStr">
        <is>
          <t>1</t>
        </is>
      </c>
      <c r="H1287" t="inlineStr">
        <is>
          <t>No</t>
        </is>
      </c>
      <c r="I1287" t="inlineStr">
        <is>
          <t>No</t>
        </is>
      </c>
      <c r="J1287" t="inlineStr">
        <is>
          <t>0</t>
        </is>
      </c>
      <c r="K1287" t="inlineStr">
        <is>
          <t>Light, William J. Haugen.</t>
        </is>
      </c>
      <c r="L1287" t="inlineStr">
        <is>
          <t>Springfield, Ill., U.S.A. : Thomas, c1988.</t>
        </is>
      </c>
      <c r="M1287" t="inlineStr">
        <is>
          <t>1988</t>
        </is>
      </c>
      <c r="O1287" t="inlineStr">
        <is>
          <t>eng</t>
        </is>
      </c>
      <c r="P1287" t="inlineStr">
        <is>
          <t>ilu</t>
        </is>
      </c>
      <c r="R1287" t="inlineStr">
        <is>
          <t xml:space="preserve">RC </t>
        </is>
      </c>
      <c r="S1287" t="n">
        <v>44</v>
      </c>
      <c r="T1287" t="n">
        <v>44</v>
      </c>
      <c r="U1287" t="inlineStr">
        <is>
          <t>2008-06-24</t>
        </is>
      </c>
      <c r="V1287" t="inlineStr">
        <is>
          <t>2008-06-24</t>
        </is>
      </c>
      <c r="W1287" t="inlineStr">
        <is>
          <t>1991-10-23</t>
        </is>
      </c>
      <c r="X1287" t="inlineStr">
        <is>
          <t>1991-10-23</t>
        </is>
      </c>
      <c r="Y1287" t="n">
        <v>177</v>
      </c>
      <c r="Z1287" t="n">
        <v>147</v>
      </c>
      <c r="AA1287" t="n">
        <v>149</v>
      </c>
      <c r="AB1287" t="n">
        <v>1</v>
      </c>
      <c r="AC1287" t="n">
        <v>1</v>
      </c>
      <c r="AD1287" t="n">
        <v>7</v>
      </c>
      <c r="AE1287" t="n">
        <v>7</v>
      </c>
      <c r="AF1287" t="n">
        <v>2</v>
      </c>
      <c r="AG1287" t="n">
        <v>2</v>
      </c>
      <c r="AH1287" t="n">
        <v>1</v>
      </c>
      <c r="AI1287" t="n">
        <v>1</v>
      </c>
      <c r="AJ1287" t="n">
        <v>7</v>
      </c>
      <c r="AK1287" t="n">
        <v>7</v>
      </c>
      <c r="AL1287" t="n">
        <v>0</v>
      </c>
      <c r="AM1287" t="n">
        <v>0</v>
      </c>
      <c r="AN1287" t="n">
        <v>0</v>
      </c>
      <c r="AO1287" t="n">
        <v>0</v>
      </c>
      <c r="AP1287" t="inlineStr">
        <is>
          <t>No</t>
        </is>
      </c>
      <c r="AQ1287" t="inlineStr">
        <is>
          <t>Yes</t>
        </is>
      </c>
      <c r="AR1287">
        <f>HYPERLINK("http://catalog.hathitrust.org/Record/000913540","HathiTrust Record")</f>
        <v/>
      </c>
      <c r="AS1287">
        <f>HYPERLINK("https://creighton-primo.hosted.exlibrisgroup.com/primo-explore/search?tab=default_tab&amp;search_scope=EVERYTHING&amp;vid=01CRU&amp;lang=en_US&amp;offset=0&amp;query=any,contains,991001118909702656","Catalog Record")</f>
        <v/>
      </c>
      <c r="AT1287">
        <f>HYPERLINK("http://www.worldcat.org/oclc/16577689","WorldCat Record")</f>
        <v/>
      </c>
      <c r="AU1287" t="inlineStr">
        <is>
          <t>12379618:eng</t>
        </is>
      </c>
      <c r="AV1287" t="inlineStr">
        <is>
          <t>16577689</t>
        </is>
      </c>
      <c r="AW1287" t="inlineStr">
        <is>
          <t>991001118909702656</t>
        </is>
      </c>
      <c r="AX1287" t="inlineStr">
        <is>
          <t>991001118909702656</t>
        </is>
      </c>
      <c r="AY1287" t="inlineStr">
        <is>
          <t>2256150020002656</t>
        </is>
      </c>
      <c r="AZ1287" t="inlineStr">
        <is>
          <t>BOOK</t>
        </is>
      </c>
      <c r="BB1287" t="inlineStr">
        <is>
          <t>9780398053994</t>
        </is>
      </c>
      <c r="BC1287" t="inlineStr">
        <is>
          <t>32285004856018</t>
        </is>
      </c>
      <c r="BD1287" t="inlineStr">
        <is>
          <t>893614797</t>
        </is>
      </c>
    </row>
    <row r="1288">
      <c r="A1288" t="inlineStr">
        <is>
          <t>No</t>
        </is>
      </c>
      <c r="B1288" t="inlineStr">
        <is>
          <t>RC565 .M346 1983</t>
        </is>
      </c>
      <c r="C1288" t="inlineStr">
        <is>
          <t>0                      RC 0565000M  346         1983</t>
        </is>
      </c>
      <c r="D1288" t="inlineStr">
        <is>
          <t>Medical and social aspects of alcohol abuse / edited by Boris Tabakoff, Patricia B. Sutker, and Carrie L. Randall.</t>
        </is>
      </c>
      <c r="F1288" t="inlineStr">
        <is>
          <t>No</t>
        </is>
      </c>
      <c r="G1288" t="inlineStr">
        <is>
          <t>1</t>
        </is>
      </c>
      <c r="H1288" t="inlineStr">
        <is>
          <t>Yes</t>
        </is>
      </c>
      <c r="I1288" t="inlineStr">
        <is>
          <t>No</t>
        </is>
      </c>
      <c r="J1288" t="inlineStr">
        <is>
          <t>0</t>
        </is>
      </c>
      <c r="L1288" t="inlineStr">
        <is>
          <t>New York : Plenum Press, c1983.</t>
        </is>
      </c>
      <c r="M1288" t="inlineStr">
        <is>
          <t>1983</t>
        </is>
      </c>
      <c r="O1288" t="inlineStr">
        <is>
          <t>eng</t>
        </is>
      </c>
      <c r="P1288" t="inlineStr">
        <is>
          <t>nyu</t>
        </is>
      </c>
      <c r="R1288" t="inlineStr">
        <is>
          <t xml:space="preserve">RC </t>
        </is>
      </c>
      <c r="S1288" t="n">
        <v>18</v>
      </c>
      <c r="T1288" t="n">
        <v>18</v>
      </c>
      <c r="U1288" t="inlineStr">
        <is>
          <t>2005-09-20</t>
        </is>
      </c>
      <c r="V1288" t="inlineStr">
        <is>
          <t>2005-09-20</t>
        </is>
      </c>
      <c r="W1288" t="inlineStr">
        <is>
          <t>1991-10-29</t>
        </is>
      </c>
      <c r="X1288" t="inlineStr">
        <is>
          <t>1991-10-29</t>
        </is>
      </c>
      <c r="Y1288" t="n">
        <v>449</v>
      </c>
      <c r="Z1288" t="n">
        <v>386</v>
      </c>
      <c r="AA1288" t="n">
        <v>399</v>
      </c>
      <c r="AB1288" t="n">
        <v>5</v>
      </c>
      <c r="AC1288" t="n">
        <v>5</v>
      </c>
      <c r="AD1288" t="n">
        <v>18</v>
      </c>
      <c r="AE1288" t="n">
        <v>18</v>
      </c>
      <c r="AF1288" t="n">
        <v>7</v>
      </c>
      <c r="AG1288" t="n">
        <v>7</v>
      </c>
      <c r="AH1288" t="n">
        <v>4</v>
      </c>
      <c r="AI1288" t="n">
        <v>4</v>
      </c>
      <c r="AJ1288" t="n">
        <v>10</v>
      </c>
      <c r="AK1288" t="n">
        <v>10</v>
      </c>
      <c r="AL1288" t="n">
        <v>3</v>
      </c>
      <c r="AM1288" t="n">
        <v>3</v>
      </c>
      <c r="AN1288" t="n">
        <v>0</v>
      </c>
      <c r="AO1288" t="n">
        <v>0</v>
      </c>
      <c r="AP1288" t="inlineStr">
        <is>
          <t>No</t>
        </is>
      </c>
      <c r="AQ1288" t="inlineStr">
        <is>
          <t>No</t>
        </is>
      </c>
      <c r="AS1288">
        <f>HYPERLINK("https://creighton-primo.hosted.exlibrisgroup.com/primo-explore/search?tab=default_tab&amp;search_scope=EVERYTHING&amp;vid=01CRU&amp;lang=en_US&amp;offset=0&amp;query=any,contains,991000201929702656","Catalog Record")</f>
        <v/>
      </c>
      <c r="AT1288">
        <f>HYPERLINK("http://www.worldcat.org/oclc/9465473","WorldCat Record")</f>
        <v/>
      </c>
      <c r="AU1288" t="inlineStr">
        <is>
          <t>43446047:eng</t>
        </is>
      </c>
      <c r="AV1288" t="inlineStr">
        <is>
          <t>9465473</t>
        </is>
      </c>
      <c r="AW1288" t="inlineStr">
        <is>
          <t>991000201929702656</t>
        </is>
      </c>
      <c r="AX1288" t="inlineStr">
        <is>
          <t>991000201929702656</t>
        </is>
      </c>
      <c r="AY1288" t="inlineStr">
        <is>
          <t>2264813420002656</t>
        </is>
      </c>
      <c r="AZ1288" t="inlineStr">
        <is>
          <t>BOOK</t>
        </is>
      </c>
      <c r="BB1288" t="inlineStr">
        <is>
          <t>9780306412219</t>
        </is>
      </c>
      <c r="BC1288" t="inlineStr">
        <is>
          <t>32285000803162</t>
        </is>
      </c>
      <c r="BD1288" t="inlineStr">
        <is>
          <t>893345474</t>
        </is>
      </c>
    </row>
    <row r="1289">
      <c r="A1289" t="inlineStr">
        <is>
          <t>No</t>
        </is>
      </c>
      <c r="B1289" t="inlineStr">
        <is>
          <t>RC565 .M42 1977b</t>
        </is>
      </c>
      <c r="C1289" t="inlineStr">
        <is>
          <t>0                      RC 0565000M  42          1977b</t>
        </is>
      </c>
      <c r="D1289" t="inlineStr">
        <is>
          <t>Metabolic aspects of alcoholism / edited by Charles S. Lieber.</t>
        </is>
      </c>
      <c r="F1289" t="inlineStr">
        <is>
          <t>No</t>
        </is>
      </c>
      <c r="G1289" t="inlineStr">
        <is>
          <t>1</t>
        </is>
      </c>
      <c r="H1289" t="inlineStr">
        <is>
          <t>No</t>
        </is>
      </c>
      <c r="I1289" t="inlineStr">
        <is>
          <t>No</t>
        </is>
      </c>
      <c r="J1289" t="inlineStr">
        <is>
          <t>0</t>
        </is>
      </c>
      <c r="L1289" t="inlineStr">
        <is>
          <t>Lancaster [Eng.] : MTP Press, c1977.</t>
        </is>
      </c>
      <c r="M1289" t="inlineStr">
        <is>
          <t>1977</t>
        </is>
      </c>
      <c r="O1289" t="inlineStr">
        <is>
          <t>eng</t>
        </is>
      </c>
      <c r="P1289" t="inlineStr">
        <is>
          <t>enk</t>
        </is>
      </c>
      <c r="R1289" t="inlineStr">
        <is>
          <t xml:space="preserve">RC </t>
        </is>
      </c>
      <c r="S1289" t="n">
        <v>8</v>
      </c>
      <c r="T1289" t="n">
        <v>8</v>
      </c>
      <c r="U1289" t="inlineStr">
        <is>
          <t>2002-09-09</t>
        </is>
      </c>
      <c r="V1289" t="inlineStr">
        <is>
          <t>2002-09-09</t>
        </is>
      </c>
      <c r="W1289" t="inlineStr">
        <is>
          <t>1992-03-24</t>
        </is>
      </c>
      <c r="X1289" t="inlineStr">
        <is>
          <t>1992-03-24</t>
        </is>
      </c>
      <c r="Y1289" t="n">
        <v>155</v>
      </c>
      <c r="Z1289" t="n">
        <v>112</v>
      </c>
      <c r="AA1289" t="n">
        <v>278</v>
      </c>
      <c r="AB1289" t="n">
        <v>1</v>
      </c>
      <c r="AC1289" t="n">
        <v>1</v>
      </c>
      <c r="AD1289" t="n">
        <v>3</v>
      </c>
      <c r="AE1289" t="n">
        <v>4</v>
      </c>
      <c r="AF1289" t="n">
        <v>0</v>
      </c>
      <c r="AG1289" t="n">
        <v>0</v>
      </c>
      <c r="AH1289" t="n">
        <v>1</v>
      </c>
      <c r="AI1289" t="n">
        <v>2</v>
      </c>
      <c r="AJ1289" t="n">
        <v>2</v>
      </c>
      <c r="AK1289" t="n">
        <v>3</v>
      </c>
      <c r="AL1289" t="n">
        <v>0</v>
      </c>
      <c r="AM1289" t="n">
        <v>0</v>
      </c>
      <c r="AN1289" t="n">
        <v>0</v>
      </c>
      <c r="AO1289" t="n">
        <v>0</v>
      </c>
      <c r="AP1289" t="inlineStr">
        <is>
          <t>No</t>
        </is>
      </c>
      <c r="AQ1289" t="inlineStr">
        <is>
          <t>Yes</t>
        </is>
      </c>
      <c r="AR1289">
        <f>HYPERLINK("http://catalog.hathitrust.org/Record/009081180","HathiTrust Record")</f>
        <v/>
      </c>
      <c r="AS1289">
        <f>HYPERLINK("https://creighton-primo.hosted.exlibrisgroup.com/primo-explore/search?tab=default_tab&amp;search_scope=EVERYTHING&amp;vid=01CRU&amp;lang=en_US&amp;offset=0&amp;query=any,contains,991004230889702656","Catalog Record")</f>
        <v/>
      </c>
      <c r="AT1289">
        <f>HYPERLINK("http://www.worldcat.org/oclc/2746339","WorldCat Record")</f>
        <v/>
      </c>
      <c r="AU1289" t="inlineStr">
        <is>
          <t>192943770:eng</t>
        </is>
      </c>
      <c r="AV1289" t="inlineStr">
        <is>
          <t>2746339</t>
        </is>
      </c>
      <c r="AW1289" t="inlineStr">
        <is>
          <t>991004230889702656</t>
        </is>
      </c>
      <c r="AX1289" t="inlineStr">
        <is>
          <t>991004230889702656</t>
        </is>
      </c>
      <c r="AY1289" t="inlineStr">
        <is>
          <t>2259078410002656</t>
        </is>
      </c>
      <c r="AZ1289" t="inlineStr">
        <is>
          <t>BOOK</t>
        </is>
      </c>
      <c r="BB1289" t="inlineStr">
        <is>
          <t>9780852001295</t>
        </is>
      </c>
      <c r="BC1289" t="inlineStr">
        <is>
          <t>32285001026631</t>
        </is>
      </c>
      <c r="BD1289" t="inlineStr">
        <is>
          <t>893869458</t>
        </is>
      </c>
    </row>
    <row r="1290">
      <c r="A1290" t="inlineStr">
        <is>
          <t>No</t>
        </is>
      </c>
      <c r="B1290" t="inlineStr">
        <is>
          <t>RC565 .M424 1988</t>
        </is>
      </c>
      <c r="C1290" t="inlineStr">
        <is>
          <t>0                      RC 0565000M  424         1988</t>
        </is>
      </c>
      <c r="D1290" t="inlineStr">
        <is>
          <t>From denial to recovery : counseling problem drinkers, alcoholics, and their families / Lawrence Metzger.</t>
        </is>
      </c>
      <c r="F1290" t="inlineStr">
        <is>
          <t>No</t>
        </is>
      </c>
      <c r="G1290" t="inlineStr">
        <is>
          <t>1</t>
        </is>
      </c>
      <c r="H1290" t="inlineStr">
        <is>
          <t>No</t>
        </is>
      </c>
      <c r="I1290" t="inlineStr">
        <is>
          <t>No</t>
        </is>
      </c>
      <c r="J1290" t="inlineStr">
        <is>
          <t>0</t>
        </is>
      </c>
      <c r="K1290" t="inlineStr">
        <is>
          <t>Metzger, Lawrence, 1933-</t>
        </is>
      </c>
      <c r="L1290" t="inlineStr">
        <is>
          <t>San Francisco : Jossey-Bass Publishers, c1988.</t>
        </is>
      </c>
      <c r="M1290" t="inlineStr">
        <is>
          <t>1988</t>
        </is>
      </c>
      <c r="N1290" t="inlineStr">
        <is>
          <t>1st ed.</t>
        </is>
      </c>
      <c r="O1290" t="inlineStr">
        <is>
          <t>eng</t>
        </is>
      </c>
      <c r="P1290" t="inlineStr">
        <is>
          <t>cau</t>
        </is>
      </c>
      <c r="Q1290" t="inlineStr">
        <is>
          <t>A Joint publication in the Jossey-Bass social and behavioral science series and the Jossey-Bass health series</t>
        </is>
      </c>
      <c r="R1290" t="inlineStr">
        <is>
          <t xml:space="preserve">RC </t>
        </is>
      </c>
      <c r="S1290" t="n">
        <v>24</v>
      </c>
      <c r="T1290" t="n">
        <v>24</v>
      </c>
      <c r="U1290" t="inlineStr">
        <is>
          <t>2004-02-16</t>
        </is>
      </c>
      <c r="V1290" t="inlineStr">
        <is>
          <t>2004-02-16</t>
        </is>
      </c>
      <c r="W1290" t="inlineStr">
        <is>
          <t>1992-03-12</t>
        </is>
      </c>
      <c r="X1290" t="inlineStr">
        <is>
          <t>1992-03-12</t>
        </is>
      </c>
      <c r="Y1290" t="n">
        <v>595</v>
      </c>
      <c r="Z1290" t="n">
        <v>519</v>
      </c>
      <c r="AA1290" t="n">
        <v>528</v>
      </c>
      <c r="AB1290" t="n">
        <v>3</v>
      </c>
      <c r="AC1290" t="n">
        <v>3</v>
      </c>
      <c r="AD1290" t="n">
        <v>18</v>
      </c>
      <c r="AE1290" t="n">
        <v>18</v>
      </c>
      <c r="AF1290" t="n">
        <v>6</v>
      </c>
      <c r="AG1290" t="n">
        <v>6</v>
      </c>
      <c r="AH1290" t="n">
        <v>3</v>
      </c>
      <c r="AI1290" t="n">
        <v>3</v>
      </c>
      <c r="AJ1290" t="n">
        <v>9</v>
      </c>
      <c r="AK1290" t="n">
        <v>9</v>
      </c>
      <c r="AL1290" t="n">
        <v>2</v>
      </c>
      <c r="AM1290" t="n">
        <v>2</v>
      </c>
      <c r="AN1290" t="n">
        <v>0</v>
      </c>
      <c r="AO1290" t="n">
        <v>0</v>
      </c>
      <c r="AP1290" t="inlineStr">
        <is>
          <t>No</t>
        </is>
      </c>
      <c r="AQ1290" t="inlineStr">
        <is>
          <t>Yes</t>
        </is>
      </c>
      <c r="AR1290">
        <f>HYPERLINK("http://catalog.hathitrust.org/Record/000875818","HathiTrust Record")</f>
        <v/>
      </c>
      <c r="AS1290">
        <f>HYPERLINK("https://creighton-primo.hosted.exlibrisgroup.com/primo-explore/search?tab=default_tab&amp;search_scope=EVERYTHING&amp;vid=01CRU&amp;lang=en_US&amp;offset=0&amp;query=any,contains,991001117169702656","Catalog Record")</f>
        <v/>
      </c>
      <c r="AT1290">
        <f>HYPERLINK("http://www.worldcat.org/oclc/16527970","WorldCat Record")</f>
        <v/>
      </c>
      <c r="AU1290" t="inlineStr">
        <is>
          <t>12535864:eng</t>
        </is>
      </c>
      <c r="AV1290" t="inlineStr">
        <is>
          <t>16527970</t>
        </is>
      </c>
      <c r="AW1290" t="inlineStr">
        <is>
          <t>991001117169702656</t>
        </is>
      </c>
      <c r="AX1290" t="inlineStr">
        <is>
          <t>991001117169702656</t>
        </is>
      </c>
      <c r="AY1290" t="inlineStr">
        <is>
          <t>2257494030002656</t>
        </is>
      </c>
      <c r="AZ1290" t="inlineStr">
        <is>
          <t>BOOK</t>
        </is>
      </c>
      <c r="BB1290" t="inlineStr">
        <is>
          <t>9781555420635</t>
        </is>
      </c>
      <c r="BC1290" t="inlineStr">
        <is>
          <t>32285000998194</t>
        </is>
      </c>
      <c r="BD1290" t="inlineStr">
        <is>
          <t>893626575</t>
        </is>
      </c>
    </row>
    <row r="1291">
      <c r="A1291" t="inlineStr">
        <is>
          <t>No</t>
        </is>
      </c>
      <c r="B1291" t="inlineStr">
        <is>
          <t>RC565 .M445</t>
        </is>
      </c>
      <c r="C1291" t="inlineStr">
        <is>
          <t>0                      RC 0565000M  445</t>
        </is>
      </c>
      <c r="D1291" t="inlineStr">
        <is>
          <t>How to control your drinking / William R. Miller, Ricardo F. Muñoz.</t>
        </is>
      </c>
      <c r="F1291" t="inlineStr">
        <is>
          <t>No</t>
        </is>
      </c>
      <c r="G1291" t="inlineStr">
        <is>
          <t>1</t>
        </is>
      </c>
      <c r="H1291" t="inlineStr">
        <is>
          <t>No</t>
        </is>
      </c>
      <c r="I1291" t="inlineStr">
        <is>
          <t>No</t>
        </is>
      </c>
      <c r="J1291" t="inlineStr">
        <is>
          <t>0</t>
        </is>
      </c>
      <c r="K1291" t="inlineStr">
        <is>
          <t>Miller, William R. (William Richard)</t>
        </is>
      </c>
      <c r="L1291" t="inlineStr">
        <is>
          <t>Englewood Cliffs, N.J. : Prentice-Hall, c1976.</t>
        </is>
      </c>
      <c r="M1291" t="inlineStr">
        <is>
          <t>1976</t>
        </is>
      </c>
      <c r="O1291" t="inlineStr">
        <is>
          <t>eng</t>
        </is>
      </c>
      <c r="P1291" t="inlineStr">
        <is>
          <t>nju</t>
        </is>
      </c>
      <c r="Q1291" t="inlineStr">
        <is>
          <t>A Spectrum book</t>
        </is>
      </c>
      <c r="R1291" t="inlineStr">
        <is>
          <t xml:space="preserve">RC </t>
        </is>
      </c>
      <c r="S1291" t="n">
        <v>11</v>
      </c>
      <c r="T1291" t="n">
        <v>11</v>
      </c>
      <c r="U1291" t="inlineStr">
        <is>
          <t>2001-11-26</t>
        </is>
      </c>
      <c r="V1291" t="inlineStr">
        <is>
          <t>2001-11-26</t>
        </is>
      </c>
      <c r="W1291" t="inlineStr">
        <is>
          <t>1993-12-21</t>
        </is>
      </c>
      <c r="X1291" t="inlineStr">
        <is>
          <t>1993-12-21</t>
        </is>
      </c>
      <c r="Y1291" t="n">
        <v>259</v>
      </c>
      <c r="Z1291" t="n">
        <v>213</v>
      </c>
      <c r="AA1291" t="n">
        <v>333</v>
      </c>
      <c r="AB1291" t="n">
        <v>3</v>
      </c>
      <c r="AC1291" t="n">
        <v>4</v>
      </c>
      <c r="AD1291" t="n">
        <v>7</v>
      </c>
      <c r="AE1291" t="n">
        <v>13</v>
      </c>
      <c r="AF1291" t="n">
        <v>3</v>
      </c>
      <c r="AG1291" t="n">
        <v>4</v>
      </c>
      <c r="AH1291" t="n">
        <v>1</v>
      </c>
      <c r="AI1291" t="n">
        <v>3</v>
      </c>
      <c r="AJ1291" t="n">
        <v>4</v>
      </c>
      <c r="AK1291" t="n">
        <v>7</v>
      </c>
      <c r="AL1291" t="n">
        <v>1</v>
      </c>
      <c r="AM1291" t="n">
        <v>2</v>
      </c>
      <c r="AN1291" t="n">
        <v>0</v>
      </c>
      <c r="AO1291" t="n">
        <v>0</v>
      </c>
      <c r="AP1291" t="inlineStr">
        <is>
          <t>No</t>
        </is>
      </c>
      <c r="AQ1291" t="inlineStr">
        <is>
          <t>No</t>
        </is>
      </c>
      <c r="AS1291">
        <f>HYPERLINK("https://creighton-primo.hosted.exlibrisgroup.com/primo-explore/search?tab=default_tab&amp;search_scope=EVERYTHING&amp;vid=01CRU&amp;lang=en_US&amp;offset=0&amp;query=any,contains,991004002139702656","Catalog Record")</f>
        <v/>
      </c>
      <c r="AT1291">
        <f>HYPERLINK("http://www.worldcat.org/oclc/2074399","WorldCat Record")</f>
        <v/>
      </c>
      <c r="AU1291" t="inlineStr">
        <is>
          <t>493635:eng</t>
        </is>
      </c>
      <c r="AV1291" t="inlineStr">
        <is>
          <t>2074399</t>
        </is>
      </c>
      <c r="AW1291" t="inlineStr">
        <is>
          <t>991004002139702656</t>
        </is>
      </c>
      <c r="AX1291" t="inlineStr">
        <is>
          <t>991004002139702656</t>
        </is>
      </c>
      <c r="AY1291" t="inlineStr">
        <is>
          <t>2263916770002656</t>
        </is>
      </c>
      <c r="AZ1291" t="inlineStr">
        <is>
          <t>BOOK</t>
        </is>
      </c>
      <c r="BB1291" t="inlineStr">
        <is>
          <t>9780134043920</t>
        </is>
      </c>
      <c r="BC1291" t="inlineStr">
        <is>
          <t>32285001825784</t>
        </is>
      </c>
      <c r="BD1291" t="inlineStr">
        <is>
          <t>893904660</t>
        </is>
      </c>
    </row>
    <row r="1292">
      <c r="A1292" t="inlineStr">
        <is>
          <t>No</t>
        </is>
      </c>
      <c r="B1292" t="inlineStr">
        <is>
          <t>RC565 .M46 1966</t>
        </is>
      </c>
      <c r="C1292" t="inlineStr">
        <is>
          <t>0                      RC 0565000M  46          1966</t>
        </is>
      </c>
      <c r="D1292" t="inlineStr">
        <is>
          <t>Alcoholism / edited by Jack H. Mendelson.</t>
        </is>
      </c>
      <c r="F1292" t="inlineStr">
        <is>
          <t>No</t>
        </is>
      </c>
      <c r="G1292" t="inlineStr">
        <is>
          <t>1</t>
        </is>
      </c>
      <c r="H1292" t="inlineStr">
        <is>
          <t>No</t>
        </is>
      </c>
      <c r="I1292" t="inlineStr">
        <is>
          <t>No</t>
        </is>
      </c>
      <c r="J1292" t="inlineStr">
        <is>
          <t>0</t>
        </is>
      </c>
      <c r="K1292" t="inlineStr">
        <is>
          <t>Mendelson, Jack H. (Jack Harold), 1929-2007.</t>
        </is>
      </c>
      <c r="L1292" t="inlineStr">
        <is>
          <t>Boston : Little, Brown, 1966.</t>
        </is>
      </c>
      <c r="M1292" t="inlineStr">
        <is>
          <t>1966</t>
        </is>
      </c>
      <c r="O1292" t="inlineStr">
        <is>
          <t>eng</t>
        </is>
      </c>
      <c r="P1292" t="inlineStr">
        <is>
          <t>mau</t>
        </is>
      </c>
      <c r="Q1292" t="inlineStr">
        <is>
          <t>International psychiatry clinics ; v. 3, no. 2</t>
        </is>
      </c>
      <c r="R1292" t="inlineStr">
        <is>
          <t xml:space="preserve">RC </t>
        </is>
      </c>
      <c r="S1292" t="n">
        <v>2</v>
      </c>
      <c r="T1292" t="n">
        <v>2</v>
      </c>
      <c r="U1292" t="inlineStr">
        <is>
          <t>1999-10-25</t>
        </is>
      </c>
      <c r="V1292" t="inlineStr">
        <is>
          <t>1999-10-25</t>
        </is>
      </c>
      <c r="W1292" t="inlineStr">
        <is>
          <t>1994-11-02</t>
        </is>
      </c>
      <c r="X1292" t="inlineStr">
        <is>
          <t>1994-11-02</t>
        </is>
      </c>
      <c r="Y1292" t="n">
        <v>87</v>
      </c>
      <c r="Z1292" t="n">
        <v>81</v>
      </c>
      <c r="AA1292" t="n">
        <v>83</v>
      </c>
      <c r="AB1292" t="n">
        <v>1</v>
      </c>
      <c r="AC1292" t="n">
        <v>1</v>
      </c>
      <c r="AD1292" t="n">
        <v>4</v>
      </c>
      <c r="AE1292" t="n">
        <v>4</v>
      </c>
      <c r="AF1292" t="n">
        <v>0</v>
      </c>
      <c r="AG1292" t="n">
        <v>0</v>
      </c>
      <c r="AH1292" t="n">
        <v>0</v>
      </c>
      <c r="AI1292" t="n">
        <v>0</v>
      </c>
      <c r="AJ1292" t="n">
        <v>4</v>
      </c>
      <c r="AK1292" t="n">
        <v>4</v>
      </c>
      <c r="AL1292" t="n">
        <v>0</v>
      </c>
      <c r="AM1292" t="n">
        <v>0</v>
      </c>
      <c r="AN1292" t="n">
        <v>0</v>
      </c>
      <c r="AO1292" t="n">
        <v>0</v>
      </c>
      <c r="AP1292" t="inlineStr">
        <is>
          <t>No</t>
        </is>
      </c>
      <c r="AQ1292" t="inlineStr">
        <is>
          <t>Yes</t>
        </is>
      </c>
      <c r="AR1292">
        <f>HYPERLINK("http://catalog.hathitrust.org/Record/009621738","HathiTrust Record")</f>
        <v/>
      </c>
      <c r="AS1292">
        <f>HYPERLINK("https://creighton-primo.hosted.exlibrisgroup.com/primo-explore/search?tab=default_tab&amp;search_scope=EVERYTHING&amp;vid=01CRU&amp;lang=en_US&amp;offset=0&amp;query=any,contains,991002912669702656","Catalog Record")</f>
        <v/>
      </c>
      <c r="AT1292">
        <f>HYPERLINK("http://www.worldcat.org/oclc/522681","WorldCat Record")</f>
        <v/>
      </c>
      <c r="AU1292" t="inlineStr">
        <is>
          <t>54720364:eng</t>
        </is>
      </c>
      <c r="AV1292" t="inlineStr">
        <is>
          <t>522681</t>
        </is>
      </c>
      <c r="AW1292" t="inlineStr">
        <is>
          <t>991002912669702656</t>
        </is>
      </c>
      <c r="AX1292" t="inlineStr">
        <is>
          <t>991002912669702656</t>
        </is>
      </c>
      <c r="AY1292" t="inlineStr">
        <is>
          <t>2260098710002656</t>
        </is>
      </c>
      <c r="AZ1292" t="inlineStr">
        <is>
          <t>BOOK</t>
        </is>
      </c>
      <c r="BC1292" t="inlineStr">
        <is>
          <t>32285001963833</t>
        </is>
      </c>
      <c r="BD1292" t="inlineStr">
        <is>
          <t>893685942</t>
        </is>
      </c>
    </row>
    <row r="1293">
      <c r="A1293" t="inlineStr">
        <is>
          <t>No</t>
        </is>
      </c>
      <c r="B1293" t="inlineStr">
        <is>
          <t>RC565 .M544 1985</t>
        </is>
      </c>
      <c r="C1293" t="inlineStr">
        <is>
          <t>0                      RC 0565000M  544         1985</t>
        </is>
      </c>
      <c r="D1293" t="inlineStr">
        <is>
          <t>The Misuse of alcohol : crucial issues in dependence, treatment &amp; prevention / edited by Nick Heather, Ian Robertson, &amp; Phil Davies on behalf of New Directions in the Study of Alcohol Group.</t>
        </is>
      </c>
      <c r="F1293" t="inlineStr">
        <is>
          <t>No</t>
        </is>
      </c>
      <c r="G1293" t="inlineStr">
        <is>
          <t>1</t>
        </is>
      </c>
      <c r="H1293" t="inlineStr">
        <is>
          <t>No</t>
        </is>
      </c>
      <c r="I1293" t="inlineStr">
        <is>
          <t>No</t>
        </is>
      </c>
      <c r="J1293" t="inlineStr">
        <is>
          <t>0</t>
        </is>
      </c>
      <c r="L1293" t="inlineStr">
        <is>
          <t>New York : New York University Press, 1985.</t>
        </is>
      </c>
      <c r="M1293" t="inlineStr">
        <is>
          <t>1985</t>
        </is>
      </c>
      <c r="O1293" t="inlineStr">
        <is>
          <t>eng</t>
        </is>
      </c>
      <c r="P1293" t="inlineStr">
        <is>
          <t>nyu</t>
        </is>
      </c>
      <c r="R1293" t="inlineStr">
        <is>
          <t xml:space="preserve">RC </t>
        </is>
      </c>
      <c r="S1293" t="n">
        <v>9</v>
      </c>
      <c r="T1293" t="n">
        <v>9</v>
      </c>
      <c r="U1293" t="inlineStr">
        <is>
          <t>2001-11-26</t>
        </is>
      </c>
      <c r="V1293" t="inlineStr">
        <is>
          <t>2001-11-26</t>
        </is>
      </c>
      <c r="W1293" t="inlineStr">
        <is>
          <t>1992-04-24</t>
        </is>
      </c>
      <c r="X1293" t="inlineStr">
        <is>
          <t>1992-04-24</t>
        </is>
      </c>
      <c r="Y1293" t="n">
        <v>353</v>
      </c>
      <c r="Z1293" t="n">
        <v>329</v>
      </c>
      <c r="AA1293" t="n">
        <v>362</v>
      </c>
      <c r="AB1293" t="n">
        <v>3</v>
      </c>
      <c r="AC1293" t="n">
        <v>3</v>
      </c>
      <c r="AD1293" t="n">
        <v>18</v>
      </c>
      <c r="AE1293" t="n">
        <v>18</v>
      </c>
      <c r="AF1293" t="n">
        <v>6</v>
      </c>
      <c r="AG1293" t="n">
        <v>6</v>
      </c>
      <c r="AH1293" t="n">
        <v>4</v>
      </c>
      <c r="AI1293" t="n">
        <v>4</v>
      </c>
      <c r="AJ1293" t="n">
        <v>11</v>
      </c>
      <c r="AK1293" t="n">
        <v>11</v>
      </c>
      <c r="AL1293" t="n">
        <v>2</v>
      </c>
      <c r="AM1293" t="n">
        <v>2</v>
      </c>
      <c r="AN1293" t="n">
        <v>0</v>
      </c>
      <c r="AO1293" t="n">
        <v>0</v>
      </c>
      <c r="AP1293" t="inlineStr">
        <is>
          <t>No</t>
        </is>
      </c>
      <c r="AQ1293" t="inlineStr">
        <is>
          <t>No</t>
        </is>
      </c>
      <c r="AS1293">
        <f>HYPERLINK("https://creighton-primo.hosted.exlibrisgroup.com/primo-explore/search?tab=default_tab&amp;search_scope=EVERYTHING&amp;vid=01CRU&amp;lang=en_US&amp;offset=0&amp;query=any,contains,991000590319702656","Catalog Record")</f>
        <v/>
      </c>
      <c r="AT1293">
        <f>HYPERLINK("http://www.worldcat.org/oclc/11784721","WorldCat Record")</f>
        <v/>
      </c>
      <c r="AU1293" t="inlineStr">
        <is>
          <t>836701493:eng</t>
        </is>
      </c>
      <c r="AV1293" t="inlineStr">
        <is>
          <t>11784721</t>
        </is>
      </c>
      <c r="AW1293" t="inlineStr">
        <is>
          <t>991000590319702656</t>
        </is>
      </c>
      <c r="AX1293" t="inlineStr">
        <is>
          <t>991000590319702656</t>
        </is>
      </c>
      <c r="AY1293" t="inlineStr">
        <is>
          <t>2256789880002656</t>
        </is>
      </c>
      <c r="AZ1293" t="inlineStr">
        <is>
          <t>BOOK</t>
        </is>
      </c>
      <c r="BB1293" t="inlineStr">
        <is>
          <t>9780814734322</t>
        </is>
      </c>
      <c r="BC1293" t="inlineStr">
        <is>
          <t>32285001071496</t>
        </is>
      </c>
      <c r="BD1293" t="inlineStr">
        <is>
          <t>893871802</t>
        </is>
      </c>
    </row>
    <row r="1294">
      <c r="A1294" t="inlineStr">
        <is>
          <t>No</t>
        </is>
      </c>
      <c r="B1294" t="inlineStr">
        <is>
          <t>RC565 .M634 2002</t>
        </is>
      </c>
      <c r="C1294" t="inlineStr">
        <is>
          <t>0                      RC 0565000M  634         2002</t>
        </is>
      </c>
      <c r="D1294" t="inlineStr">
        <is>
          <t>Treating alcohol dependence : a coping skills training guide / Peter M. Monti ... [et al.] ; foreword by G. Alan Marlatt.</t>
        </is>
      </c>
      <c r="F1294" t="inlineStr">
        <is>
          <t>No</t>
        </is>
      </c>
      <c r="G1294" t="inlineStr">
        <is>
          <t>1</t>
        </is>
      </c>
      <c r="H1294" t="inlineStr">
        <is>
          <t>No</t>
        </is>
      </c>
      <c r="I1294" t="inlineStr">
        <is>
          <t>No</t>
        </is>
      </c>
      <c r="J1294" t="inlineStr">
        <is>
          <t>0</t>
        </is>
      </c>
      <c r="L1294" t="inlineStr">
        <is>
          <t>New York : Guilford Press, c2002.</t>
        </is>
      </c>
      <c r="M1294" t="inlineStr">
        <is>
          <t>2002</t>
        </is>
      </c>
      <c r="N1294" t="inlineStr">
        <is>
          <t>2nd ed.</t>
        </is>
      </c>
      <c r="O1294" t="inlineStr">
        <is>
          <t>eng</t>
        </is>
      </c>
      <c r="P1294" t="inlineStr">
        <is>
          <t>nyu</t>
        </is>
      </c>
      <c r="R1294" t="inlineStr">
        <is>
          <t xml:space="preserve">RC </t>
        </is>
      </c>
      <c r="S1294" t="n">
        <v>4</v>
      </c>
      <c r="T1294" t="n">
        <v>4</v>
      </c>
      <c r="U1294" t="inlineStr">
        <is>
          <t>2010-05-19</t>
        </is>
      </c>
      <c r="V1294" t="inlineStr">
        <is>
          <t>2010-05-19</t>
        </is>
      </c>
      <c r="W1294" t="inlineStr">
        <is>
          <t>2003-09-03</t>
        </is>
      </c>
      <c r="X1294" t="inlineStr">
        <is>
          <t>2003-09-03</t>
        </is>
      </c>
      <c r="Y1294" t="n">
        <v>284</v>
      </c>
      <c r="Z1294" t="n">
        <v>224</v>
      </c>
      <c r="AA1294" t="n">
        <v>440</v>
      </c>
      <c r="AB1294" t="n">
        <v>2</v>
      </c>
      <c r="AC1294" t="n">
        <v>4</v>
      </c>
      <c r="AD1294" t="n">
        <v>12</v>
      </c>
      <c r="AE1294" t="n">
        <v>20</v>
      </c>
      <c r="AF1294" t="n">
        <v>3</v>
      </c>
      <c r="AG1294" t="n">
        <v>4</v>
      </c>
      <c r="AH1294" t="n">
        <v>1</v>
      </c>
      <c r="AI1294" t="n">
        <v>5</v>
      </c>
      <c r="AJ1294" t="n">
        <v>10</v>
      </c>
      <c r="AK1294" t="n">
        <v>12</v>
      </c>
      <c r="AL1294" t="n">
        <v>1</v>
      </c>
      <c r="AM1294" t="n">
        <v>3</v>
      </c>
      <c r="AN1294" t="n">
        <v>0</v>
      </c>
      <c r="AO1294" t="n">
        <v>0</v>
      </c>
      <c r="AP1294" t="inlineStr">
        <is>
          <t>No</t>
        </is>
      </c>
      <c r="AQ1294" t="inlineStr">
        <is>
          <t>No</t>
        </is>
      </c>
      <c r="AS1294">
        <f>HYPERLINK("https://creighton-primo.hosted.exlibrisgroup.com/primo-explore/search?tab=default_tab&amp;search_scope=EVERYTHING&amp;vid=01CRU&amp;lang=en_US&amp;offset=0&amp;query=any,contains,991004101639702656","Catalog Record")</f>
        <v/>
      </c>
      <c r="AT1294">
        <f>HYPERLINK("http://www.worldcat.org/oclc/50002248","WorldCat Record")</f>
        <v/>
      </c>
      <c r="AU1294" t="inlineStr">
        <is>
          <t>840381388:eng</t>
        </is>
      </c>
      <c r="AV1294" t="inlineStr">
        <is>
          <t>50002248</t>
        </is>
      </c>
      <c r="AW1294" t="inlineStr">
        <is>
          <t>991004101639702656</t>
        </is>
      </c>
      <c r="AX1294" t="inlineStr">
        <is>
          <t>991004101639702656</t>
        </is>
      </c>
      <c r="AY1294" t="inlineStr">
        <is>
          <t>2270744520002656</t>
        </is>
      </c>
      <c r="AZ1294" t="inlineStr">
        <is>
          <t>BOOK</t>
        </is>
      </c>
      <c r="BB1294" t="inlineStr">
        <is>
          <t>9781572307933</t>
        </is>
      </c>
      <c r="BC1294" t="inlineStr">
        <is>
          <t>32285004781471</t>
        </is>
      </c>
      <c r="BD1294" t="inlineStr">
        <is>
          <t>893605623</t>
        </is>
      </c>
    </row>
    <row r="1295">
      <c r="A1295" t="inlineStr">
        <is>
          <t>No</t>
        </is>
      </c>
      <c r="B1295" t="inlineStr">
        <is>
          <t>RC565 .P375 2004</t>
        </is>
      </c>
      <c r="C1295" t="inlineStr">
        <is>
          <t>0                      RC 0565000P  375         2004</t>
        </is>
      </c>
      <c r="D1295" t="inlineStr">
        <is>
          <t>Treating alcoholism : helping your clients find the road to recovery / Robert R. Perkinson.</t>
        </is>
      </c>
      <c r="F1295" t="inlineStr">
        <is>
          <t>No</t>
        </is>
      </c>
      <c r="G1295" t="inlineStr">
        <is>
          <t>1</t>
        </is>
      </c>
      <c r="H1295" t="inlineStr">
        <is>
          <t>No</t>
        </is>
      </c>
      <c r="I1295" t="inlineStr">
        <is>
          <t>No</t>
        </is>
      </c>
      <c r="J1295" t="inlineStr">
        <is>
          <t>0</t>
        </is>
      </c>
      <c r="K1295" t="inlineStr">
        <is>
          <t>Perkinson, Robert R.</t>
        </is>
      </c>
      <c r="L1295" t="inlineStr">
        <is>
          <t>Hoboken, N.J. : John Wiley &amp; Sons, c2004.</t>
        </is>
      </c>
      <c r="M1295" t="inlineStr">
        <is>
          <t>2004</t>
        </is>
      </c>
      <c r="O1295" t="inlineStr">
        <is>
          <t>eng</t>
        </is>
      </c>
      <c r="P1295" t="inlineStr">
        <is>
          <t>nju</t>
        </is>
      </c>
      <c r="R1295" t="inlineStr">
        <is>
          <t xml:space="preserve">RC </t>
        </is>
      </c>
      <c r="S1295" t="n">
        <v>5</v>
      </c>
      <c r="T1295" t="n">
        <v>5</v>
      </c>
      <c r="U1295" t="inlineStr">
        <is>
          <t>2010-05-19</t>
        </is>
      </c>
      <c r="V1295" t="inlineStr">
        <is>
          <t>2010-05-19</t>
        </is>
      </c>
      <c r="W1295" t="inlineStr">
        <is>
          <t>2005-03-14</t>
        </is>
      </c>
      <c r="X1295" t="inlineStr">
        <is>
          <t>2005-03-14</t>
        </is>
      </c>
      <c r="Y1295" t="n">
        <v>184</v>
      </c>
      <c r="Z1295" t="n">
        <v>130</v>
      </c>
      <c r="AA1295" t="n">
        <v>961</v>
      </c>
      <c r="AB1295" t="n">
        <v>2</v>
      </c>
      <c r="AC1295" t="n">
        <v>31</v>
      </c>
      <c r="AD1295" t="n">
        <v>5</v>
      </c>
      <c r="AE1295" t="n">
        <v>37</v>
      </c>
      <c r="AF1295" t="n">
        <v>1</v>
      </c>
      <c r="AG1295" t="n">
        <v>12</v>
      </c>
      <c r="AH1295" t="n">
        <v>0</v>
      </c>
      <c r="AI1295" t="n">
        <v>6</v>
      </c>
      <c r="AJ1295" t="n">
        <v>4</v>
      </c>
      <c r="AK1295" t="n">
        <v>11</v>
      </c>
      <c r="AL1295" t="n">
        <v>1</v>
      </c>
      <c r="AM1295" t="n">
        <v>12</v>
      </c>
      <c r="AN1295" t="n">
        <v>0</v>
      </c>
      <c r="AO1295" t="n">
        <v>1</v>
      </c>
      <c r="AP1295" t="inlineStr">
        <is>
          <t>No</t>
        </is>
      </c>
      <c r="AQ1295" t="inlineStr">
        <is>
          <t>Yes</t>
        </is>
      </c>
      <c r="AR1295">
        <f>HYPERLINK("http://catalog.hathitrust.org/Record/004741880","HathiTrust Record")</f>
        <v/>
      </c>
      <c r="AS1295">
        <f>HYPERLINK("https://creighton-primo.hosted.exlibrisgroup.com/primo-explore/search?tab=default_tab&amp;search_scope=EVERYTHING&amp;vid=01CRU&amp;lang=en_US&amp;offset=0&amp;query=any,contains,991004470139702656","Catalog Record")</f>
        <v/>
      </c>
      <c r="AT1295">
        <f>HYPERLINK("http://www.worldcat.org/oclc/54905506","WorldCat Record")</f>
        <v/>
      </c>
      <c r="AU1295" t="inlineStr">
        <is>
          <t>793973739:eng</t>
        </is>
      </c>
      <c r="AV1295" t="inlineStr">
        <is>
          <t>54905506</t>
        </is>
      </c>
      <c r="AW1295" t="inlineStr">
        <is>
          <t>991004470139702656</t>
        </is>
      </c>
      <c r="AX1295" t="inlineStr">
        <is>
          <t>991004470139702656</t>
        </is>
      </c>
      <c r="AY1295" t="inlineStr">
        <is>
          <t>2270548560002656</t>
        </is>
      </c>
      <c r="AZ1295" t="inlineStr">
        <is>
          <t>BOOK</t>
        </is>
      </c>
      <c r="BB1295" t="inlineStr">
        <is>
          <t>9780471658061</t>
        </is>
      </c>
      <c r="BC1295" t="inlineStr">
        <is>
          <t>32285005041081</t>
        </is>
      </c>
      <c r="BD1295" t="inlineStr">
        <is>
          <t>893687766</t>
        </is>
      </c>
    </row>
    <row r="1296">
      <c r="A1296" t="inlineStr">
        <is>
          <t>No</t>
        </is>
      </c>
      <c r="B1296" t="inlineStr">
        <is>
          <t>RC565 .P619</t>
        </is>
      </c>
      <c r="C1296" t="inlineStr">
        <is>
          <t>0                      RC 0565000P  619</t>
        </is>
      </c>
      <c r="D1296" t="inlineStr">
        <is>
          <t>The course of alcoholism : four years after treatment / J. Michael Polich, David J. Armor, Harriet B. Braiker.</t>
        </is>
      </c>
      <c r="F1296" t="inlineStr">
        <is>
          <t>No</t>
        </is>
      </c>
      <c r="G1296" t="inlineStr">
        <is>
          <t>1</t>
        </is>
      </c>
      <c r="H1296" t="inlineStr">
        <is>
          <t>No</t>
        </is>
      </c>
      <c r="I1296" t="inlineStr">
        <is>
          <t>No</t>
        </is>
      </c>
      <c r="J1296" t="inlineStr">
        <is>
          <t>0</t>
        </is>
      </c>
      <c r="K1296" t="inlineStr">
        <is>
          <t>Polich, J. Michael.</t>
        </is>
      </c>
      <c r="L1296" t="inlineStr">
        <is>
          <t>New York : Wiley, c1980, 1981.</t>
        </is>
      </c>
      <c r="M1296" t="inlineStr">
        <is>
          <t>1980</t>
        </is>
      </c>
      <c r="O1296" t="inlineStr">
        <is>
          <t>eng</t>
        </is>
      </c>
      <c r="P1296" t="inlineStr">
        <is>
          <t>nyu</t>
        </is>
      </c>
      <c r="Q1296" t="inlineStr">
        <is>
          <t>Wiley series on personality processes, 0195-4008</t>
        </is>
      </c>
      <c r="R1296" t="inlineStr">
        <is>
          <t xml:space="preserve">RC </t>
        </is>
      </c>
      <c r="S1296" t="n">
        <v>7</v>
      </c>
      <c r="T1296" t="n">
        <v>7</v>
      </c>
      <c r="U1296" t="inlineStr">
        <is>
          <t>1997-04-16</t>
        </is>
      </c>
      <c r="V1296" t="inlineStr">
        <is>
          <t>1997-04-16</t>
        </is>
      </c>
      <c r="W1296" t="inlineStr">
        <is>
          <t>1991-10-23</t>
        </is>
      </c>
      <c r="X1296" t="inlineStr">
        <is>
          <t>1991-10-23</t>
        </is>
      </c>
      <c r="Y1296" t="n">
        <v>277</v>
      </c>
      <c r="Z1296" t="n">
        <v>228</v>
      </c>
      <c r="AA1296" t="n">
        <v>360</v>
      </c>
      <c r="AB1296" t="n">
        <v>3</v>
      </c>
      <c r="AC1296" t="n">
        <v>3</v>
      </c>
      <c r="AD1296" t="n">
        <v>9</v>
      </c>
      <c r="AE1296" t="n">
        <v>17</v>
      </c>
      <c r="AF1296" t="n">
        <v>2</v>
      </c>
      <c r="AG1296" t="n">
        <v>6</v>
      </c>
      <c r="AH1296" t="n">
        <v>2</v>
      </c>
      <c r="AI1296" t="n">
        <v>3</v>
      </c>
      <c r="AJ1296" t="n">
        <v>5</v>
      </c>
      <c r="AK1296" t="n">
        <v>12</v>
      </c>
      <c r="AL1296" t="n">
        <v>2</v>
      </c>
      <c r="AM1296" t="n">
        <v>2</v>
      </c>
      <c r="AN1296" t="n">
        <v>0</v>
      </c>
      <c r="AO1296" t="n">
        <v>0</v>
      </c>
      <c r="AP1296" t="inlineStr">
        <is>
          <t>No</t>
        </is>
      </c>
      <c r="AQ1296" t="inlineStr">
        <is>
          <t>No</t>
        </is>
      </c>
      <c r="AS1296">
        <f>HYPERLINK("https://creighton-primo.hosted.exlibrisgroup.com/primo-explore/search?tab=default_tab&amp;search_scope=EVERYTHING&amp;vid=01CRU&amp;lang=en_US&amp;offset=0&amp;query=any,contains,991005057849702656","Catalog Record")</f>
        <v/>
      </c>
      <c r="AT1296">
        <f>HYPERLINK("http://www.worldcat.org/oclc/6914654","WorldCat Record")</f>
        <v/>
      </c>
      <c r="AU1296" t="inlineStr">
        <is>
          <t>22507458:eng</t>
        </is>
      </c>
      <c r="AV1296" t="inlineStr">
        <is>
          <t>6914654</t>
        </is>
      </c>
      <c r="AW1296" t="inlineStr">
        <is>
          <t>991005057849702656</t>
        </is>
      </c>
      <c r="AX1296" t="inlineStr">
        <is>
          <t>991005057849702656</t>
        </is>
      </c>
      <c r="AY1296" t="inlineStr">
        <is>
          <t>2262650750002656</t>
        </is>
      </c>
      <c r="AZ1296" t="inlineStr">
        <is>
          <t>BOOK</t>
        </is>
      </c>
      <c r="BB1296" t="inlineStr">
        <is>
          <t>9780471086826</t>
        </is>
      </c>
      <c r="BC1296" t="inlineStr">
        <is>
          <t>32285000779412</t>
        </is>
      </c>
      <c r="BD1296" t="inlineStr">
        <is>
          <t>893801653</t>
        </is>
      </c>
    </row>
    <row r="1297">
      <c r="A1297" t="inlineStr">
        <is>
          <t>No</t>
        </is>
      </c>
      <c r="B1297" t="inlineStr">
        <is>
          <t>RC565 .P68 1989</t>
        </is>
      </c>
      <c r="C1297" t="inlineStr">
        <is>
          <t>0                      RC 0565000P  68          1989</t>
        </is>
      </c>
      <c r="D1297" t="inlineStr">
        <is>
          <t>Shame, guilt, and alcoholism : treatment issues in clinical practice / Ronald T. Potter-Efron.</t>
        </is>
      </c>
      <c r="F1297" t="inlineStr">
        <is>
          <t>No</t>
        </is>
      </c>
      <c r="G1297" t="inlineStr">
        <is>
          <t>1</t>
        </is>
      </c>
      <c r="H1297" t="inlineStr">
        <is>
          <t>No</t>
        </is>
      </c>
      <c r="I1297" t="inlineStr">
        <is>
          <t>Yes</t>
        </is>
      </c>
      <c r="J1297" t="inlineStr">
        <is>
          <t>0</t>
        </is>
      </c>
      <c r="K1297" t="inlineStr">
        <is>
          <t>Potter-Efron, Ronald T.</t>
        </is>
      </c>
      <c r="L1297" t="inlineStr">
        <is>
          <t>New York : Haworth Press, c1989.</t>
        </is>
      </c>
      <c r="M1297" t="inlineStr">
        <is>
          <t>1989</t>
        </is>
      </c>
      <c r="O1297" t="inlineStr">
        <is>
          <t>eng</t>
        </is>
      </c>
      <c r="P1297" t="inlineStr">
        <is>
          <t>nyu</t>
        </is>
      </c>
      <c r="Q1297" t="inlineStr">
        <is>
          <t>#2 of the Haworth series in addictions treatment</t>
        </is>
      </c>
      <c r="R1297" t="inlineStr">
        <is>
          <t xml:space="preserve">RC </t>
        </is>
      </c>
      <c r="S1297" t="n">
        <v>10</v>
      </c>
      <c r="T1297" t="n">
        <v>10</v>
      </c>
      <c r="U1297" t="inlineStr">
        <is>
          <t>2001-11-26</t>
        </is>
      </c>
      <c r="V1297" t="inlineStr">
        <is>
          <t>2001-11-26</t>
        </is>
      </c>
      <c r="W1297" t="inlineStr">
        <is>
          <t>1995-08-16</t>
        </is>
      </c>
      <c r="X1297" t="inlineStr">
        <is>
          <t>1995-08-16</t>
        </is>
      </c>
      <c r="Y1297" t="n">
        <v>266</v>
      </c>
      <c r="Z1297" t="n">
        <v>221</v>
      </c>
      <c r="AA1297" t="n">
        <v>348</v>
      </c>
      <c r="AB1297" t="n">
        <v>2</v>
      </c>
      <c r="AC1297" t="n">
        <v>4</v>
      </c>
      <c r="AD1297" t="n">
        <v>10</v>
      </c>
      <c r="AE1297" t="n">
        <v>14</v>
      </c>
      <c r="AF1297" t="n">
        <v>3</v>
      </c>
      <c r="AG1297" t="n">
        <v>4</v>
      </c>
      <c r="AH1297" t="n">
        <v>2</v>
      </c>
      <c r="AI1297" t="n">
        <v>2</v>
      </c>
      <c r="AJ1297" t="n">
        <v>8</v>
      </c>
      <c r="AK1297" t="n">
        <v>11</v>
      </c>
      <c r="AL1297" t="n">
        <v>1</v>
      </c>
      <c r="AM1297" t="n">
        <v>2</v>
      </c>
      <c r="AN1297" t="n">
        <v>0</v>
      </c>
      <c r="AO1297" t="n">
        <v>0</v>
      </c>
      <c r="AP1297" t="inlineStr">
        <is>
          <t>No</t>
        </is>
      </c>
      <c r="AQ1297" t="inlineStr">
        <is>
          <t>Yes</t>
        </is>
      </c>
      <c r="AR1297">
        <f>HYPERLINK("http://catalog.hathitrust.org/Record/001949774","HathiTrust Record")</f>
        <v/>
      </c>
      <c r="AS1297">
        <f>HYPERLINK("https://creighton-primo.hosted.exlibrisgroup.com/primo-explore/search?tab=default_tab&amp;search_scope=EVERYTHING&amp;vid=01CRU&amp;lang=en_US&amp;offset=0&amp;query=any,contains,991001394979702656","Catalog Record")</f>
        <v/>
      </c>
      <c r="AT1297">
        <f>HYPERLINK("http://www.worldcat.org/oclc/18780754","WorldCat Record")</f>
        <v/>
      </c>
      <c r="AU1297" t="inlineStr">
        <is>
          <t>14308244:eng</t>
        </is>
      </c>
      <c r="AV1297" t="inlineStr">
        <is>
          <t>18780754</t>
        </is>
      </c>
      <c r="AW1297" t="inlineStr">
        <is>
          <t>991001394979702656</t>
        </is>
      </c>
      <c r="AX1297" t="inlineStr">
        <is>
          <t>991001394979702656</t>
        </is>
      </c>
      <c r="AY1297" t="inlineStr">
        <is>
          <t>2258389170002656</t>
        </is>
      </c>
      <c r="AZ1297" t="inlineStr">
        <is>
          <t>BOOK</t>
        </is>
      </c>
      <c r="BB1297" t="inlineStr">
        <is>
          <t>9780866568562</t>
        </is>
      </c>
      <c r="BC1297" t="inlineStr">
        <is>
          <t>32285002077575</t>
        </is>
      </c>
      <c r="BD1297" t="inlineStr">
        <is>
          <t>893321896</t>
        </is>
      </c>
    </row>
    <row r="1298">
      <c r="A1298" t="inlineStr">
        <is>
          <t>No</t>
        </is>
      </c>
      <c r="B1298" t="inlineStr">
        <is>
          <t>RC565 .R56</t>
        </is>
      </c>
      <c r="C1298" t="inlineStr">
        <is>
          <t>0                      RC 0565000R  56</t>
        </is>
      </c>
      <c r="D1298" t="inlineStr">
        <is>
          <t>The etiology of alcoholism : constitutional, psychological, and sociological approaches / by Julian B. Roebuck and Raymond G. Kessler.</t>
        </is>
      </c>
      <c r="F1298" t="inlineStr">
        <is>
          <t>No</t>
        </is>
      </c>
      <c r="G1298" t="inlineStr">
        <is>
          <t>1</t>
        </is>
      </c>
      <c r="H1298" t="inlineStr">
        <is>
          <t>No</t>
        </is>
      </c>
      <c r="I1298" t="inlineStr">
        <is>
          <t>No</t>
        </is>
      </c>
      <c r="J1298" t="inlineStr">
        <is>
          <t>0</t>
        </is>
      </c>
      <c r="K1298" t="inlineStr">
        <is>
          <t>Roebuck, Julian B.</t>
        </is>
      </c>
      <c r="L1298" t="inlineStr">
        <is>
          <t>Springfield, Ill. : Thomas, [c1972]</t>
        </is>
      </c>
      <c r="M1298" t="inlineStr">
        <is>
          <t>1972</t>
        </is>
      </c>
      <c r="O1298" t="inlineStr">
        <is>
          <t>eng</t>
        </is>
      </c>
      <c r="P1298" t="inlineStr">
        <is>
          <t>ilu</t>
        </is>
      </c>
      <c r="R1298" t="inlineStr">
        <is>
          <t xml:space="preserve">RC </t>
        </is>
      </c>
      <c r="S1298" t="n">
        <v>9</v>
      </c>
      <c r="T1298" t="n">
        <v>9</v>
      </c>
      <c r="U1298" t="inlineStr">
        <is>
          <t>1996-10-27</t>
        </is>
      </c>
      <c r="V1298" t="inlineStr">
        <is>
          <t>1996-10-27</t>
        </is>
      </c>
      <c r="W1298" t="inlineStr">
        <is>
          <t>1992-03-10</t>
        </is>
      </c>
      <c r="X1298" t="inlineStr">
        <is>
          <t>1992-03-10</t>
        </is>
      </c>
      <c r="Y1298" t="n">
        <v>294</v>
      </c>
      <c r="Z1298" t="n">
        <v>252</v>
      </c>
      <c r="AA1298" t="n">
        <v>258</v>
      </c>
      <c r="AB1298" t="n">
        <v>3</v>
      </c>
      <c r="AC1298" t="n">
        <v>3</v>
      </c>
      <c r="AD1298" t="n">
        <v>11</v>
      </c>
      <c r="AE1298" t="n">
        <v>11</v>
      </c>
      <c r="AF1298" t="n">
        <v>3</v>
      </c>
      <c r="AG1298" t="n">
        <v>3</v>
      </c>
      <c r="AH1298" t="n">
        <v>3</v>
      </c>
      <c r="AI1298" t="n">
        <v>3</v>
      </c>
      <c r="AJ1298" t="n">
        <v>5</v>
      </c>
      <c r="AK1298" t="n">
        <v>5</v>
      </c>
      <c r="AL1298" t="n">
        <v>2</v>
      </c>
      <c r="AM1298" t="n">
        <v>2</v>
      </c>
      <c r="AN1298" t="n">
        <v>0</v>
      </c>
      <c r="AO1298" t="n">
        <v>0</v>
      </c>
      <c r="AP1298" t="inlineStr">
        <is>
          <t>No</t>
        </is>
      </c>
      <c r="AQ1298" t="inlineStr">
        <is>
          <t>Yes</t>
        </is>
      </c>
      <c r="AR1298">
        <f>HYPERLINK("http://catalog.hathitrust.org/Record/001565264","HathiTrust Record")</f>
        <v/>
      </c>
      <c r="AS1298">
        <f>HYPERLINK("https://creighton-primo.hosted.exlibrisgroup.com/primo-explore/search?tab=default_tab&amp;search_scope=EVERYTHING&amp;vid=01CRU&amp;lang=en_US&amp;offset=0&amp;query=any,contains,991003073489702656","Catalog Record")</f>
        <v/>
      </c>
      <c r="AT1298">
        <f>HYPERLINK("http://www.worldcat.org/oclc/627793","WorldCat Record")</f>
        <v/>
      </c>
      <c r="AU1298" t="inlineStr">
        <is>
          <t>346946613:eng</t>
        </is>
      </c>
      <c r="AV1298" t="inlineStr">
        <is>
          <t>627793</t>
        </is>
      </c>
      <c r="AW1298" t="inlineStr">
        <is>
          <t>991003073489702656</t>
        </is>
      </c>
      <c r="AX1298" t="inlineStr">
        <is>
          <t>991003073489702656</t>
        </is>
      </c>
      <c r="AY1298" t="inlineStr">
        <is>
          <t>2257918200002656</t>
        </is>
      </c>
      <c r="AZ1298" t="inlineStr">
        <is>
          <t>BOOK</t>
        </is>
      </c>
      <c r="BB1298" t="inlineStr">
        <is>
          <t>9780398023928</t>
        </is>
      </c>
      <c r="BC1298" t="inlineStr">
        <is>
          <t>32285000993765</t>
        </is>
      </c>
      <c r="BD1298" t="inlineStr">
        <is>
          <t>893252005</t>
        </is>
      </c>
    </row>
    <row r="1299">
      <c r="A1299" t="inlineStr">
        <is>
          <t>No</t>
        </is>
      </c>
      <c r="B1299" t="inlineStr">
        <is>
          <t>RC565 .S6</t>
        </is>
      </c>
      <c r="C1299" t="inlineStr">
        <is>
          <t>0                      RC 0565000S  6</t>
        </is>
      </c>
      <c r="D1299" t="inlineStr">
        <is>
          <t>Behavioral treatment of alcohol problems : individualized therapy and controlled drinking / Mark B. Sobell and Linda C. Sobell.</t>
        </is>
      </c>
      <c r="F1299" t="inlineStr">
        <is>
          <t>No</t>
        </is>
      </c>
      <c r="G1299" t="inlineStr">
        <is>
          <t>1</t>
        </is>
      </c>
      <c r="H1299" t="inlineStr">
        <is>
          <t>No</t>
        </is>
      </c>
      <c r="I1299" t="inlineStr">
        <is>
          <t>No</t>
        </is>
      </c>
      <c r="J1299" t="inlineStr">
        <is>
          <t>0</t>
        </is>
      </c>
      <c r="K1299" t="inlineStr">
        <is>
          <t>Sobell, Mark B.</t>
        </is>
      </c>
      <c r="L1299" t="inlineStr">
        <is>
          <t>New York : Plenum Press, c1978.</t>
        </is>
      </c>
      <c r="M1299" t="inlineStr">
        <is>
          <t>1978</t>
        </is>
      </c>
      <c r="O1299" t="inlineStr">
        <is>
          <t>eng</t>
        </is>
      </c>
      <c r="P1299" t="inlineStr">
        <is>
          <t>nyu</t>
        </is>
      </c>
      <c r="Q1299" t="inlineStr">
        <is>
          <t>The Plenum behavior therapy series</t>
        </is>
      </c>
      <c r="R1299" t="inlineStr">
        <is>
          <t xml:space="preserve">RC </t>
        </is>
      </c>
      <c r="S1299" t="n">
        <v>15</v>
      </c>
      <c r="T1299" t="n">
        <v>15</v>
      </c>
      <c r="U1299" t="inlineStr">
        <is>
          <t>1996-10-06</t>
        </is>
      </c>
      <c r="V1299" t="inlineStr">
        <is>
          <t>1996-10-06</t>
        </is>
      </c>
      <c r="W1299" t="inlineStr">
        <is>
          <t>1990-02-28</t>
        </is>
      </c>
      <c r="X1299" t="inlineStr">
        <is>
          <t>1990-02-28</t>
        </is>
      </c>
      <c r="Y1299" t="n">
        <v>549</v>
      </c>
      <c r="Z1299" t="n">
        <v>428</v>
      </c>
      <c r="AA1299" t="n">
        <v>449</v>
      </c>
      <c r="AB1299" t="n">
        <v>4</v>
      </c>
      <c r="AC1299" t="n">
        <v>4</v>
      </c>
      <c r="AD1299" t="n">
        <v>18</v>
      </c>
      <c r="AE1299" t="n">
        <v>19</v>
      </c>
      <c r="AF1299" t="n">
        <v>7</v>
      </c>
      <c r="AG1299" t="n">
        <v>8</v>
      </c>
      <c r="AH1299" t="n">
        <v>3</v>
      </c>
      <c r="AI1299" t="n">
        <v>3</v>
      </c>
      <c r="AJ1299" t="n">
        <v>11</v>
      </c>
      <c r="AK1299" t="n">
        <v>11</v>
      </c>
      <c r="AL1299" t="n">
        <v>3</v>
      </c>
      <c r="AM1299" t="n">
        <v>3</v>
      </c>
      <c r="AN1299" t="n">
        <v>0</v>
      </c>
      <c r="AO1299" t="n">
        <v>0</v>
      </c>
      <c r="AP1299" t="inlineStr">
        <is>
          <t>No</t>
        </is>
      </c>
      <c r="AQ1299" t="inlineStr">
        <is>
          <t>Yes</t>
        </is>
      </c>
      <c r="AR1299">
        <f>HYPERLINK("http://catalog.hathitrust.org/Record/000747359","HathiTrust Record")</f>
        <v/>
      </c>
      <c r="AS1299">
        <f>HYPERLINK("https://creighton-primo.hosted.exlibrisgroup.com/primo-explore/search?tab=default_tab&amp;search_scope=EVERYTHING&amp;vid=01CRU&amp;lang=en_US&amp;offset=0&amp;query=any,contains,991004395169702656","Catalog Record")</f>
        <v/>
      </c>
      <c r="AT1299">
        <f>HYPERLINK("http://www.worldcat.org/oclc/3275609","WorldCat Record")</f>
        <v/>
      </c>
      <c r="AU1299" t="inlineStr">
        <is>
          <t>821920430:eng</t>
        </is>
      </c>
      <c r="AV1299" t="inlineStr">
        <is>
          <t>3275609</t>
        </is>
      </c>
      <c r="AW1299" t="inlineStr">
        <is>
          <t>991004395169702656</t>
        </is>
      </c>
      <c r="AX1299" t="inlineStr">
        <is>
          <t>991004395169702656</t>
        </is>
      </c>
      <c r="AY1299" t="inlineStr">
        <is>
          <t>2255508970002656</t>
        </is>
      </c>
      <c r="AZ1299" t="inlineStr">
        <is>
          <t>BOOK</t>
        </is>
      </c>
      <c r="BB1299" t="inlineStr">
        <is>
          <t>9780306310577</t>
        </is>
      </c>
      <c r="BC1299" t="inlineStr">
        <is>
          <t>32285000072511</t>
        </is>
      </c>
      <c r="BD1299" t="inlineStr">
        <is>
          <t>893519596</t>
        </is>
      </c>
    </row>
    <row r="1300">
      <c r="A1300" t="inlineStr">
        <is>
          <t>No</t>
        </is>
      </c>
      <c r="B1300" t="inlineStr">
        <is>
          <t>RC565 .S74 1975</t>
        </is>
      </c>
      <c r="C1300" t="inlineStr">
        <is>
          <t>0                      RC 0565000S  74          1975</t>
        </is>
      </c>
      <c r="D1300" t="inlineStr">
        <is>
          <t>Games alcoholics play : the analysis of life scripts / Claude Steiner.</t>
        </is>
      </c>
      <c r="F1300" t="inlineStr">
        <is>
          <t>No</t>
        </is>
      </c>
      <c r="G1300" t="inlineStr">
        <is>
          <t>1</t>
        </is>
      </c>
      <c r="H1300" t="inlineStr">
        <is>
          <t>No</t>
        </is>
      </c>
      <c r="I1300" t="inlineStr">
        <is>
          <t>No</t>
        </is>
      </c>
      <c r="J1300" t="inlineStr">
        <is>
          <t>0</t>
        </is>
      </c>
      <c r="K1300" t="inlineStr">
        <is>
          <t>Steiner, Claude, 1935-</t>
        </is>
      </c>
      <c r="L1300" t="inlineStr">
        <is>
          <t>New York : Ballantine Books, 1975, c1971.</t>
        </is>
      </c>
      <c r="M1300" t="inlineStr">
        <is>
          <t>1975</t>
        </is>
      </c>
      <c r="O1300" t="inlineStr">
        <is>
          <t>eng</t>
        </is>
      </c>
      <c r="P1300" t="inlineStr">
        <is>
          <t xml:space="preserve">xx </t>
        </is>
      </c>
      <c r="R1300" t="inlineStr">
        <is>
          <t xml:space="preserve">RC </t>
        </is>
      </c>
      <c r="S1300" t="n">
        <v>1</v>
      </c>
      <c r="T1300" t="n">
        <v>1</v>
      </c>
      <c r="U1300" t="inlineStr">
        <is>
          <t>2004-02-16</t>
        </is>
      </c>
      <c r="V1300" t="inlineStr">
        <is>
          <t>2004-02-16</t>
        </is>
      </c>
      <c r="W1300" t="inlineStr">
        <is>
          <t>1997-08-14</t>
        </is>
      </c>
      <c r="X1300" t="inlineStr">
        <is>
          <t>1997-08-14</t>
        </is>
      </c>
      <c r="Y1300" t="n">
        <v>242</v>
      </c>
      <c r="Z1300" t="n">
        <v>219</v>
      </c>
      <c r="AA1300" t="n">
        <v>853</v>
      </c>
      <c r="AB1300" t="n">
        <v>3</v>
      </c>
      <c r="AC1300" t="n">
        <v>11</v>
      </c>
      <c r="AD1300" t="n">
        <v>3</v>
      </c>
      <c r="AE1300" t="n">
        <v>20</v>
      </c>
      <c r="AF1300" t="n">
        <v>0</v>
      </c>
      <c r="AG1300" t="n">
        <v>2</v>
      </c>
      <c r="AH1300" t="n">
        <v>0</v>
      </c>
      <c r="AI1300" t="n">
        <v>5</v>
      </c>
      <c r="AJ1300" t="n">
        <v>2</v>
      </c>
      <c r="AK1300" t="n">
        <v>10</v>
      </c>
      <c r="AL1300" t="n">
        <v>1</v>
      </c>
      <c r="AM1300" t="n">
        <v>5</v>
      </c>
      <c r="AN1300" t="n">
        <v>0</v>
      </c>
      <c r="AO1300" t="n">
        <v>0</v>
      </c>
      <c r="AP1300" t="inlineStr">
        <is>
          <t>No</t>
        </is>
      </c>
      <c r="AQ1300" t="inlineStr">
        <is>
          <t>No</t>
        </is>
      </c>
      <c r="AS1300">
        <f>HYPERLINK("https://creighton-primo.hosted.exlibrisgroup.com/primo-explore/search?tab=default_tab&amp;search_scope=EVERYTHING&amp;vid=01CRU&amp;lang=en_US&amp;offset=0&amp;query=any,contains,991003881869702656","Catalog Record")</f>
        <v/>
      </c>
      <c r="AT1300">
        <f>HYPERLINK("http://www.worldcat.org/oclc/1728558","WorldCat Record")</f>
        <v/>
      </c>
      <c r="AU1300" t="inlineStr">
        <is>
          <t>1326170:eng</t>
        </is>
      </c>
      <c r="AV1300" t="inlineStr">
        <is>
          <t>1728558</t>
        </is>
      </c>
      <c r="AW1300" t="inlineStr">
        <is>
          <t>991003881869702656</t>
        </is>
      </c>
      <c r="AX1300" t="inlineStr">
        <is>
          <t>991003881869702656</t>
        </is>
      </c>
      <c r="AY1300" t="inlineStr">
        <is>
          <t>2270128990002656</t>
        </is>
      </c>
      <c r="AZ1300" t="inlineStr">
        <is>
          <t>BOOK</t>
        </is>
      </c>
      <c r="BB1300" t="inlineStr">
        <is>
          <t>9780345323835</t>
        </is>
      </c>
      <c r="BC1300" t="inlineStr">
        <is>
          <t>32285003092540</t>
        </is>
      </c>
      <c r="BD1300" t="inlineStr">
        <is>
          <t>893900487</t>
        </is>
      </c>
    </row>
    <row r="1301">
      <c r="A1301" t="inlineStr">
        <is>
          <t>No</t>
        </is>
      </c>
      <c r="B1301" t="inlineStr">
        <is>
          <t>RC565 .T23 1995</t>
        </is>
      </c>
      <c r="C1301" t="inlineStr">
        <is>
          <t>0                      RC 0565000T  23          1995</t>
        </is>
      </c>
      <c r="D1301" t="inlineStr">
        <is>
          <t>Biological aspects of alcoholism / edited by Boris Tabakoff and Paula L. Hoffman ; coordinating editors, Norman Sartorius and L Prilipko.</t>
        </is>
      </c>
      <c r="F1301" t="inlineStr">
        <is>
          <t>No</t>
        </is>
      </c>
      <c r="G1301" t="inlineStr">
        <is>
          <t>1</t>
        </is>
      </c>
      <c r="H1301" t="inlineStr">
        <is>
          <t>No</t>
        </is>
      </c>
      <c r="I1301" t="inlineStr">
        <is>
          <t>No</t>
        </is>
      </c>
      <c r="J1301" t="inlineStr">
        <is>
          <t>0</t>
        </is>
      </c>
      <c r="L1301" t="inlineStr">
        <is>
          <t>Seattle : Hogrefe &amp; Huber, c1995.</t>
        </is>
      </c>
      <c r="M1301" t="inlineStr">
        <is>
          <t>1995</t>
        </is>
      </c>
      <c r="O1301" t="inlineStr">
        <is>
          <t>eng</t>
        </is>
      </c>
      <c r="P1301" t="inlineStr">
        <is>
          <t>wau</t>
        </is>
      </c>
      <c r="Q1301" t="inlineStr">
        <is>
          <t>WHO expert series on biological psychiatry ; v. 4</t>
        </is>
      </c>
      <c r="R1301" t="inlineStr">
        <is>
          <t xml:space="preserve">RC </t>
        </is>
      </c>
      <c r="S1301" t="n">
        <v>20</v>
      </c>
      <c r="T1301" t="n">
        <v>20</v>
      </c>
      <c r="U1301" t="inlineStr">
        <is>
          <t>2003-05-18</t>
        </is>
      </c>
      <c r="V1301" t="inlineStr">
        <is>
          <t>2003-05-18</t>
        </is>
      </c>
      <c r="W1301" t="inlineStr">
        <is>
          <t>1997-01-03</t>
        </is>
      </c>
      <c r="X1301" t="inlineStr">
        <is>
          <t>1997-01-03</t>
        </is>
      </c>
      <c r="Y1301" t="n">
        <v>145</v>
      </c>
      <c r="Z1301" t="n">
        <v>112</v>
      </c>
      <c r="AA1301" t="n">
        <v>117</v>
      </c>
      <c r="AB1301" t="n">
        <v>2</v>
      </c>
      <c r="AC1301" t="n">
        <v>2</v>
      </c>
      <c r="AD1301" t="n">
        <v>5</v>
      </c>
      <c r="AE1301" t="n">
        <v>5</v>
      </c>
      <c r="AF1301" t="n">
        <v>2</v>
      </c>
      <c r="AG1301" t="n">
        <v>2</v>
      </c>
      <c r="AH1301" t="n">
        <v>1</v>
      </c>
      <c r="AI1301" t="n">
        <v>1</v>
      </c>
      <c r="AJ1301" t="n">
        <v>3</v>
      </c>
      <c r="AK1301" t="n">
        <v>3</v>
      </c>
      <c r="AL1301" t="n">
        <v>1</v>
      </c>
      <c r="AM1301" t="n">
        <v>1</v>
      </c>
      <c r="AN1301" t="n">
        <v>0</v>
      </c>
      <c r="AO1301" t="n">
        <v>0</v>
      </c>
      <c r="AP1301" t="inlineStr">
        <is>
          <t>No</t>
        </is>
      </c>
      <c r="AQ1301" t="inlineStr">
        <is>
          <t>Yes</t>
        </is>
      </c>
      <c r="AR1301">
        <f>HYPERLINK("http://catalog.hathitrust.org/Record/003120182","HathiTrust Record")</f>
        <v/>
      </c>
      <c r="AS1301">
        <f>HYPERLINK("https://creighton-primo.hosted.exlibrisgroup.com/primo-explore/search?tab=default_tab&amp;search_scope=EVERYTHING&amp;vid=01CRU&amp;lang=en_US&amp;offset=0&amp;query=any,contains,991002348279702656","Catalog Record")</f>
        <v/>
      </c>
      <c r="AT1301">
        <f>HYPERLINK("http://www.worldcat.org/oclc/30593405","WorldCat Record")</f>
        <v/>
      </c>
      <c r="AU1301" t="inlineStr">
        <is>
          <t>351324055:eng</t>
        </is>
      </c>
      <c r="AV1301" t="inlineStr">
        <is>
          <t>30593405</t>
        </is>
      </c>
      <c r="AW1301" t="inlineStr">
        <is>
          <t>991002348279702656</t>
        </is>
      </c>
      <c r="AX1301" t="inlineStr">
        <is>
          <t>991002348279702656</t>
        </is>
      </c>
      <c r="AY1301" t="inlineStr">
        <is>
          <t>2263372240002656</t>
        </is>
      </c>
      <c r="AZ1301" t="inlineStr">
        <is>
          <t>BOOK</t>
        </is>
      </c>
      <c r="BB1301" t="inlineStr">
        <is>
          <t>9780889371309</t>
        </is>
      </c>
      <c r="BC1301" t="inlineStr">
        <is>
          <t>32285002404720</t>
        </is>
      </c>
      <c r="BD1301" t="inlineStr">
        <is>
          <t>893421242</t>
        </is>
      </c>
    </row>
    <row r="1302">
      <c r="A1302" t="inlineStr">
        <is>
          <t>No</t>
        </is>
      </c>
      <c r="B1302" t="inlineStr">
        <is>
          <t>RC565 .T73 1987</t>
        </is>
      </c>
      <c r="C1302" t="inlineStr">
        <is>
          <t>0                      RC 0565000T  73          1987</t>
        </is>
      </c>
      <c r="D1302" t="inlineStr">
        <is>
          <t>Treatment and prevention of alcohol problems : a resource manual / edited by W. Miles Cox.</t>
        </is>
      </c>
      <c r="F1302" t="inlineStr">
        <is>
          <t>No</t>
        </is>
      </c>
      <c r="G1302" t="inlineStr">
        <is>
          <t>1</t>
        </is>
      </c>
      <c r="H1302" t="inlineStr">
        <is>
          <t>No</t>
        </is>
      </c>
      <c r="I1302" t="inlineStr">
        <is>
          <t>No</t>
        </is>
      </c>
      <c r="J1302" t="inlineStr">
        <is>
          <t>0</t>
        </is>
      </c>
      <c r="L1302" t="inlineStr">
        <is>
          <t>Orlando : Academic Press, 1987.</t>
        </is>
      </c>
      <c r="M1302" t="inlineStr">
        <is>
          <t>1986</t>
        </is>
      </c>
      <c r="O1302" t="inlineStr">
        <is>
          <t>eng</t>
        </is>
      </c>
      <c r="P1302" t="inlineStr">
        <is>
          <t>flu</t>
        </is>
      </c>
      <c r="Q1302" t="inlineStr">
        <is>
          <t>Personality, psychopathology, and psychotherapy</t>
        </is>
      </c>
      <c r="R1302" t="inlineStr">
        <is>
          <t xml:space="preserve">RC </t>
        </is>
      </c>
      <c r="S1302" t="n">
        <v>20</v>
      </c>
      <c r="T1302" t="n">
        <v>20</v>
      </c>
      <c r="U1302" t="inlineStr">
        <is>
          <t>2001-10-22</t>
        </is>
      </c>
      <c r="V1302" t="inlineStr">
        <is>
          <t>2001-10-22</t>
        </is>
      </c>
      <c r="W1302" t="inlineStr">
        <is>
          <t>1992-02-19</t>
        </is>
      </c>
      <c r="X1302" t="inlineStr">
        <is>
          <t>1992-02-19</t>
        </is>
      </c>
      <c r="Y1302" t="n">
        <v>367</v>
      </c>
      <c r="Z1302" t="n">
        <v>289</v>
      </c>
      <c r="AA1302" t="n">
        <v>335</v>
      </c>
      <c r="AB1302" t="n">
        <v>1</v>
      </c>
      <c r="AC1302" t="n">
        <v>1</v>
      </c>
      <c r="AD1302" t="n">
        <v>12</v>
      </c>
      <c r="AE1302" t="n">
        <v>15</v>
      </c>
      <c r="AF1302" t="n">
        <v>5</v>
      </c>
      <c r="AG1302" t="n">
        <v>7</v>
      </c>
      <c r="AH1302" t="n">
        <v>3</v>
      </c>
      <c r="AI1302" t="n">
        <v>5</v>
      </c>
      <c r="AJ1302" t="n">
        <v>9</v>
      </c>
      <c r="AK1302" t="n">
        <v>9</v>
      </c>
      <c r="AL1302" t="n">
        <v>0</v>
      </c>
      <c r="AM1302" t="n">
        <v>0</v>
      </c>
      <c r="AN1302" t="n">
        <v>0</v>
      </c>
      <c r="AO1302" t="n">
        <v>0</v>
      </c>
      <c r="AP1302" t="inlineStr">
        <is>
          <t>No</t>
        </is>
      </c>
      <c r="AQ1302" t="inlineStr">
        <is>
          <t>Yes</t>
        </is>
      </c>
      <c r="AR1302">
        <f>HYPERLINK("http://catalog.hathitrust.org/Record/010093727","HathiTrust Record")</f>
        <v/>
      </c>
      <c r="AS1302">
        <f>HYPERLINK("https://creighton-primo.hosted.exlibrisgroup.com/primo-explore/search?tab=default_tab&amp;search_scope=EVERYTHING&amp;vid=01CRU&amp;lang=en_US&amp;offset=0&amp;query=any,contains,991000850399702656","Catalog Record")</f>
        <v/>
      </c>
      <c r="AT1302">
        <f>HYPERLINK("http://www.worldcat.org/oclc/13581985","WorldCat Record")</f>
        <v/>
      </c>
      <c r="AU1302" t="inlineStr">
        <is>
          <t>889399379:eng</t>
        </is>
      </c>
      <c r="AV1302" t="inlineStr">
        <is>
          <t>13581985</t>
        </is>
      </c>
      <c r="AW1302" t="inlineStr">
        <is>
          <t>991000850399702656</t>
        </is>
      </c>
      <c r="AX1302" t="inlineStr">
        <is>
          <t>991000850399702656</t>
        </is>
      </c>
      <c r="AY1302" t="inlineStr">
        <is>
          <t>2259475940002656</t>
        </is>
      </c>
      <c r="AZ1302" t="inlineStr">
        <is>
          <t>BOOK</t>
        </is>
      </c>
      <c r="BB1302" t="inlineStr">
        <is>
          <t>9780121944704</t>
        </is>
      </c>
      <c r="BC1302" t="inlineStr">
        <is>
          <t>32285000981786</t>
        </is>
      </c>
      <c r="BD1302" t="inlineStr">
        <is>
          <t>893249737</t>
        </is>
      </c>
    </row>
    <row r="1303">
      <c r="A1303" t="inlineStr">
        <is>
          <t>No</t>
        </is>
      </c>
      <c r="B1303" t="inlineStr">
        <is>
          <t>RC565 .V33 1983</t>
        </is>
      </c>
      <c r="C1303" t="inlineStr">
        <is>
          <t>0                      RC 0565000V  33          1983</t>
        </is>
      </c>
      <c r="D1303" t="inlineStr">
        <is>
          <t>The natural history of alcoholism / George E. Vaillant.</t>
        </is>
      </c>
      <c r="F1303" t="inlineStr">
        <is>
          <t>No</t>
        </is>
      </c>
      <c r="G1303" t="inlineStr">
        <is>
          <t>1</t>
        </is>
      </c>
      <c r="H1303" t="inlineStr">
        <is>
          <t>No</t>
        </is>
      </c>
      <c r="I1303" t="inlineStr">
        <is>
          <t>No</t>
        </is>
      </c>
      <c r="J1303" t="inlineStr">
        <is>
          <t>0</t>
        </is>
      </c>
      <c r="K1303" t="inlineStr">
        <is>
          <t>Vaillant, George E., 1934-</t>
        </is>
      </c>
      <c r="L1303" t="inlineStr">
        <is>
          <t>Cambridge, Mass. : Harvard University Press, 1983.</t>
        </is>
      </c>
      <c r="M1303" t="inlineStr">
        <is>
          <t>1983</t>
        </is>
      </c>
      <c r="O1303" t="inlineStr">
        <is>
          <t>eng</t>
        </is>
      </c>
      <c r="P1303" t="inlineStr">
        <is>
          <t>mau</t>
        </is>
      </c>
      <c r="R1303" t="inlineStr">
        <is>
          <t xml:space="preserve">RC </t>
        </is>
      </c>
      <c r="S1303" t="n">
        <v>12</v>
      </c>
      <c r="T1303" t="n">
        <v>12</v>
      </c>
      <c r="U1303" t="inlineStr">
        <is>
          <t>1997-06-02</t>
        </is>
      </c>
      <c r="V1303" t="inlineStr">
        <is>
          <t>1997-06-02</t>
        </is>
      </c>
      <c r="W1303" t="inlineStr">
        <is>
          <t>1992-04-24</t>
        </is>
      </c>
      <c r="X1303" t="inlineStr">
        <is>
          <t>1992-04-24</t>
        </is>
      </c>
      <c r="Y1303" t="n">
        <v>1280</v>
      </c>
      <c r="Z1303" t="n">
        <v>1118</v>
      </c>
      <c r="AA1303" t="n">
        <v>1133</v>
      </c>
      <c r="AB1303" t="n">
        <v>7</v>
      </c>
      <c r="AC1303" t="n">
        <v>7</v>
      </c>
      <c r="AD1303" t="n">
        <v>37</v>
      </c>
      <c r="AE1303" t="n">
        <v>37</v>
      </c>
      <c r="AF1303" t="n">
        <v>13</v>
      </c>
      <c r="AG1303" t="n">
        <v>13</v>
      </c>
      <c r="AH1303" t="n">
        <v>5</v>
      </c>
      <c r="AI1303" t="n">
        <v>5</v>
      </c>
      <c r="AJ1303" t="n">
        <v>20</v>
      </c>
      <c r="AK1303" t="n">
        <v>20</v>
      </c>
      <c r="AL1303" t="n">
        <v>5</v>
      </c>
      <c r="AM1303" t="n">
        <v>5</v>
      </c>
      <c r="AN1303" t="n">
        <v>1</v>
      </c>
      <c r="AO1303" t="n">
        <v>1</v>
      </c>
      <c r="AP1303" t="inlineStr">
        <is>
          <t>No</t>
        </is>
      </c>
      <c r="AQ1303" t="inlineStr">
        <is>
          <t>Yes</t>
        </is>
      </c>
      <c r="AR1303">
        <f>HYPERLINK("http://catalog.hathitrust.org/Record/000154444","HathiTrust Record")</f>
        <v/>
      </c>
      <c r="AS1303">
        <f>HYPERLINK("https://creighton-primo.hosted.exlibrisgroup.com/primo-explore/search?tab=default_tab&amp;search_scope=EVERYTHING&amp;vid=01CRU&amp;lang=en_US&amp;offset=0&amp;query=any,contains,991000018699702656","Catalog Record")</f>
        <v/>
      </c>
      <c r="AT1303">
        <f>HYPERLINK("http://www.worldcat.org/oclc/8554040","WorldCat Record")</f>
        <v/>
      </c>
      <c r="AU1303" t="inlineStr">
        <is>
          <t>1108550:eng</t>
        </is>
      </c>
      <c r="AV1303" t="inlineStr">
        <is>
          <t>8554040</t>
        </is>
      </c>
      <c r="AW1303" t="inlineStr">
        <is>
          <t>991000018699702656</t>
        </is>
      </c>
      <c r="AX1303" t="inlineStr">
        <is>
          <t>991000018699702656</t>
        </is>
      </c>
      <c r="AY1303" t="inlineStr">
        <is>
          <t>2256468750002656</t>
        </is>
      </c>
      <c r="AZ1303" t="inlineStr">
        <is>
          <t>BOOK</t>
        </is>
      </c>
      <c r="BB1303" t="inlineStr">
        <is>
          <t>9780674603752</t>
        </is>
      </c>
      <c r="BC1303" t="inlineStr">
        <is>
          <t>32285001071504</t>
        </is>
      </c>
      <c r="BD1303" t="inlineStr">
        <is>
          <t>893249004</t>
        </is>
      </c>
    </row>
    <row r="1304">
      <c r="A1304" t="inlineStr">
        <is>
          <t>No</t>
        </is>
      </c>
      <c r="B1304" t="inlineStr">
        <is>
          <t>RC565 .V63 2000</t>
        </is>
      </c>
      <c r="C1304" t="inlineStr">
        <is>
          <t>0                      RC 0565000V  63          2000</t>
        </is>
      </c>
      <c r="D1304" t="inlineStr">
        <is>
          <t>Recovery options : the complete guide / Joseph Volpicelli, Maia Szalavitz.</t>
        </is>
      </c>
      <c r="F1304" t="inlineStr">
        <is>
          <t>No</t>
        </is>
      </c>
      <c r="G1304" t="inlineStr">
        <is>
          <t>1</t>
        </is>
      </c>
      <c r="H1304" t="inlineStr">
        <is>
          <t>No</t>
        </is>
      </c>
      <c r="I1304" t="inlineStr">
        <is>
          <t>No</t>
        </is>
      </c>
      <c r="J1304" t="inlineStr">
        <is>
          <t>0</t>
        </is>
      </c>
      <c r="K1304" t="inlineStr">
        <is>
          <t>Volpicelli, Joseph.</t>
        </is>
      </c>
      <c r="L1304" t="inlineStr">
        <is>
          <t>New York : Wiley, 2000.</t>
        </is>
      </c>
      <c r="M1304" t="inlineStr">
        <is>
          <t>2000</t>
        </is>
      </c>
      <c r="O1304" t="inlineStr">
        <is>
          <t>eng</t>
        </is>
      </c>
      <c r="P1304" t="inlineStr">
        <is>
          <t>nyu</t>
        </is>
      </c>
      <c r="R1304" t="inlineStr">
        <is>
          <t xml:space="preserve">RC </t>
        </is>
      </c>
      <c r="S1304" t="n">
        <v>5</v>
      </c>
      <c r="T1304" t="n">
        <v>5</v>
      </c>
      <c r="U1304" t="inlineStr">
        <is>
          <t>2008-02-17</t>
        </is>
      </c>
      <c r="V1304" t="inlineStr">
        <is>
          <t>2008-02-17</t>
        </is>
      </c>
      <c r="W1304" t="inlineStr">
        <is>
          <t>2002-12-03</t>
        </is>
      </c>
      <c r="X1304" t="inlineStr">
        <is>
          <t>2002-12-03</t>
        </is>
      </c>
      <c r="Y1304" t="n">
        <v>455</v>
      </c>
      <c r="Z1304" t="n">
        <v>420</v>
      </c>
      <c r="AA1304" t="n">
        <v>423</v>
      </c>
      <c r="AB1304" t="n">
        <v>3</v>
      </c>
      <c r="AC1304" t="n">
        <v>3</v>
      </c>
      <c r="AD1304" t="n">
        <v>5</v>
      </c>
      <c r="AE1304" t="n">
        <v>5</v>
      </c>
      <c r="AF1304" t="n">
        <v>1</v>
      </c>
      <c r="AG1304" t="n">
        <v>1</v>
      </c>
      <c r="AH1304" t="n">
        <v>1</v>
      </c>
      <c r="AI1304" t="n">
        <v>1</v>
      </c>
      <c r="AJ1304" t="n">
        <v>3</v>
      </c>
      <c r="AK1304" t="n">
        <v>3</v>
      </c>
      <c r="AL1304" t="n">
        <v>1</v>
      </c>
      <c r="AM1304" t="n">
        <v>1</v>
      </c>
      <c r="AN1304" t="n">
        <v>0</v>
      </c>
      <c r="AO1304" t="n">
        <v>0</v>
      </c>
      <c r="AP1304" t="inlineStr">
        <is>
          <t>No</t>
        </is>
      </c>
      <c r="AQ1304" t="inlineStr">
        <is>
          <t>Yes</t>
        </is>
      </c>
      <c r="AR1304">
        <f>HYPERLINK("http://catalog.hathitrust.org/Record/004137144","HathiTrust Record")</f>
        <v/>
      </c>
      <c r="AS1304">
        <f>HYPERLINK("https://creighton-primo.hosted.exlibrisgroup.com/primo-explore/search?tab=default_tab&amp;search_scope=EVERYTHING&amp;vid=01CRU&amp;lang=en_US&amp;offset=0&amp;query=any,contains,991003932989702656","Catalog Record")</f>
        <v/>
      </c>
      <c r="AT1304">
        <f>HYPERLINK("http://www.worldcat.org/oclc/42812895","WorldCat Record")</f>
        <v/>
      </c>
      <c r="AU1304" t="inlineStr">
        <is>
          <t>234352656:eng</t>
        </is>
      </c>
      <c r="AV1304" t="inlineStr">
        <is>
          <t>42812895</t>
        </is>
      </c>
      <c r="AW1304" t="inlineStr">
        <is>
          <t>991003932989702656</t>
        </is>
      </c>
      <c r="AX1304" t="inlineStr">
        <is>
          <t>991003932989702656</t>
        </is>
      </c>
      <c r="AY1304" t="inlineStr">
        <is>
          <t>2259850140002656</t>
        </is>
      </c>
      <c r="AZ1304" t="inlineStr">
        <is>
          <t>BOOK</t>
        </is>
      </c>
      <c r="BB1304" t="inlineStr">
        <is>
          <t>9780471345756</t>
        </is>
      </c>
      <c r="BC1304" t="inlineStr">
        <is>
          <t>32285004667084</t>
        </is>
      </c>
      <c r="BD1304" t="inlineStr">
        <is>
          <t>893349401</t>
        </is>
      </c>
    </row>
    <row r="1305">
      <c r="A1305" t="inlineStr">
        <is>
          <t>No</t>
        </is>
      </c>
      <c r="B1305" t="inlineStr">
        <is>
          <t>RC565 .W43</t>
        </is>
      </c>
      <c r="C1305" t="inlineStr">
        <is>
          <t>0                      RC 0565000W  43</t>
        </is>
      </c>
      <c r="D1305" t="inlineStr">
        <is>
          <t>A primer on chemical dependency : a clinical guide to alcohol and drug problems / Joseph Westermeyer.</t>
        </is>
      </c>
      <c r="F1305" t="inlineStr">
        <is>
          <t>No</t>
        </is>
      </c>
      <c r="G1305" t="inlineStr">
        <is>
          <t>1</t>
        </is>
      </c>
      <c r="H1305" t="inlineStr">
        <is>
          <t>No</t>
        </is>
      </c>
      <c r="I1305" t="inlineStr">
        <is>
          <t>No</t>
        </is>
      </c>
      <c r="J1305" t="inlineStr">
        <is>
          <t>0</t>
        </is>
      </c>
      <c r="K1305" t="inlineStr">
        <is>
          <t>Westermeyer, Joseph, 1937-</t>
        </is>
      </c>
      <c r="L1305" t="inlineStr">
        <is>
          <t>Baltimore : Williams &amp; Wilkins Co., c1976.</t>
        </is>
      </c>
      <c r="M1305" t="inlineStr">
        <is>
          <t>1976</t>
        </is>
      </c>
      <c r="O1305" t="inlineStr">
        <is>
          <t>eng</t>
        </is>
      </c>
      <c r="P1305" t="inlineStr">
        <is>
          <t>mdu</t>
        </is>
      </c>
      <c r="R1305" t="inlineStr">
        <is>
          <t xml:space="preserve">RC </t>
        </is>
      </c>
      <c r="S1305" t="n">
        <v>6</v>
      </c>
      <c r="T1305" t="n">
        <v>6</v>
      </c>
      <c r="U1305" t="inlineStr">
        <is>
          <t>1997-07-14</t>
        </is>
      </c>
      <c r="V1305" t="inlineStr">
        <is>
          <t>1997-07-14</t>
        </is>
      </c>
      <c r="W1305" t="inlineStr">
        <is>
          <t>1992-11-05</t>
        </is>
      </c>
      <c r="X1305" t="inlineStr">
        <is>
          <t>1992-11-05</t>
        </is>
      </c>
      <c r="Y1305" t="n">
        <v>203</v>
      </c>
      <c r="Z1305" t="n">
        <v>156</v>
      </c>
      <c r="AA1305" t="n">
        <v>159</v>
      </c>
      <c r="AB1305" t="n">
        <v>3</v>
      </c>
      <c r="AC1305" t="n">
        <v>3</v>
      </c>
      <c r="AD1305" t="n">
        <v>6</v>
      </c>
      <c r="AE1305" t="n">
        <v>6</v>
      </c>
      <c r="AF1305" t="n">
        <v>3</v>
      </c>
      <c r="AG1305" t="n">
        <v>3</v>
      </c>
      <c r="AH1305" t="n">
        <v>2</v>
      </c>
      <c r="AI1305" t="n">
        <v>2</v>
      </c>
      <c r="AJ1305" t="n">
        <v>2</v>
      </c>
      <c r="AK1305" t="n">
        <v>2</v>
      </c>
      <c r="AL1305" t="n">
        <v>2</v>
      </c>
      <c r="AM1305" t="n">
        <v>2</v>
      </c>
      <c r="AN1305" t="n">
        <v>0</v>
      </c>
      <c r="AO1305" t="n">
        <v>0</v>
      </c>
      <c r="AP1305" t="inlineStr">
        <is>
          <t>No</t>
        </is>
      </c>
      <c r="AQ1305" t="inlineStr">
        <is>
          <t>Yes</t>
        </is>
      </c>
      <c r="AR1305">
        <f>HYPERLINK("http://catalog.hathitrust.org/Record/000227866","HathiTrust Record")</f>
        <v/>
      </c>
      <c r="AS1305">
        <f>HYPERLINK("https://creighton-primo.hosted.exlibrisgroup.com/primo-explore/search?tab=default_tab&amp;search_scope=EVERYTHING&amp;vid=01CRU&amp;lang=en_US&amp;offset=0&amp;query=any,contains,991004030709702656","Catalog Record")</f>
        <v/>
      </c>
      <c r="AT1305">
        <f>HYPERLINK("http://www.worldcat.org/oclc/2151256","WorldCat Record")</f>
        <v/>
      </c>
      <c r="AU1305" t="inlineStr">
        <is>
          <t>866257134:eng</t>
        </is>
      </c>
      <c r="AV1305" t="inlineStr">
        <is>
          <t>2151256</t>
        </is>
      </c>
      <c r="AW1305" t="inlineStr">
        <is>
          <t>991004030709702656</t>
        </is>
      </c>
      <c r="AX1305" t="inlineStr">
        <is>
          <t>991004030709702656</t>
        </is>
      </c>
      <c r="AY1305" t="inlineStr">
        <is>
          <t>2261369710002656</t>
        </is>
      </c>
      <c r="AZ1305" t="inlineStr">
        <is>
          <t>BOOK</t>
        </is>
      </c>
      <c r="BB1305" t="inlineStr">
        <is>
          <t>9780683089431</t>
        </is>
      </c>
      <c r="BC1305" t="inlineStr">
        <is>
          <t>32285001380970</t>
        </is>
      </c>
      <c r="BD1305" t="inlineStr">
        <is>
          <t>893337257</t>
        </is>
      </c>
    </row>
    <row r="1306">
      <c r="A1306" t="inlineStr">
        <is>
          <t>No</t>
        </is>
      </c>
      <c r="B1306" t="inlineStr">
        <is>
          <t>RC565 .W46 1965</t>
        </is>
      </c>
      <c r="C1306" t="inlineStr">
        <is>
          <t>0                      RC 0565000W  46          1965</t>
        </is>
      </c>
      <c r="D1306" t="inlineStr">
        <is>
          <t>The lonely sickness : by Elizabeth D. Whitney. With a pref. by Robert Fleming.</t>
        </is>
      </c>
      <c r="F1306" t="inlineStr">
        <is>
          <t>No</t>
        </is>
      </c>
      <c r="G1306" t="inlineStr">
        <is>
          <t>1</t>
        </is>
      </c>
      <c r="H1306" t="inlineStr">
        <is>
          <t>No</t>
        </is>
      </c>
      <c r="I1306" t="inlineStr">
        <is>
          <t>No</t>
        </is>
      </c>
      <c r="J1306" t="inlineStr">
        <is>
          <t>0</t>
        </is>
      </c>
      <c r="K1306" t="inlineStr">
        <is>
          <t>Whitney, Elizabeth D.</t>
        </is>
      </c>
      <c r="L1306" t="inlineStr">
        <is>
          <t>Boston : Beacon Press, c1965, 1969 printing.</t>
        </is>
      </c>
      <c r="M1306" t="inlineStr">
        <is>
          <t>1965</t>
        </is>
      </c>
      <c r="O1306" t="inlineStr">
        <is>
          <t>eng</t>
        </is>
      </c>
      <c r="P1306" t="inlineStr">
        <is>
          <t>___</t>
        </is>
      </c>
      <c r="R1306" t="inlineStr">
        <is>
          <t xml:space="preserve">RC </t>
        </is>
      </c>
      <c r="S1306" t="n">
        <v>9</v>
      </c>
      <c r="T1306" t="n">
        <v>9</v>
      </c>
      <c r="U1306" t="inlineStr">
        <is>
          <t>2006-09-19</t>
        </is>
      </c>
      <c r="V1306" t="inlineStr">
        <is>
          <t>2006-09-19</t>
        </is>
      </c>
      <c r="W1306" t="inlineStr">
        <is>
          <t>1992-03-23</t>
        </is>
      </c>
      <c r="X1306" t="inlineStr">
        <is>
          <t>1992-03-23</t>
        </is>
      </c>
      <c r="Y1306" t="n">
        <v>350</v>
      </c>
      <c r="Z1306" t="n">
        <v>331</v>
      </c>
      <c r="AA1306" t="n">
        <v>342</v>
      </c>
      <c r="AB1306" t="n">
        <v>2</v>
      </c>
      <c r="AC1306" t="n">
        <v>2</v>
      </c>
      <c r="AD1306" t="n">
        <v>6</v>
      </c>
      <c r="AE1306" t="n">
        <v>6</v>
      </c>
      <c r="AF1306" t="n">
        <v>1</v>
      </c>
      <c r="AG1306" t="n">
        <v>1</v>
      </c>
      <c r="AH1306" t="n">
        <v>1</v>
      </c>
      <c r="AI1306" t="n">
        <v>1</v>
      </c>
      <c r="AJ1306" t="n">
        <v>5</v>
      </c>
      <c r="AK1306" t="n">
        <v>5</v>
      </c>
      <c r="AL1306" t="n">
        <v>1</v>
      </c>
      <c r="AM1306" t="n">
        <v>1</v>
      </c>
      <c r="AN1306" t="n">
        <v>0</v>
      </c>
      <c r="AO1306" t="n">
        <v>0</v>
      </c>
      <c r="AP1306" t="inlineStr">
        <is>
          <t>No</t>
        </is>
      </c>
      <c r="AQ1306" t="inlineStr">
        <is>
          <t>Yes</t>
        </is>
      </c>
      <c r="AR1306">
        <f>HYPERLINK("http://catalog.hathitrust.org/Record/001565274","HathiTrust Record")</f>
        <v/>
      </c>
      <c r="AS1306">
        <f>HYPERLINK("https://creighton-primo.hosted.exlibrisgroup.com/primo-explore/search?tab=default_tab&amp;search_scope=EVERYTHING&amp;vid=01CRU&amp;lang=en_US&amp;offset=0&amp;query=any,contains,991003372989702656","Catalog Record")</f>
        <v/>
      </c>
      <c r="AT1306">
        <f>HYPERLINK("http://www.worldcat.org/oclc/909115","WorldCat Record")</f>
        <v/>
      </c>
      <c r="AU1306" t="inlineStr">
        <is>
          <t>1846810:eng</t>
        </is>
      </c>
      <c r="AV1306" t="inlineStr">
        <is>
          <t>909115</t>
        </is>
      </c>
      <c r="AW1306" t="inlineStr">
        <is>
          <t>991003372989702656</t>
        </is>
      </c>
      <c r="AX1306" t="inlineStr">
        <is>
          <t>991003372989702656</t>
        </is>
      </c>
      <c r="AY1306" t="inlineStr">
        <is>
          <t>2261638510002656</t>
        </is>
      </c>
      <c r="AZ1306" t="inlineStr">
        <is>
          <t>BOOK</t>
        </is>
      </c>
      <c r="BC1306" t="inlineStr">
        <is>
          <t>32285001026623</t>
        </is>
      </c>
      <c r="BD1306" t="inlineStr">
        <is>
          <t>893805734</t>
        </is>
      </c>
    </row>
    <row r="1307">
      <c r="A1307" t="inlineStr">
        <is>
          <t>No</t>
        </is>
      </c>
      <c r="B1307" t="inlineStr">
        <is>
          <t>RC566 .A334 2008</t>
        </is>
      </c>
      <c r="C1307" t="inlineStr">
        <is>
          <t>0                      RC 0566000A  334         2008</t>
        </is>
      </c>
      <c r="D1307" t="inlineStr">
        <is>
          <t>Addiction / Wyatt Schaefer, book editor.</t>
        </is>
      </c>
      <c r="F1307" t="inlineStr">
        <is>
          <t>No</t>
        </is>
      </c>
      <c r="G1307" t="inlineStr">
        <is>
          <t>1</t>
        </is>
      </c>
      <c r="H1307" t="inlineStr">
        <is>
          <t>No</t>
        </is>
      </c>
      <c r="I1307" t="inlineStr">
        <is>
          <t>No</t>
        </is>
      </c>
      <c r="J1307" t="inlineStr">
        <is>
          <t>0</t>
        </is>
      </c>
      <c r="L1307" t="inlineStr">
        <is>
          <t>Detroit : Greenhaven Press, 2007.</t>
        </is>
      </c>
      <c r="M1307" t="inlineStr">
        <is>
          <t>2007</t>
        </is>
      </c>
      <c r="O1307" t="inlineStr">
        <is>
          <t>eng</t>
        </is>
      </c>
      <c r="P1307" t="inlineStr">
        <is>
          <t>miu</t>
        </is>
      </c>
      <c r="Q1307" t="inlineStr">
        <is>
          <t>Social issues firsthand</t>
        </is>
      </c>
      <c r="R1307" t="inlineStr">
        <is>
          <t xml:space="preserve">RC </t>
        </is>
      </c>
      <c r="S1307" t="n">
        <v>4</v>
      </c>
      <c r="T1307" t="n">
        <v>4</v>
      </c>
      <c r="U1307" t="inlineStr">
        <is>
          <t>2009-03-19</t>
        </is>
      </c>
      <c r="V1307" t="inlineStr">
        <is>
          <t>2009-03-19</t>
        </is>
      </c>
      <c r="W1307" t="inlineStr">
        <is>
          <t>2008-01-14</t>
        </is>
      </c>
      <c r="X1307" t="inlineStr">
        <is>
          <t>2008-01-14</t>
        </is>
      </c>
      <c r="Y1307" t="n">
        <v>106</v>
      </c>
      <c r="Z1307" t="n">
        <v>99</v>
      </c>
      <c r="AA1307" t="n">
        <v>285</v>
      </c>
      <c r="AB1307" t="n">
        <v>1</v>
      </c>
      <c r="AC1307" t="n">
        <v>4</v>
      </c>
      <c r="AD1307" t="n">
        <v>0</v>
      </c>
      <c r="AE1307" t="n">
        <v>1</v>
      </c>
      <c r="AF1307" t="n">
        <v>0</v>
      </c>
      <c r="AG1307" t="n">
        <v>0</v>
      </c>
      <c r="AH1307" t="n">
        <v>0</v>
      </c>
      <c r="AI1307" t="n">
        <v>0</v>
      </c>
      <c r="AJ1307" t="n">
        <v>0</v>
      </c>
      <c r="AK1307" t="n">
        <v>0</v>
      </c>
      <c r="AL1307" t="n">
        <v>0</v>
      </c>
      <c r="AM1307" t="n">
        <v>1</v>
      </c>
      <c r="AN1307" t="n">
        <v>0</v>
      </c>
      <c r="AO1307" t="n">
        <v>0</v>
      </c>
      <c r="AP1307" t="inlineStr">
        <is>
          <t>No</t>
        </is>
      </c>
      <c r="AQ1307" t="inlineStr">
        <is>
          <t>No</t>
        </is>
      </c>
      <c r="AS1307">
        <f>HYPERLINK("https://creighton-primo.hosted.exlibrisgroup.com/primo-explore/search?tab=default_tab&amp;search_scope=EVERYTHING&amp;vid=01CRU&amp;lang=en_US&amp;offset=0&amp;query=any,contains,991005166799702656","Catalog Record")</f>
        <v/>
      </c>
      <c r="AT1307">
        <f>HYPERLINK("http://www.worldcat.org/oclc/170957890","WorldCat Record")</f>
        <v/>
      </c>
      <c r="AU1307" t="inlineStr">
        <is>
          <t>113675182:eng</t>
        </is>
      </c>
      <c r="AV1307" t="inlineStr">
        <is>
          <t>170957890</t>
        </is>
      </c>
      <c r="AW1307" t="inlineStr">
        <is>
          <t>991005166799702656</t>
        </is>
      </c>
      <c r="AX1307" t="inlineStr">
        <is>
          <t>991005166799702656</t>
        </is>
      </c>
      <c r="AY1307" t="inlineStr">
        <is>
          <t>2267010430002656</t>
        </is>
      </c>
      <c r="AZ1307" t="inlineStr">
        <is>
          <t>BOOK</t>
        </is>
      </c>
      <c r="BB1307" t="inlineStr">
        <is>
          <t>9780737724943</t>
        </is>
      </c>
      <c r="BC1307" t="inlineStr">
        <is>
          <t>32285005377485</t>
        </is>
      </c>
      <c r="BD1307" t="inlineStr">
        <is>
          <t>893230308</t>
        </is>
      </c>
    </row>
    <row r="1308">
      <c r="A1308" t="inlineStr">
        <is>
          <t>No</t>
        </is>
      </c>
      <c r="B1308" t="inlineStr">
        <is>
          <t>RC566 .A86 1980</t>
        </is>
      </c>
      <c r="C1308" t="inlineStr">
        <is>
          <t>0                      RC 0566000A  86          1980</t>
        </is>
      </c>
      <c r="D1308" t="inlineStr">
        <is>
          <t>What every well-informed person should know about drug addiction / David P. Ausubel.</t>
        </is>
      </c>
      <c r="F1308" t="inlineStr">
        <is>
          <t>No</t>
        </is>
      </c>
      <c r="G1308" t="inlineStr">
        <is>
          <t>1</t>
        </is>
      </c>
      <c r="H1308" t="inlineStr">
        <is>
          <t>No</t>
        </is>
      </c>
      <c r="I1308" t="inlineStr">
        <is>
          <t>No</t>
        </is>
      </c>
      <c r="J1308" t="inlineStr">
        <is>
          <t>0</t>
        </is>
      </c>
      <c r="K1308" t="inlineStr">
        <is>
          <t>Ausubel, David Paul.</t>
        </is>
      </c>
      <c r="L1308" t="inlineStr">
        <is>
          <t>Chicago : Nelson-Hall, c1980.</t>
        </is>
      </c>
      <c r="M1308" t="inlineStr">
        <is>
          <t>1980</t>
        </is>
      </c>
      <c r="O1308" t="inlineStr">
        <is>
          <t>eng</t>
        </is>
      </c>
      <c r="P1308" t="inlineStr">
        <is>
          <t>ilu</t>
        </is>
      </c>
      <c r="R1308" t="inlineStr">
        <is>
          <t xml:space="preserve">RC </t>
        </is>
      </c>
      <c r="S1308" t="n">
        <v>13</v>
      </c>
      <c r="T1308" t="n">
        <v>13</v>
      </c>
      <c r="U1308" t="inlineStr">
        <is>
          <t>2001-03-30</t>
        </is>
      </c>
      <c r="V1308" t="inlineStr">
        <is>
          <t>2001-03-30</t>
        </is>
      </c>
      <c r="W1308" t="inlineStr">
        <is>
          <t>1990-03-01</t>
        </is>
      </c>
      <c r="X1308" t="inlineStr">
        <is>
          <t>1990-03-01</t>
        </is>
      </c>
      <c r="Y1308" t="n">
        <v>276</v>
      </c>
      <c r="Z1308" t="n">
        <v>266</v>
      </c>
      <c r="AA1308" t="n">
        <v>268</v>
      </c>
      <c r="AB1308" t="n">
        <v>4</v>
      </c>
      <c r="AC1308" t="n">
        <v>4</v>
      </c>
      <c r="AD1308" t="n">
        <v>9</v>
      </c>
      <c r="AE1308" t="n">
        <v>9</v>
      </c>
      <c r="AF1308" t="n">
        <v>0</v>
      </c>
      <c r="AG1308" t="n">
        <v>0</v>
      </c>
      <c r="AH1308" t="n">
        <v>2</v>
      </c>
      <c r="AI1308" t="n">
        <v>2</v>
      </c>
      <c r="AJ1308" t="n">
        <v>2</v>
      </c>
      <c r="AK1308" t="n">
        <v>2</v>
      </c>
      <c r="AL1308" t="n">
        <v>2</v>
      </c>
      <c r="AM1308" t="n">
        <v>2</v>
      </c>
      <c r="AN1308" t="n">
        <v>3</v>
      </c>
      <c r="AO1308" t="n">
        <v>3</v>
      </c>
      <c r="AP1308" t="inlineStr">
        <is>
          <t>No</t>
        </is>
      </c>
      <c r="AQ1308" t="inlineStr">
        <is>
          <t>Yes</t>
        </is>
      </c>
      <c r="AR1308">
        <f>HYPERLINK("http://catalog.hathitrust.org/Record/009050475","HathiTrust Record")</f>
        <v/>
      </c>
      <c r="AS1308">
        <f>HYPERLINK("https://creighton-primo.hosted.exlibrisgroup.com/primo-explore/search?tab=default_tab&amp;search_scope=EVERYTHING&amp;vid=01CRU&amp;lang=en_US&amp;offset=0&amp;query=any,contains,991004790739702656","Catalog Record")</f>
        <v/>
      </c>
      <c r="AT1308">
        <f>HYPERLINK("http://www.worldcat.org/oclc/5171035","WorldCat Record")</f>
        <v/>
      </c>
      <c r="AU1308" t="inlineStr">
        <is>
          <t>541529:eng</t>
        </is>
      </c>
      <c r="AV1308" t="inlineStr">
        <is>
          <t>5171035</t>
        </is>
      </c>
      <c r="AW1308" t="inlineStr">
        <is>
          <t>991004790739702656</t>
        </is>
      </c>
      <c r="AX1308" t="inlineStr">
        <is>
          <t>991004790739702656</t>
        </is>
      </c>
      <c r="AY1308" t="inlineStr">
        <is>
          <t>2258893160002656</t>
        </is>
      </c>
      <c r="AZ1308" t="inlineStr">
        <is>
          <t>BOOK</t>
        </is>
      </c>
      <c r="BB1308" t="inlineStr">
        <is>
          <t>9780882295664</t>
        </is>
      </c>
      <c r="BC1308" t="inlineStr">
        <is>
          <t>32285000073436</t>
        </is>
      </c>
      <c r="BD1308" t="inlineStr">
        <is>
          <t>893706845</t>
        </is>
      </c>
    </row>
    <row r="1309">
      <c r="A1309" t="inlineStr">
        <is>
          <t>No</t>
        </is>
      </c>
      <c r="B1309" t="inlineStr">
        <is>
          <t>RC566 .D53</t>
        </is>
      </c>
      <c r="C1309" t="inlineStr">
        <is>
          <t>0                      RC 0566000D  53</t>
        </is>
      </c>
      <c r="D1309" t="inlineStr">
        <is>
          <t>Differential treatment of drug and alcohol abusers / edited by Carl S. Davis and Marlin Ruth Schmidt ; written by Herbert Cross ... [et al.].</t>
        </is>
      </c>
      <c r="F1309" t="inlineStr">
        <is>
          <t>No</t>
        </is>
      </c>
      <c r="G1309" t="inlineStr">
        <is>
          <t>1</t>
        </is>
      </c>
      <c r="H1309" t="inlineStr">
        <is>
          <t>No</t>
        </is>
      </c>
      <c r="I1309" t="inlineStr">
        <is>
          <t>No</t>
        </is>
      </c>
      <c r="J1309" t="inlineStr">
        <is>
          <t>0</t>
        </is>
      </c>
      <c r="L1309" t="inlineStr">
        <is>
          <t>Palm Springs, Calif. : ETC Publications, c1977.</t>
        </is>
      </c>
      <c r="M1309" t="inlineStr">
        <is>
          <t>1977</t>
        </is>
      </c>
      <c r="O1309" t="inlineStr">
        <is>
          <t>eng</t>
        </is>
      </c>
      <c r="P1309" t="inlineStr">
        <is>
          <t>cau</t>
        </is>
      </c>
      <c r="R1309" t="inlineStr">
        <is>
          <t xml:space="preserve">RC </t>
        </is>
      </c>
      <c r="S1309" t="n">
        <v>7</v>
      </c>
      <c r="T1309" t="n">
        <v>7</v>
      </c>
      <c r="U1309" t="inlineStr">
        <is>
          <t>1998-04-04</t>
        </is>
      </c>
      <c r="V1309" t="inlineStr">
        <is>
          <t>1998-04-04</t>
        </is>
      </c>
      <c r="W1309" t="inlineStr">
        <is>
          <t>1993-03-23</t>
        </is>
      </c>
      <c r="X1309" t="inlineStr">
        <is>
          <t>1993-03-23</t>
        </is>
      </c>
      <c r="Y1309" t="n">
        <v>110</v>
      </c>
      <c r="Z1309" t="n">
        <v>97</v>
      </c>
      <c r="AA1309" t="n">
        <v>99</v>
      </c>
      <c r="AB1309" t="n">
        <v>2</v>
      </c>
      <c r="AC1309" t="n">
        <v>2</v>
      </c>
      <c r="AD1309" t="n">
        <v>3</v>
      </c>
      <c r="AE1309" t="n">
        <v>3</v>
      </c>
      <c r="AF1309" t="n">
        <v>2</v>
      </c>
      <c r="AG1309" t="n">
        <v>2</v>
      </c>
      <c r="AH1309" t="n">
        <v>0</v>
      </c>
      <c r="AI1309" t="n">
        <v>0</v>
      </c>
      <c r="AJ1309" t="n">
        <v>0</v>
      </c>
      <c r="AK1309" t="n">
        <v>0</v>
      </c>
      <c r="AL1309" t="n">
        <v>1</v>
      </c>
      <c r="AM1309" t="n">
        <v>1</v>
      </c>
      <c r="AN1309" t="n">
        <v>0</v>
      </c>
      <c r="AO1309" t="n">
        <v>0</v>
      </c>
      <c r="AP1309" t="inlineStr">
        <is>
          <t>No</t>
        </is>
      </c>
      <c r="AQ1309" t="inlineStr">
        <is>
          <t>Yes</t>
        </is>
      </c>
      <c r="AR1309">
        <f>HYPERLINK("http://catalog.hathitrust.org/Record/000127494","HathiTrust Record")</f>
        <v/>
      </c>
      <c r="AS1309">
        <f>HYPERLINK("https://creighton-primo.hosted.exlibrisgroup.com/primo-explore/search?tab=default_tab&amp;search_scope=EVERYTHING&amp;vid=01CRU&amp;lang=en_US&amp;offset=0&amp;query=any,contains,991004184759702656","Catalog Record")</f>
        <v/>
      </c>
      <c r="AT1309">
        <f>HYPERLINK("http://www.worldcat.org/oclc/2614261","WorldCat Record")</f>
        <v/>
      </c>
      <c r="AU1309" t="inlineStr">
        <is>
          <t>542670:eng</t>
        </is>
      </c>
      <c r="AV1309" t="inlineStr">
        <is>
          <t>2614261</t>
        </is>
      </c>
      <c r="AW1309" t="inlineStr">
        <is>
          <t>991004184759702656</t>
        </is>
      </c>
      <c r="AX1309" t="inlineStr">
        <is>
          <t>991004184759702656</t>
        </is>
      </c>
      <c r="AY1309" t="inlineStr">
        <is>
          <t>2266036230002656</t>
        </is>
      </c>
      <c r="AZ1309" t="inlineStr">
        <is>
          <t>BOOK</t>
        </is>
      </c>
      <c r="BB1309" t="inlineStr">
        <is>
          <t>9780882800486</t>
        </is>
      </c>
      <c r="BC1309" t="inlineStr">
        <is>
          <t>32285001607521</t>
        </is>
      </c>
      <c r="BD1309" t="inlineStr">
        <is>
          <t>893605734</t>
        </is>
      </c>
    </row>
    <row r="1310">
      <c r="A1310" t="inlineStr">
        <is>
          <t>No</t>
        </is>
      </c>
      <c r="B1310" t="inlineStr">
        <is>
          <t>RC566 .D78 1977</t>
        </is>
      </c>
      <c r="C1310" t="inlineStr">
        <is>
          <t>0                      RC 0566000D  78          1977</t>
        </is>
      </c>
      <c r="D1310" t="inlineStr">
        <is>
          <t>Drug dependence : current problems and issues / edited by M. M. Glatt.</t>
        </is>
      </c>
      <c r="F1310" t="inlineStr">
        <is>
          <t>No</t>
        </is>
      </c>
      <c r="G1310" t="inlineStr">
        <is>
          <t>1</t>
        </is>
      </c>
      <c r="H1310" t="inlineStr">
        <is>
          <t>No</t>
        </is>
      </c>
      <c r="I1310" t="inlineStr">
        <is>
          <t>No</t>
        </is>
      </c>
      <c r="J1310" t="inlineStr">
        <is>
          <t>0</t>
        </is>
      </c>
      <c r="L1310" t="inlineStr">
        <is>
          <t>Baltimore : University Park Press, c1977.</t>
        </is>
      </c>
      <c r="M1310" t="inlineStr">
        <is>
          <t>1977</t>
        </is>
      </c>
      <c r="O1310" t="inlineStr">
        <is>
          <t>eng</t>
        </is>
      </c>
      <c r="P1310" t="inlineStr">
        <is>
          <t>mdu</t>
        </is>
      </c>
      <c r="R1310" t="inlineStr">
        <is>
          <t xml:space="preserve">RC </t>
        </is>
      </c>
      <c r="S1310" t="n">
        <v>6</v>
      </c>
      <c r="T1310" t="n">
        <v>6</v>
      </c>
      <c r="U1310" t="inlineStr">
        <is>
          <t>1998-04-04</t>
        </is>
      </c>
      <c r="V1310" t="inlineStr">
        <is>
          <t>1998-04-04</t>
        </is>
      </c>
      <c r="W1310" t="inlineStr">
        <is>
          <t>1992-04-06</t>
        </is>
      </c>
      <c r="X1310" t="inlineStr">
        <is>
          <t>1992-04-06</t>
        </is>
      </c>
      <c r="Y1310" t="n">
        <v>302</v>
      </c>
      <c r="Z1310" t="n">
        <v>275</v>
      </c>
      <c r="AA1310" t="n">
        <v>310</v>
      </c>
      <c r="AB1310" t="n">
        <v>3</v>
      </c>
      <c r="AC1310" t="n">
        <v>4</v>
      </c>
      <c r="AD1310" t="n">
        <v>10</v>
      </c>
      <c r="AE1310" t="n">
        <v>10</v>
      </c>
      <c r="AF1310" t="n">
        <v>3</v>
      </c>
      <c r="AG1310" t="n">
        <v>3</v>
      </c>
      <c r="AH1310" t="n">
        <v>2</v>
      </c>
      <c r="AI1310" t="n">
        <v>2</v>
      </c>
      <c r="AJ1310" t="n">
        <v>7</v>
      </c>
      <c r="AK1310" t="n">
        <v>7</v>
      </c>
      <c r="AL1310" t="n">
        <v>2</v>
      </c>
      <c r="AM1310" t="n">
        <v>2</v>
      </c>
      <c r="AN1310" t="n">
        <v>0</v>
      </c>
      <c r="AO1310" t="n">
        <v>0</v>
      </c>
      <c r="AP1310" t="inlineStr">
        <is>
          <t>No</t>
        </is>
      </c>
      <c r="AQ1310" t="inlineStr">
        <is>
          <t>Yes</t>
        </is>
      </c>
      <c r="AR1310">
        <f>HYPERLINK("http://catalog.hathitrust.org/Record/000173235","HathiTrust Record")</f>
        <v/>
      </c>
      <c r="AS1310">
        <f>HYPERLINK("https://creighton-primo.hosted.exlibrisgroup.com/primo-explore/search?tab=default_tab&amp;search_scope=EVERYTHING&amp;vid=01CRU&amp;lang=en_US&amp;offset=0&amp;query=any,contains,991004244529702656","Catalog Record")</f>
        <v/>
      </c>
      <c r="AT1310">
        <f>HYPERLINK("http://www.worldcat.org/oclc/2797924","WorldCat Record")</f>
        <v/>
      </c>
      <c r="AU1310" t="inlineStr">
        <is>
          <t>54154427:eng</t>
        </is>
      </c>
      <c r="AV1310" t="inlineStr">
        <is>
          <t>2797924</t>
        </is>
      </c>
      <c r="AW1310" t="inlineStr">
        <is>
          <t>991004244529702656</t>
        </is>
      </c>
      <c r="AX1310" t="inlineStr">
        <is>
          <t>991004244529702656</t>
        </is>
      </c>
      <c r="AY1310" t="inlineStr">
        <is>
          <t>2266094070002656</t>
        </is>
      </c>
      <c r="AZ1310" t="inlineStr">
        <is>
          <t>BOOK</t>
        </is>
      </c>
      <c r="BB1310" t="inlineStr">
        <is>
          <t>9780839111016</t>
        </is>
      </c>
      <c r="BC1310" t="inlineStr">
        <is>
          <t>32285001034189</t>
        </is>
      </c>
      <c r="BD1310" t="inlineStr">
        <is>
          <t>893782013</t>
        </is>
      </c>
    </row>
    <row r="1311">
      <c r="A1311" t="inlineStr">
        <is>
          <t>No</t>
        </is>
      </c>
      <c r="B1311" t="inlineStr">
        <is>
          <t>RC566 .G64</t>
        </is>
      </c>
      <c r="C1311" t="inlineStr">
        <is>
          <t>0                      RC 0566000G  64</t>
        </is>
      </c>
      <c r="D1311" t="inlineStr">
        <is>
          <t>What you should know about drugs / [by] Charles W. Gorodetzky and Samuel T. Christian.</t>
        </is>
      </c>
      <c r="F1311" t="inlineStr">
        <is>
          <t>No</t>
        </is>
      </c>
      <c r="G1311" t="inlineStr">
        <is>
          <t>1</t>
        </is>
      </c>
      <c r="H1311" t="inlineStr">
        <is>
          <t>No</t>
        </is>
      </c>
      <c r="I1311" t="inlineStr">
        <is>
          <t>No</t>
        </is>
      </c>
      <c r="J1311" t="inlineStr">
        <is>
          <t>0</t>
        </is>
      </c>
      <c r="K1311" t="inlineStr">
        <is>
          <t>Gorodetzky, Charles W. (Charles William), 1937-</t>
        </is>
      </c>
      <c r="L1311" t="inlineStr">
        <is>
          <t>New York : Harcourt Brace Jovanovich, [1970]</t>
        </is>
      </c>
      <c r="M1311" t="inlineStr">
        <is>
          <t>1970</t>
        </is>
      </c>
      <c r="N1311" t="inlineStr">
        <is>
          <t>[1st ed.]</t>
        </is>
      </c>
      <c r="O1311" t="inlineStr">
        <is>
          <t>eng</t>
        </is>
      </c>
      <c r="P1311" t="inlineStr">
        <is>
          <t>nyu</t>
        </is>
      </c>
      <c r="R1311" t="inlineStr">
        <is>
          <t xml:space="preserve">RC </t>
        </is>
      </c>
      <c r="S1311" t="n">
        <v>4</v>
      </c>
      <c r="T1311" t="n">
        <v>4</v>
      </c>
      <c r="U1311" t="inlineStr">
        <is>
          <t>1994-04-04</t>
        </is>
      </c>
      <c r="V1311" t="inlineStr">
        <is>
          <t>1994-04-04</t>
        </is>
      </c>
      <c r="W1311" t="inlineStr">
        <is>
          <t>1993-03-24</t>
        </is>
      </c>
      <c r="X1311" t="inlineStr">
        <is>
          <t>1993-03-24</t>
        </is>
      </c>
      <c r="Y1311" t="n">
        <v>427</v>
      </c>
      <c r="Z1311" t="n">
        <v>399</v>
      </c>
      <c r="AA1311" t="n">
        <v>412</v>
      </c>
      <c r="AB1311" t="n">
        <v>7</v>
      </c>
      <c r="AC1311" t="n">
        <v>7</v>
      </c>
      <c r="AD1311" t="n">
        <v>4</v>
      </c>
      <c r="AE1311" t="n">
        <v>4</v>
      </c>
      <c r="AF1311" t="n">
        <v>0</v>
      </c>
      <c r="AG1311" t="n">
        <v>0</v>
      </c>
      <c r="AH1311" t="n">
        <v>0</v>
      </c>
      <c r="AI1311" t="n">
        <v>0</v>
      </c>
      <c r="AJ1311" t="n">
        <v>1</v>
      </c>
      <c r="AK1311" t="n">
        <v>1</v>
      </c>
      <c r="AL1311" t="n">
        <v>3</v>
      </c>
      <c r="AM1311" t="n">
        <v>3</v>
      </c>
      <c r="AN1311" t="n">
        <v>0</v>
      </c>
      <c r="AO1311" t="n">
        <v>0</v>
      </c>
      <c r="AP1311" t="inlineStr">
        <is>
          <t>No</t>
        </is>
      </c>
      <c r="AQ1311" t="inlineStr">
        <is>
          <t>No</t>
        </is>
      </c>
      <c r="AS1311">
        <f>HYPERLINK("https://creighton-primo.hosted.exlibrisgroup.com/primo-explore/search?tab=default_tab&amp;search_scope=EVERYTHING&amp;vid=01CRU&amp;lang=en_US&amp;offset=0&amp;query=any,contains,991000580609702656","Catalog Record")</f>
        <v/>
      </c>
      <c r="AT1311">
        <f>HYPERLINK("http://www.worldcat.org/oclc/95575","WorldCat Record")</f>
        <v/>
      </c>
      <c r="AU1311" t="inlineStr">
        <is>
          <t>358353314:eng</t>
        </is>
      </c>
      <c r="AV1311" t="inlineStr">
        <is>
          <t>95575</t>
        </is>
      </c>
      <c r="AW1311" t="inlineStr">
        <is>
          <t>991000580609702656</t>
        </is>
      </c>
      <c r="AX1311" t="inlineStr">
        <is>
          <t>991000580609702656</t>
        </is>
      </c>
      <c r="AY1311" t="inlineStr">
        <is>
          <t>2272360200002656</t>
        </is>
      </c>
      <c r="AZ1311" t="inlineStr">
        <is>
          <t>BOOK</t>
        </is>
      </c>
      <c r="BB1311" t="inlineStr">
        <is>
          <t>9780152955106</t>
        </is>
      </c>
      <c r="BC1311" t="inlineStr">
        <is>
          <t>32285001579746</t>
        </is>
      </c>
      <c r="BD1311" t="inlineStr">
        <is>
          <t>893614314</t>
        </is>
      </c>
    </row>
    <row r="1312">
      <c r="A1312" t="inlineStr">
        <is>
          <t>No</t>
        </is>
      </c>
      <c r="B1312" t="inlineStr">
        <is>
          <t>RC566 .J63 1973</t>
        </is>
      </c>
      <c r="C1312" t="inlineStr">
        <is>
          <t>0                      RC 0566000J  63          1973</t>
        </is>
      </c>
      <c r="D1312" t="inlineStr">
        <is>
          <t>Drugs and alcohol / [by] Kenneth L. Jones, Louis W. Shainberg [and] Curtis O. Byer.</t>
        </is>
      </c>
      <c r="F1312" t="inlineStr">
        <is>
          <t>No</t>
        </is>
      </c>
      <c r="G1312" t="inlineStr">
        <is>
          <t>1</t>
        </is>
      </c>
      <c r="H1312" t="inlineStr">
        <is>
          <t>No</t>
        </is>
      </c>
      <c r="I1312" t="inlineStr">
        <is>
          <t>No</t>
        </is>
      </c>
      <c r="J1312" t="inlineStr">
        <is>
          <t>0</t>
        </is>
      </c>
      <c r="K1312" t="inlineStr">
        <is>
          <t>Jones, Kenneth Lamar, 1931-</t>
        </is>
      </c>
      <c r="L1312" t="inlineStr">
        <is>
          <t>New York : Harper &amp; Row, [1973]</t>
        </is>
      </c>
      <c r="M1312" t="inlineStr">
        <is>
          <t>1973</t>
        </is>
      </c>
      <c r="N1312" t="inlineStr">
        <is>
          <t>2d ed.</t>
        </is>
      </c>
      <c r="O1312" t="inlineStr">
        <is>
          <t>eng</t>
        </is>
      </c>
      <c r="P1312" t="inlineStr">
        <is>
          <t>nyu</t>
        </is>
      </c>
      <c r="R1312" t="inlineStr">
        <is>
          <t xml:space="preserve">RC </t>
        </is>
      </c>
      <c r="S1312" t="n">
        <v>16</v>
      </c>
      <c r="T1312" t="n">
        <v>16</v>
      </c>
      <c r="U1312" t="inlineStr">
        <is>
          <t>2008-01-16</t>
        </is>
      </c>
      <c r="V1312" t="inlineStr">
        <is>
          <t>2008-01-16</t>
        </is>
      </c>
      <c r="W1312" t="inlineStr">
        <is>
          <t>1992-04-14</t>
        </is>
      </c>
      <c r="X1312" t="inlineStr">
        <is>
          <t>1992-04-14</t>
        </is>
      </c>
      <c r="Y1312" t="n">
        <v>244</v>
      </c>
      <c r="Z1312" t="n">
        <v>191</v>
      </c>
      <c r="AA1312" t="n">
        <v>583</v>
      </c>
      <c r="AB1312" t="n">
        <v>2</v>
      </c>
      <c r="AC1312" t="n">
        <v>5</v>
      </c>
      <c r="AD1312" t="n">
        <v>6</v>
      </c>
      <c r="AE1312" t="n">
        <v>18</v>
      </c>
      <c r="AF1312" t="n">
        <v>3</v>
      </c>
      <c r="AG1312" t="n">
        <v>6</v>
      </c>
      <c r="AH1312" t="n">
        <v>1</v>
      </c>
      <c r="AI1312" t="n">
        <v>4</v>
      </c>
      <c r="AJ1312" t="n">
        <v>5</v>
      </c>
      <c r="AK1312" t="n">
        <v>10</v>
      </c>
      <c r="AL1312" t="n">
        <v>1</v>
      </c>
      <c r="AM1312" t="n">
        <v>4</v>
      </c>
      <c r="AN1312" t="n">
        <v>0</v>
      </c>
      <c r="AO1312" t="n">
        <v>0</v>
      </c>
      <c r="AP1312" t="inlineStr">
        <is>
          <t>No</t>
        </is>
      </c>
      <c r="AQ1312" t="inlineStr">
        <is>
          <t>Yes</t>
        </is>
      </c>
      <c r="AR1312">
        <f>HYPERLINK("http://catalog.hathitrust.org/Record/001565290","HathiTrust Record")</f>
        <v/>
      </c>
      <c r="AS1312">
        <f>HYPERLINK("https://creighton-primo.hosted.exlibrisgroup.com/primo-explore/search?tab=default_tab&amp;search_scope=EVERYTHING&amp;vid=01CRU&amp;lang=en_US&amp;offset=0&amp;query=any,contains,991003085779702656","Catalog Record")</f>
        <v/>
      </c>
      <c r="AT1312">
        <f>HYPERLINK("http://www.worldcat.org/oclc/636326","WorldCat Record")</f>
        <v/>
      </c>
      <c r="AU1312" t="inlineStr">
        <is>
          <t>1136018:eng</t>
        </is>
      </c>
      <c r="AV1312" t="inlineStr">
        <is>
          <t>636326</t>
        </is>
      </c>
      <c r="AW1312" t="inlineStr">
        <is>
          <t>991003085779702656</t>
        </is>
      </c>
      <c r="AX1312" t="inlineStr">
        <is>
          <t>991003085779702656</t>
        </is>
      </c>
      <c r="AY1312" t="inlineStr">
        <is>
          <t>2255321870002656</t>
        </is>
      </c>
      <c r="AZ1312" t="inlineStr">
        <is>
          <t>BOOK</t>
        </is>
      </c>
      <c r="BB1312" t="inlineStr">
        <is>
          <t>9780060434298</t>
        </is>
      </c>
      <c r="BC1312" t="inlineStr">
        <is>
          <t>32285001036689</t>
        </is>
      </c>
      <c r="BD1312" t="inlineStr">
        <is>
          <t>893428426</t>
        </is>
      </c>
    </row>
    <row r="1313">
      <c r="A1313" t="inlineStr">
        <is>
          <t>No</t>
        </is>
      </c>
      <c r="B1313" t="inlineStr">
        <is>
          <t>RC566 .L58</t>
        </is>
      </c>
      <c r="C1313" t="inlineStr">
        <is>
          <t>0                      RC 0566000L  58</t>
        </is>
      </c>
      <c r="D1313" t="inlineStr">
        <is>
          <t>Longitudinal research on drug use : empirical findings and methodological issues / edited by Denise B. Kandel. --</t>
        </is>
      </c>
      <c r="F1313" t="inlineStr">
        <is>
          <t>No</t>
        </is>
      </c>
      <c r="G1313" t="inlineStr">
        <is>
          <t>1</t>
        </is>
      </c>
      <c r="H1313" t="inlineStr">
        <is>
          <t>No</t>
        </is>
      </c>
      <c r="I1313" t="inlineStr">
        <is>
          <t>No</t>
        </is>
      </c>
      <c r="J1313" t="inlineStr">
        <is>
          <t>0</t>
        </is>
      </c>
      <c r="L1313" t="inlineStr">
        <is>
          <t>Washington : Hemisphere Pub. Corp. ; New York : distributed solely by Halsted Press, c1978.</t>
        </is>
      </c>
      <c r="M1313" t="inlineStr">
        <is>
          <t>1978</t>
        </is>
      </c>
      <c r="O1313" t="inlineStr">
        <is>
          <t>eng</t>
        </is>
      </c>
      <c r="P1313" t="inlineStr">
        <is>
          <t>dcu</t>
        </is>
      </c>
      <c r="R1313" t="inlineStr">
        <is>
          <t xml:space="preserve">RC </t>
        </is>
      </c>
      <c r="S1313" t="n">
        <v>4</v>
      </c>
      <c r="T1313" t="n">
        <v>4</v>
      </c>
      <c r="U1313" t="inlineStr">
        <is>
          <t>2001-03-30</t>
        </is>
      </c>
      <c r="V1313" t="inlineStr">
        <is>
          <t>2001-03-30</t>
        </is>
      </c>
      <c r="W1313" t="inlineStr">
        <is>
          <t>1993-03-23</t>
        </is>
      </c>
      <c r="X1313" t="inlineStr">
        <is>
          <t>1993-03-23</t>
        </is>
      </c>
      <c r="Y1313" t="n">
        <v>381</v>
      </c>
      <c r="Z1313" t="n">
        <v>308</v>
      </c>
      <c r="AA1313" t="n">
        <v>315</v>
      </c>
      <c r="AB1313" t="n">
        <v>3</v>
      </c>
      <c r="AC1313" t="n">
        <v>3</v>
      </c>
      <c r="AD1313" t="n">
        <v>9</v>
      </c>
      <c r="AE1313" t="n">
        <v>9</v>
      </c>
      <c r="AF1313" t="n">
        <v>4</v>
      </c>
      <c r="AG1313" t="n">
        <v>4</v>
      </c>
      <c r="AH1313" t="n">
        <v>3</v>
      </c>
      <c r="AI1313" t="n">
        <v>3</v>
      </c>
      <c r="AJ1313" t="n">
        <v>4</v>
      </c>
      <c r="AK1313" t="n">
        <v>4</v>
      </c>
      <c r="AL1313" t="n">
        <v>1</v>
      </c>
      <c r="AM1313" t="n">
        <v>1</v>
      </c>
      <c r="AN1313" t="n">
        <v>0</v>
      </c>
      <c r="AO1313" t="n">
        <v>0</v>
      </c>
      <c r="AP1313" t="inlineStr">
        <is>
          <t>No</t>
        </is>
      </c>
      <c r="AQ1313" t="inlineStr">
        <is>
          <t>Yes</t>
        </is>
      </c>
      <c r="AR1313">
        <f>HYPERLINK("http://catalog.hathitrust.org/Record/000135201","HathiTrust Record")</f>
        <v/>
      </c>
      <c r="AS1313">
        <f>HYPERLINK("https://creighton-primo.hosted.exlibrisgroup.com/primo-explore/search?tab=default_tab&amp;search_scope=EVERYTHING&amp;vid=01CRU&amp;lang=en_US&amp;offset=0&amp;query=any,contains,991004525409702656","Catalog Record")</f>
        <v/>
      </c>
      <c r="AT1313">
        <f>HYPERLINK("http://www.worldcat.org/oclc/3843267","WorldCat Record")</f>
        <v/>
      </c>
      <c r="AU1313" t="inlineStr">
        <is>
          <t>904525307:eng</t>
        </is>
      </c>
      <c r="AV1313" t="inlineStr">
        <is>
          <t>3843267</t>
        </is>
      </c>
      <c r="AW1313" t="inlineStr">
        <is>
          <t>991004525409702656</t>
        </is>
      </c>
      <c r="AX1313" t="inlineStr">
        <is>
          <t>991004525409702656</t>
        </is>
      </c>
      <c r="AY1313" t="inlineStr">
        <is>
          <t>2266399530002656</t>
        </is>
      </c>
      <c r="AZ1313" t="inlineStr">
        <is>
          <t>BOOK</t>
        </is>
      </c>
      <c r="BB1313" t="inlineStr">
        <is>
          <t>9780470262870</t>
        </is>
      </c>
      <c r="BC1313" t="inlineStr">
        <is>
          <t>32285001607539</t>
        </is>
      </c>
      <c r="BD1313" t="inlineStr">
        <is>
          <t>893612457</t>
        </is>
      </c>
    </row>
    <row r="1314">
      <c r="A1314" t="inlineStr">
        <is>
          <t>No</t>
        </is>
      </c>
      <c r="B1314" t="inlineStr">
        <is>
          <t>RC566 .L62</t>
        </is>
      </c>
      <c r="C1314" t="inlineStr">
        <is>
          <t>0                      RC 0566000L  62</t>
        </is>
      </c>
      <c r="D1314" t="inlineStr">
        <is>
          <t>Overcoming drugs : a program for action / [by] Donald B. Louria.</t>
        </is>
      </c>
      <c r="F1314" t="inlineStr">
        <is>
          <t>No</t>
        </is>
      </c>
      <c r="G1314" t="inlineStr">
        <is>
          <t>1</t>
        </is>
      </c>
      <c r="H1314" t="inlineStr">
        <is>
          <t>No</t>
        </is>
      </c>
      <c r="I1314" t="inlineStr">
        <is>
          <t>No</t>
        </is>
      </c>
      <c r="J1314" t="inlineStr">
        <is>
          <t>0</t>
        </is>
      </c>
      <c r="K1314" t="inlineStr">
        <is>
          <t>Louria, Donald B.</t>
        </is>
      </c>
      <c r="L1314" t="inlineStr">
        <is>
          <t>New York : McGraw-Hill, [1971]</t>
        </is>
      </c>
      <c r="M1314" t="inlineStr">
        <is>
          <t>1971</t>
        </is>
      </c>
      <c r="N1314" t="inlineStr">
        <is>
          <t>[1st ed.]</t>
        </is>
      </c>
      <c r="O1314" t="inlineStr">
        <is>
          <t>eng</t>
        </is>
      </c>
      <c r="P1314" t="inlineStr">
        <is>
          <t>nyu</t>
        </is>
      </c>
      <c r="R1314" t="inlineStr">
        <is>
          <t xml:space="preserve">RC </t>
        </is>
      </c>
      <c r="S1314" t="n">
        <v>1</v>
      </c>
      <c r="T1314" t="n">
        <v>1</v>
      </c>
      <c r="U1314" t="inlineStr">
        <is>
          <t>2008-01-16</t>
        </is>
      </c>
      <c r="V1314" t="inlineStr">
        <is>
          <t>2008-01-16</t>
        </is>
      </c>
      <c r="W1314" t="inlineStr">
        <is>
          <t>1991-09-26</t>
        </is>
      </c>
      <c r="X1314" t="inlineStr">
        <is>
          <t>1991-09-26</t>
        </is>
      </c>
      <c r="Y1314" t="n">
        <v>510</v>
      </c>
      <c r="Z1314" t="n">
        <v>443</v>
      </c>
      <c r="AA1314" t="n">
        <v>468</v>
      </c>
      <c r="AB1314" t="n">
        <v>7</v>
      </c>
      <c r="AC1314" t="n">
        <v>7</v>
      </c>
      <c r="AD1314" t="n">
        <v>12</v>
      </c>
      <c r="AE1314" t="n">
        <v>12</v>
      </c>
      <c r="AF1314" t="n">
        <v>1</v>
      </c>
      <c r="AG1314" t="n">
        <v>1</v>
      </c>
      <c r="AH1314" t="n">
        <v>2</v>
      </c>
      <c r="AI1314" t="n">
        <v>2</v>
      </c>
      <c r="AJ1314" t="n">
        <v>7</v>
      </c>
      <c r="AK1314" t="n">
        <v>7</v>
      </c>
      <c r="AL1314" t="n">
        <v>3</v>
      </c>
      <c r="AM1314" t="n">
        <v>3</v>
      </c>
      <c r="AN1314" t="n">
        <v>1</v>
      </c>
      <c r="AO1314" t="n">
        <v>1</v>
      </c>
      <c r="AP1314" t="inlineStr">
        <is>
          <t>No</t>
        </is>
      </c>
      <c r="AQ1314" t="inlineStr">
        <is>
          <t>Yes</t>
        </is>
      </c>
      <c r="AR1314">
        <f>HYPERLINK("http://catalog.hathitrust.org/Record/001565293","HathiTrust Record")</f>
        <v/>
      </c>
      <c r="AS1314">
        <f>HYPERLINK("https://creighton-primo.hosted.exlibrisgroup.com/primo-explore/search?tab=default_tab&amp;search_scope=EVERYTHING&amp;vid=01CRU&amp;lang=en_US&amp;offset=0&amp;query=any,contains,991000859949702656","Catalog Record")</f>
        <v/>
      </c>
      <c r="AT1314">
        <f>HYPERLINK("http://www.worldcat.org/oclc/150190","WorldCat Record")</f>
        <v/>
      </c>
      <c r="AU1314" t="inlineStr">
        <is>
          <t>1167535:eng</t>
        </is>
      </c>
      <c r="AV1314" t="inlineStr">
        <is>
          <t>150190</t>
        </is>
      </c>
      <c r="AW1314" t="inlineStr">
        <is>
          <t>991000859949702656</t>
        </is>
      </c>
      <c r="AX1314" t="inlineStr">
        <is>
          <t>991000859949702656</t>
        </is>
      </c>
      <c r="AY1314" t="inlineStr">
        <is>
          <t>2271021440002656</t>
        </is>
      </c>
      <c r="AZ1314" t="inlineStr">
        <is>
          <t>BOOK</t>
        </is>
      </c>
      <c r="BB1314" t="inlineStr">
        <is>
          <t>9780070387799</t>
        </is>
      </c>
      <c r="BC1314" t="inlineStr">
        <is>
          <t>32285000760289</t>
        </is>
      </c>
      <c r="BD1314" t="inlineStr">
        <is>
          <t>893595958</t>
        </is>
      </c>
    </row>
    <row r="1315">
      <c r="A1315" t="inlineStr">
        <is>
          <t>No</t>
        </is>
      </c>
      <c r="B1315" t="inlineStr">
        <is>
          <t>RC566 .M3 1967</t>
        </is>
      </c>
      <c r="C1315" t="inlineStr">
        <is>
          <t>0                      RC 0566000M  3           1967</t>
        </is>
      </c>
      <c r="D1315" t="inlineStr">
        <is>
          <t>Narcotics and narcotic addiction / by David W. Maurer and Victor H. Vogel.</t>
        </is>
      </c>
      <c r="F1315" t="inlineStr">
        <is>
          <t>No</t>
        </is>
      </c>
      <c r="G1315" t="inlineStr">
        <is>
          <t>1</t>
        </is>
      </c>
      <c r="H1315" t="inlineStr">
        <is>
          <t>No</t>
        </is>
      </c>
      <c r="I1315" t="inlineStr">
        <is>
          <t>No</t>
        </is>
      </c>
      <c r="J1315" t="inlineStr">
        <is>
          <t>0</t>
        </is>
      </c>
      <c r="K1315" t="inlineStr">
        <is>
          <t>Maurer, David W.</t>
        </is>
      </c>
      <c r="L1315" t="inlineStr">
        <is>
          <t>Springfield, Ill. : C. C. Thomas, [1967]</t>
        </is>
      </c>
      <c r="M1315" t="inlineStr">
        <is>
          <t>1967</t>
        </is>
      </c>
      <c r="N1315" t="inlineStr">
        <is>
          <t>3d ed.</t>
        </is>
      </c>
      <c r="O1315" t="inlineStr">
        <is>
          <t>eng</t>
        </is>
      </c>
      <c r="P1315" t="inlineStr">
        <is>
          <t>ilu</t>
        </is>
      </c>
      <c r="Q1315" t="inlineStr">
        <is>
          <t>American lecture series, publication no. 668. A monograph in the Bannerstone division of American lectures in public protection</t>
        </is>
      </c>
      <c r="R1315" t="inlineStr">
        <is>
          <t xml:space="preserve">RC </t>
        </is>
      </c>
      <c r="S1315" t="n">
        <v>4</v>
      </c>
      <c r="T1315" t="n">
        <v>4</v>
      </c>
      <c r="U1315" t="inlineStr">
        <is>
          <t>1999-04-05</t>
        </is>
      </c>
      <c r="V1315" t="inlineStr">
        <is>
          <t>1999-04-05</t>
        </is>
      </c>
      <c r="W1315" t="inlineStr">
        <is>
          <t>1993-05-12</t>
        </is>
      </c>
      <c r="X1315" t="inlineStr">
        <is>
          <t>1993-05-12</t>
        </is>
      </c>
      <c r="Y1315" t="n">
        <v>392</v>
      </c>
      <c r="Z1315" t="n">
        <v>335</v>
      </c>
      <c r="AA1315" t="n">
        <v>625</v>
      </c>
      <c r="AB1315" t="n">
        <v>4</v>
      </c>
      <c r="AC1315" t="n">
        <v>4</v>
      </c>
      <c r="AD1315" t="n">
        <v>16</v>
      </c>
      <c r="AE1315" t="n">
        <v>26</v>
      </c>
      <c r="AF1315" t="n">
        <v>3</v>
      </c>
      <c r="AG1315" t="n">
        <v>7</v>
      </c>
      <c r="AH1315" t="n">
        <v>5</v>
      </c>
      <c r="AI1315" t="n">
        <v>9</v>
      </c>
      <c r="AJ1315" t="n">
        <v>5</v>
      </c>
      <c r="AK1315" t="n">
        <v>9</v>
      </c>
      <c r="AL1315" t="n">
        <v>2</v>
      </c>
      <c r="AM1315" t="n">
        <v>2</v>
      </c>
      <c r="AN1315" t="n">
        <v>5</v>
      </c>
      <c r="AO1315" t="n">
        <v>6</v>
      </c>
      <c r="AP1315" t="inlineStr">
        <is>
          <t>No</t>
        </is>
      </c>
      <c r="AQ1315" t="inlineStr">
        <is>
          <t>Yes</t>
        </is>
      </c>
      <c r="AR1315">
        <f>HYPERLINK("http://catalog.hathitrust.org/Record/000854091","HathiTrust Record")</f>
        <v/>
      </c>
      <c r="AS1315">
        <f>HYPERLINK("https://creighton-primo.hosted.exlibrisgroup.com/primo-explore/search?tab=default_tab&amp;search_scope=EVERYTHING&amp;vid=01CRU&amp;lang=en_US&amp;offset=0&amp;query=any,contains,991002095899702656","Catalog Record")</f>
        <v/>
      </c>
      <c r="AT1315">
        <f>HYPERLINK("http://www.worldcat.org/oclc/265605","WorldCat Record")</f>
        <v/>
      </c>
      <c r="AU1315" t="inlineStr">
        <is>
          <t>1382670:eng</t>
        </is>
      </c>
      <c r="AV1315" t="inlineStr">
        <is>
          <t>265605</t>
        </is>
      </c>
      <c r="AW1315" t="inlineStr">
        <is>
          <t>991002095899702656</t>
        </is>
      </c>
      <c r="AX1315" t="inlineStr">
        <is>
          <t>991002095899702656</t>
        </is>
      </c>
      <c r="AY1315" t="inlineStr">
        <is>
          <t>2267775720002656</t>
        </is>
      </c>
      <c r="AZ1315" t="inlineStr">
        <is>
          <t>BOOK</t>
        </is>
      </c>
      <c r="BC1315" t="inlineStr">
        <is>
          <t>32285001653608</t>
        </is>
      </c>
      <c r="BD1315" t="inlineStr">
        <is>
          <t>893322556</t>
        </is>
      </c>
    </row>
    <row r="1316">
      <c r="A1316" t="inlineStr">
        <is>
          <t>No</t>
        </is>
      </c>
      <c r="B1316" t="inlineStr">
        <is>
          <t>RC566 .M54</t>
        </is>
      </c>
      <c r="C1316" t="inlineStr">
        <is>
          <t>0                      RC 0566000M  54</t>
        </is>
      </c>
      <c r="D1316" t="inlineStr">
        <is>
          <t>Drug abuse and addiction : a fact book for parents, teen-agers, and young adults / introd. by Richard L. Ottinger.</t>
        </is>
      </c>
      <c r="F1316" t="inlineStr">
        <is>
          <t>No</t>
        </is>
      </c>
      <c r="G1316" t="inlineStr">
        <is>
          <t>1</t>
        </is>
      </c>
      <c r="H1316" t="inlineStr">
        <is>
          <t>No</t>
        </is>
      </c>
      <c r="I1316" t="inlineStr">
        <is>
          <t>No</t>
        </is>
      </c>
      <c r="J1316" t="inlineStr">
        <is>
          <t>0</t>
        </is>
      </c>
      <c r="K1316" t="inlineStr">
        <is>
          <t>Milbauer, Barbara.</t>
        </is>
      </c>
      <c r="L1316" t="inlineStr">
        <is>
          <t>New York : Crown Publishers, [1970]</t>
        </is>
      </c>
      <c r="M1316" t="inlineStr">
        <is>
          <t>1970</t>
        </is>
      </c>
      <c r="O1316" t="inlineStr">
        <is>
          <t>eng</t>
        </is>
      </c>
      <c r="P1316" t="inlineStr">
        <is>
          <t>nyu</t>
        </is>
      </c>
      <c r="R1316" t="inlineStr">
        <is>
          <t xml:space="preserve">RC </t>
        </is>
      </c>
      <c r="S1316" t="n">
        <v>4</v>
      </c>
      <c r="T1316" t="n">
        <v>4</v>
      </c>
      <c r="U1316" t="inlineStr">
        <is>
          <t>1995-03-16</t>
        </is>
      </c>
      <c r="V1316" t="inlineStr">
        <is>
          <t>1995-03-16</t>
        </is>
      </c>
      <c r="W1316" t="inlineStr">
        <is>
          <t>1992-04-06</t>
        </is>
      </c>
      <c r="X1316" t="inlineStr">
        <is>
          <t>1992-04-06</t>
        </is>
      </c>
      <c r="Y1316" t="n">
        <v>306</v>
      </c>
      <c r="Z1316" t="n">
        <v>283</v>
      </c>
      <c r="AA1316" t="n">
        <v>304</v>
      </c>
      <c r="AB1316" t="n">
        <v>5</v>
      </c>
      <c r="AC1316" t="n">
        <v>6</v>
      </c>
      <c r="AD1316" t="n">
        <v>8</v>
      </c>
      <c r="AE1316" t="n">
        <v>9</v>
      </c>
      <c r="AF1316" t="n">
        <v>0</v>
      </c>
      <c r="AG1316" t="n">
        <v>0</v>
      </c>
      <c r="AH1316" t="n">
        <v>1</v>
      </c>
      <c r="AI1316" t="n">
        <v>1</v>
      </c>
      <c r="AJ1316" t="n">
        <v>4</v>
      </c>
      <c r="AK1316" t="n">
        <v>4</v>
      </c>
      <c r="AL1316" t="n">
        <v>4</v>
      </c>
      <c r="AM1316" t="n">
        <v>5</v>
      </c>
      <c r="AN1316" t="n">
        <v>0</v>
      </c>
      <c r="AO1316" t="n">
        <v>0</v>
      </c>
      <c r="AP1316" t="inlineStr">
        <is>
          <t>No</t>
        </is>
      </c>
      <c r="AQ1316" t="inlineStr">
        <is>
          <t>Yes</t>
        </is>
      </c>
      <c r="AR1316">
        <f>HYPERLINK("http://catalog.hathitrust.org/Record/001565296","HathiTrust Record")</f>
        <v/>
      </c>
      <c r="AS1316">
        <f>HYPERLINK("https://creighton-primo.hosted.exlibrisgroup.com/primo-explore/search?tab=default_tab&amp;search_scope=EVERYTHING&amp;vid=01CRU&amp;lang=en_US&amp;offset=0&amp;query=any,contains,991000635949702656","Catalog Record")</f>
        <v/>
      </c>
      <c r="AT1316">
        <f>HYPERLINK("http://www.worldcat.org/oclc/107812","WorldCat Record")</f>
        <v/>
      </c>
      <c r="AU1316" t="inlineStr">
        <is>
          <t>1194568:eng</t>
        </is>
      </c>
      <c r="AV1316" t="inlineStr">
        <is>
          <t>107812</t>
        </is>
      </c>
      <c r="AW1316" t="inlineStr">
        <is>
          <t>991000635949702656</t>
        </is>
      </c>
      <c r="AX1316" t="inlineStr">
        <is>
          <t>991000635949702656</t>
        </is>
      </c>
      <c r="AY1316" t="inlineStr">
        <is>
          <t>2262021070002656</t>
        </is>
      </c>
      <c r="AZ1316" t="inlineStr">
        <is>
          <t>BOOK</t>
        </is>
      </c>
      <c r="BC1316" t="inlineStr">
        <is>
          <t>32285001034171</t>
        </is>
      </c>
      <c r="BD1316" t="inlineStr">
        <is>
          <t>893696005</t>
        </is>
      </c>
    </row>
    <row r="1317">
      <c r="A1317" t="inlineStr">
        <is>
          <t>No</t>
        </is>
      </c>
      <c r="B1317" t="inlineStr">
        <is>
          <t>RC566 .P58 1971b</t>
        </is>
      </c>
      <c r="C1317" t="inlineStr">
        <is>
          <t>0                      RC 0566000P  58          1971b</t>
        </is>
      </c>
      <c r="D1317" t="inlineStr">
        <is>
          <t>Voices from the drug culture [by] Harrison Pope, Jr.</t>
        </is>
      </c>
      <c r="F1317" t="inlineStr">
        <is>
          <t>No</t>
        </is>
      </c>
      <c r="G1317" t="inlineStr">
        <is>
          <t>1</t>
        </is>
      </c>
      <c r="H1317" t="inlineStr">
        <is>
          <t>No</t>
        </is>
      </c>
      <c r="I1317" t="inlineStr">
        <is>
          <t>No</t>
        </is>
      </c>
      <c r="J1317" t="inlineStr">
        <is>
          <t>0</t>
        </is>
      </c>
      <c r="K1317" t="inlineStr">
        <is>
          <t>Pope, Harrison.</t>
        </is>
      </c>
      <c r="L1317" t="inlineStr">
        <is>
          <t>Boston, Beacon Press [c1971]</t>
        </is>
      </c>
      <c r="M1317" t="inlineStr">
        <is>
          <t>1971</t>
        </is>
      </c>
      <c r="O1317" t="inlineStr">
        <is>
          <t>eng</t>
        </is>
      </c>
      <c r="P1317" t="inlineStr">
        <is>
          <t>mau</t>
        </is>
      </c>
      <c r="R1317" t="inlineStr">
        <is>
          <t xml:space="preserve">RC </t>
        </is>
      </c>
      <c r="S1317" t="n">
        <v>1</v>
      </c>
      <c r="T1317" t="n">
        <v>1</v>
      </c>
      <c r="U1317" t="inlineStr">
        <is>
          <t>1996-12-01</t>
        </is>
      </c>
      <c r="V1317" t="inlineStr">
        <is>
          <t>1996-12-01</t>
        </is>
      </c>
      <c r="W1317" t="inlineStr">
        <is>
          <t>1992-04-23</t>
        </is>
      </c>
      <c r="X1317" t="inlineStr">
        <is>
          <t>1992-04-23</t>
        </is>
      </c>
      <c r="Y1317" t="n">
        <v>259</v>
      </c>
      <c r="Z1317" t="n">
        <v>221</v>
      </c>
      <c r="AA1317" t="n">
        <v>246</v>
      </c>
      <c r="AB1317" t="n">
        <v>1</v>
      </c>
      <c r="AC1317" t="n">
        <v>1</v>
      </c>
      <c r="AD1317" t="n">
        <v>6</v>
      </c>
      <c r="AE1317" t="n">
        <v>8</v>
      </c>
      <c r="AF1317" t="n">
        <v>3</v>
      </c>
      <c r="AG1317" t="n">
        <v>3</v>
      </c>
      <c r="AH1317" t="n">
        <v>3</v>
      </c>
      <c r="AI1317" t="n">
        <v>4</v>
      </c>
      <c r="AJ1317" t="n">
        <v>2</v>
      </c>
      <c r="AK1317" t="n">
        <v>4</v>
      </c>
      <c r="AL1317" t="n">
        <v>0</v>
      </c>
      <c r="AM1317" t="n">
        <v>0</v>
      </c>
      <c r="AN1317" t="n">
        <v>1</v>
      </c>
      <c r="AO1317" t="n">
        <v>1</v>
      </c>
      <c r="AP1317" t="inlineStr">
        <is>
          <t>No</t>
        </is>
      </c>
      <c r="AQ1317" t="inlineStr">
        <is>
          <t>No</t>
        </is>
      </c>
      <c r="AS1317">
        <f>HYPERLINK("https://creighton-primo.hosted.exlibrisgroup.com/primo-explore/search?tab=default_tab&amp;search_scope=EVERYTHING&amp;vid=01CRU&amp;lang=en_US&amp;offset=0&amp;query=any,contains,991002192279702656","Catalog Record")</f>
        <v/>
      </c>
      <c r="AT1317">
        <f>HYPERLINK("http://www.worldcat.org/oclc/281159","WorldCat Record")</f>
        <v/>
      </c>
      <c r="AU1317" t="inlineStr">
        <is>
          <t>1328020:eng</t>
        </is>
      </c>
      <c r="AV1317" t="inlineStr">
        <is>
          <t>281159</t>
        </is>
      </c>
      <c r="AW1317" t="inlineStr">
        <is>
          <t>991002192279702656</t>
        </is>
      </c>
      <c r="AX1317" t="inlineStr">
        <is>
          <t>991002192279702656</t>
        </is>
      </c>
      <c r="AY1317" t="inlineStr">
        <is>
          <t>2264701060002656</t>
        </is>
      </c>
      <c r="AZ1317" t="inlineStr">
        <is>
          <t>BOOK</t>
        </is>
      </c>
      <c r="BB1317" t="inlineStr">
        <is>
          <t>9780807027707</t>
        </is>
      </c>
      <c r="BC1317" t="inlineStr">
        <is>
          <t>32285001054872</t>
        </is>
      </c>
      <c r="BD1317" t="inlineStr">
        <is>
          <t>893892256</t>
        </is>
      </c>
    </row>
    <row r="1318">
      <c r="A1318" t="inlineStr">
        <is>
          <t>No</t>
        </is>
      </c>
      <c r="B1318" t="inlineStr">
        <is>
          <t>RC566.A1 E18</t>
        </is>
      </c>
      <c r="C1318" t="inlineStr">
        <is>
          <t>0                      RC 0566000A  1                  E  18</t>
        </is>
      </c>
      <c r="D1318" t="inlineStr">
        <is>
          <t>Drug abuse : current concepts and research / compiled and edited by Wolfram Keup.</t>
        </is>
      </c>
      <c r="F1318" t="inlineStr">
        <is>
          <t>No</t>
        </is>
      </c>
      <c r="G1318" t="inlineStr">
        <is>
          <t>1</t>
        </is>
      </c>
      <c r="H1318" t="inlineStr">
        <is>
          <t>No</t>
        </is>
      </c>
      <c r="I1318" t="inlineStr">
        <is>
          <t>No</t>
        </is>
      </c>
      <c r="J1318" t="inlineStr">
        <is>
          <t>0</t>
        </is>
      </c>
      <c r="K1318" t="inlineStr">
        <is>
          <t>Eastern Psychiatric Research Association.</t>
        </is>
      </c>
      <c r="L1318" t="inlineStr">
        <is>
          <t>Springfield, Ill. : Thomas, [1972]</t>
        </is>
      </c>
      <c r="M1318" t="inlineStr">
        <is>
          <t>1972</t>
        </is>
      </c>
      <c r="O1318" t="inlineStr">
        <is>
          <t>eng</t>
        </is>
      </c>
      <c r="P1318" t="inlineStr">
        <is>
          <t>ilu</t>
        </is>
      </c>
      <c r="R1318" t="inlineStr">
        <is>
          <t xml:space="preserve">RC </t>
        </is>
      </c>
      <c r="S1318" t="n">
        <v>2</v>
      </c>
      <c r="T1318" t="n">
        <v>2</v>
      </c>
      <c r="U1318" t="inlineStr">
        <is>
          <t>2001-03-30</t>
        </is>
      </c>
      <c r="V1318" t="inlineStr">
        <is>
          <t>2001-03-30</t>
        </is>
      </c>
      <c r="W1318" t="inlineStr">
        <is>
          <t>1990-12-28</t>
        </is>
      </c>
      <c r="X1318" t="inlineStr">
        <is>
          <t>1990-12-28</t>
        </is>
      </c>
      <c r="Y1318" t="n">
        <v>324</v>
      </c>
      <c r="Z1318" t="n">
        <v>277</v>
      </c>
      <c r="AA1318" t="n">
        <v>278</v>
      </c>
      <c r="AB1318" t="n">
        <v>5</v>
      </c>
      <c r="AC1318" t="n">
        <v>5</v>
      </c>
      <c r="AD1318" t="n">
        <v>14</v>
      </c>
      <c r="AE1318" t="n">
        <v>14</v>
      </c>
      <c r="AF1318" t="n">
        <v>5</v>
      </c>
      <c r="AG1318" t="n">
        <v>5</v>
      </c>
      <c r="AH1318" t="n">
        <v>3</v>
      </c>
      <c r="AI1318" t="n">
        <v>3</v>
      </c>
      <c r="AJ1318" t="n">
        <v>6</v>
      </c>
      <c r="AK1318" t="n">
        <v>6</v>
      </c>
      <c r="AL1318" t="n">
        <v>3</v>
      </c>
      <c r="AM1318" t="n">
        <v>3</v>
      </c>
      <c r="AN1318" t="n">
        <v>1</v>
      </c>
      <c r="AO1318" t="n">
        <v>1</v>
      </c>
      <c r="AP1318" t="inlineStr">
        <is>
          <t>No</t>
        </is>
      </c>
      <c r="AQ1318" t="inlineStr">
        <is>
          <t>Yes</t>
        </is>
      </c>
      <c r="AR1318">
        <f>HYPERLINK("http://catalog.hathitrust.org/Record/009915465","HathiTrust Record")</f>
        <v/>
      </c>
      <c r="AS1318">
        <f>HYPERLINK("https://creighton-primo.hosted.exlibrisgroup.com/primo-explore/search?tab=default_tab&amp;search_scope=EVERYTHING&amp;vid=01CRU&amp;lang=en_US&amp;offset=0&amp;query=any,contains,991003002939702656","Catalog Record")</f>
        <v/>
      </c>
      <c r="AT1318">
        <f>HYPERLINK("http://www.worldcat.org/oclc/570359","WorldCat Record")</f>
        <v/>
      </c>
      <c r="AU1318" t="inlineStr">
        <is>
          <t>1669836:eng</t>
        </is>
      </c>
      <c r="AV1318" t="inlineStr">
        <is>
          <t>570359</t>
        </is>
      </c>
      <c r="AW1318" t="inlineStr">
        <is>
          <t>991003002939702656</t>
        </is>
      </c>
      <c r="AX1318" t="inlineStr">
        <is>
          <t>991003002939702656</t>
        </is>
      </c>
      <c r="AY1318" t="inlineStr">
        <is>
          <t>2269864530002656</t>
        </is>
      </c>
      <c r="AZ1318" t="inlineStr">
        <is>
          <t>BOOK</t>
        </is>
      </c>
      <c r="BB1318" t="inlineStr">
        <is>
          <t>9780398023317</t>
        </is>
      </c>
      <c r="BC1318" t="inlineStr">
        <is>
          <t>32285000426634</t>
        </is>
      </c>
      <c r="BD1318" t="inlineStr">
        <is>
          <t>893505091</t>
        </is>
      </c>
    </row>
    <row r="1319">
      <c r="A1319" t="inlineStr">
        <is>
          <t>No</t>
        </is>
      </c>
      <c r="B1319" t="inlineStr">
        <is>
          <t>RC567 .L38</t>
        </is>
      </c>
      <c r="C1319" t="inlineStr">
        <is>
          <t>0                      RC 0567000L  38</t>
        </is>
      </c>
      <c r="D1319" t="inlineStr">
        <is>
          <t>Learning mechanisms in smoking. Edited by William A. Hunt.</t>
        </is>
      </c>
      <c r="F1319" t="inlineStr">
        <is>
          <t>No</t>
        </is>
      </c>
      <c r="G1319" t="inlineStr">
        <is>
          <t>1</t>
        </is>
      </c>
      <c r="H1319" t="inlineStr">
        <is>
          <t>No</t>
        </is>
      </c>
      <c r="I1319" t="inlineStr">
        <is>
          <t>No</t>
        </is>
      </c>
      <c r="J1319" t="inlineStr">
        <is>
          <t>0</t>
        </is>
      </c>
      <c r="L1319" t="inlineStr">
        <is>
          <t>Chicago, Aldine Pub. Co. [1970]</t>
        </is>
      </c>
      <c r="M1319" t="inlineStr">
        <is>
          <t>1970</t>
        </is>
      </c>
      <c r="O1319" t="inlineStr">
        <is>
          <t>eng</t>
        </is>
      </c>
      <c r="P1319" t="inlineStr">
        <is>
          <t>ilu</t>
        </is>
      </c>
      <c r="Q1319" t="inlineStr">
        <is>
          <t>Modern applications of psychology</t>
        </is>
      </c>
      <c r="R1319" t="inlineStr">
        <is>
          <t xml:space="preserve">RC </t>
        </is>
      </c>
      <c r="S1319" t="n">
        <v>5</v>
      </c>
      <c r="T1319" t="n">
        <v>5</v>
      </c>
      <c r="U1319" t="inlineStr">
        <is>
          <t>2006-10-30</t>
        </is>
      </c>
      <c r="V1319" t="inlineStr">
        <is>
          <t>2006-10-30</t>
        </is>
      </c>
      <c r="W1319" t="inlineStr">
        <is>
          <t>1997-08-12</t>
        </is>
      </c>
      <c r="X1319" t="inlineStr">
        <is>
          <t>1997-08-12</t>
        </is>
      </c>
      <c r="Y1319" t="n">
        <v>334</v>
      </c>
      <c r="Z1319" t="n">
        <v>288</v>
      </c>
      <c r="AA1319" t="n">
        <v>325</v>
      </c>
      <c r="AB1319" t="n">
        <v>2</v>
      </c>
      <c r="AC1319" t="n">
        <v>2</v>
      </c>
      <c r="AD1319" t="n">
        <v>11</v>
      </c>
      <c r="AE1319" t="n">
        <v>11</v>
      </c>
      <c r="AF1319" t="n">
        <v>2</v>
      </c>
      <c r="AG1319" t="n">
        <v>2</v>
      </c>
      <c r="AH1319" t="n">
        <v>2</v>
      </c>
      <c r="AI1319" t="n">
        <v>2</v>
      </c>
      <c r="AJ1319" t="n">
        <v>8</v>
      </c>
      <c r="AK1319" t="n">
        <v>8</v>
      </c>
      <c r="AL1319" t="n">
        <v>1</v>
      </c>
      <c r="AM1319" t="n">
        <v>1</v>
      </c>
      <c r="AN1319" t="n">
        <v>0</v>
      </c>
      <c r="AO1319" t="n">
        <v>0</v>
      </c>
      <c r="AP1319" t="inlineStr">
        <is>
          <t>No</t>
        </is>
      </c>
      <c r="AQ1319" t="inlineStr">
        <is>
          <t>Yes</t>
        </is>
      </c>
      <c r="AR1319">
        <f>HYPERLINK("http://catalog.hathitrust.org/Record/001565310","HathiTrust Record")</f>
        <v/>
      </c>
      <c r="AS1319">
        <f>HYPERLINK("https://creighton-primo.hosted.exlibrisgroup.com/primo-explore/search?tab=default_tab&amp;search_scope=EVERYTHING&amp;vid=01CRU&amp;lang=en_US&amp;offset=0&amp;query=any,contains,991000616999702656","Catalog Record")</f>
        <v/>
      </c>
      <c r="AT1319">
        <f>HYPERLINK("http://www.worldcat.org/oclc/102014","WorldCat Record")</f>
        <v/>
      </c>
      <c r="AU1319" t="inlineStr">
        <is>
          <t>905200200:eng</t>
        </is>
      </c>
      <c r="AV1319" t="inlineStr">
        <is>
          <t>102014</t>
        </is>
      </c>
      <c r="AW1319" t="inlineStr">
        <is>
          <t>991000616999702656</t>
        </is>
      </c>
      <c r="AX1319" t="inlineStr">
        <is>
          <t>991000616999702656</t>
        </is>
      </c>
      <c r="AY1319" t="inlineStr">
        <is>
          <t>2261798160002656</t>
        </is>
      </c>
      <c r="AZ1319" t="inlineStr">
        <is>
          <t>BOOK</t>
        </is>
      </c>
      <c r="BB1319" t="inlineStr">
        <is>
          <t>9780202260068</t>
        </is>
      </c>
      <c r="BC1319" t="inlineStr">
        <is>
          <t>32285003092573</t>
        </is>
      </c>
      <c r="BD1319" t="inlineStr">
        <is>
          <t>893689864</t>
        </is>
      </c>
    </row>
    <row r="1320">
      <c r="A1320" t="inlineStr">
        <is>
          <t>No</t>
        </is>
      </c>
      <c r="B1320" t="inlineStr">
        <is>
          <t>RC568.C6 C627 1987</t>
        </is>
      </c>
      <c r="C1320" t="inlineStr">
        <is>
          <t>0                      RC 0568000C  6                  C  627         1987</t>
        </is>
      </c>
      <c r="D1320" t="inlineStr">
        <is>
          <t>Cocaine abuse : new directions in treatment and research / edited by Henry I. Spitz and Jeffrey S. Rosecan.</t>
        </is>
      </c>
      <c r="F1320" t="inlineStr">
        <is>
          <t>No</t>
        </is>
      </c>
      <c r="G1320" t="inlineStr">
        <is>
          <t>1</t>
        </is>
      </c>
      <c r="H1320" t="inlineStr">
        <is>
          <t>Yes</t>
        </is>
      </c>
      <c r="I1320" t="inlineStr">
        <is>
          <t>No</t>
        </is>
      </c>
      <c r="J1320" t="inlineStr">
        <is>
          <t>0</t>
        </is>
      </c>
      <c r="L1320" t="inlineStr">
        <is>
          <t>New York : Brunner/Mazel, c1987.</t>
        </is>
      </c>
      <c r="M1320" t="inlineStr">
        <is>
          <t>1987</t>
        </is>
      </c>
      <c r="O1320" t="inlineStr">
        <is>
          <t>eng</t>
        </is>
      </c>
      <c r="P1320" t="inlineStr">
        <is>
          <t>nyu</t>
        </is>
      </c>
      <c r="R1320" t="inlineStr">
        <is>
          <t xml:space="preserve">RC </t>
        </is>
      </c>
      <c r="S1320" t="n">
        <v>11</v>
      </c>
      <c r="T1320" t="n">
        <v>11</v>
      </c>
      <c r="U1320" t="inlineStr">
        <is>
          <t>2008-01-16</t>
        </is>
      </c>
      <c r="V1320" t="inlineStr">
        <is>
          <t>2008-01-16</t>
        </is>
      </c>
      <c r="W1320" t="inlineStr">
        <is>
          <t>1990-06-07</t>
        </is>
      </c>
      <c r="X1320" t="inlineStr">
        <is>
          <t>1990-06-07</t>
        </is>
      </c>
      <c r="Y1320" t="n">
        <v>388</v>
      </c>
      <c r="Z1320" t="n">
        <v>332</v>
      </c>
      <c r="AA1320" t="n">
        <v>337</v>
      </c>
      <c r="AB1320" t="n">
        <v>4</v>
      </c>
      <c r="AC1320" t="n">
        <v>4</v>
      </c>
      <c r="AD1320" t="n">
        <v>16</v>
      </c>
      <c r="AE1320" t="n">
        <v>16</v>
      </c>
      <c r="AF1320" t="n">
        <v>4</v>
      </c>
      <c r="AG1320" t="n">
        <v>4</v>
      </c>
      <c r="AH1320" t="n">
        <v>3</v>
      </c>
      <c r="AI1320" t="n">
        <v>3</v>
      </c>
      <c r="AJ1320" t="n">
        <v>12</v>
      </c>
      <c r="AK1320" t="n">
        <v>12</v>
      </c>
      <c r="AL1320" t="n">
        <v>2</v>
      </c>
      <c r="AM1320" t="n">
        <v>2</v>
      </c>
      <c r="AN1320" t="n">
        <v>0</v>
      </c>
      <c r="AO1320" t="n">
        <v>0</v>
      </c>
      <c r="AP1320" t="inlineStr">
        <is>
          <t>No</t>
        </is>
      </c>
      <c r="AQ1320" t="inlineStr">
        <is>
          <t>No</t>
        </is>
      </c>
      <c r="AS1320">
        <f>HYPERLINK("https://creighton-primo.hosted.exlibrisgroup.com/primo-explore/search?tab=default_tab&amp;search_scope=EVERYTHING&amp;vid=01CRU&amp;lang=en_US&amp;offset=0&amp;query=any,contains,991000975099702656","Catalog Record")</f>
        <v/>
      </c>
      <c r="AT1320">
        <f>HYPERLINK("http://www.worldcat.org/oclc/15014885","WorldCat Record")</f>
        <v/>
      </c>
      <c r="AU1320" t="inlineStr">
        <is>
          <t>866259804:eng</t>
        </is>
      </c>
      <c r="AV1320" t="inlineStr">
        <is>
          <t>15014885</t>
        </is>
      </c>
      <c r="AW1320" t="inlineStr">
        <is>
          <t>991000975099702656</t>
        </is>
      </c>
      <c r="AX1320" t="inlineStr">
        <is>
          <t>991000975099702656</t>
        </is>
      </c>
      <c r="AY1320" t="inlineStr">
        <is>
          <t>2272177980002656</t>
        </is>
      </c>
      <c r="AZ1320" t="inlineStr">
        <is>
          <t>BOOK</t>
        </is>
      </c>
      <c r="BB1320" t="inlineStr">
        <is>
          <t>9780876304617</t>
        </is>
      </c>
      <c r="BC1320" t="inlineStr">
        <is>
          <t>32285000184241</t>
        </is>
      </c>
      <c r="BD1320" t="inlineStr">
        <is>
          <t>893884925</t>
        </is>
      </c>
    </row>
    <row r="1321">
      <c r="A1321" t="inlineStr">
        <is>
          <t>No</t>
        </is>
      </c>
      <c r="B1321" t="inlineStr">
        <is>
          <t>RC568.C6 G65 1984</t>
        </is>
      </c>
      <c r="C1321" t="inlineStr">
        <is>
          <t>0                      RC 0568000C  6                  G  65          1984</t>
        </is>
      </c>
      <c r="D1321" t="inlineStr">
        <is>
          <t>800-Cocaine / Mark S. Gold.</t>
        </is>
      </c>
      <c r="F1321" t="inlineStr">
        <is>
          <t>No</t>
        </is>
      </c>
      <c r="G1321" t="inlineStr">
        <is>
          <t>1</t>
        </is>
      </c>
      <c r="H1321" t="inlineStr">
        <is>
          <t>No</t>
        </is>
      </c>
      <c r="I1321" t="inlineStr">
        <is>
          <t>No</t>
        </is>
      </c>
      <c r="J1321" t="inlineStr">
        <is>
          <t>0</t>
        </is>
      </c>
      <c r="K1321" t="inlineStr">
        <is>
          <t>Gold, Mark S.</t>
        </is>
      </c>
      <c r="L1321" t="inlineStr">
        <is>
          <t>New York, N.Y. : Bantam Books, 1984.</t>
        </is>
      </c>
      <c r="M1321" t="inlineStr">
        <is>
          <t>1984</t>
        </is>
      </c>
      <c r="O1321" t="inlineStr">
        <is>
          <t>eng</t>
        </is>
      </c>
      <c r="P1321" t="inlineStr">
        <is>
          <t>nyu</t>
        </is>
      </c>
      <c r="R1321" t="inlineStr">
        <is>
          <t xml:space="preserve">RC </t>
        </is>
      </c>
      <c r="S1321" t="n">
        <v>4</v>
      </c>
      <c r="T1321" t="n">
        <v>4</v>
      </c>
      <c r="U1321" t="inlineStr">
        <is>
          <t>2003-04-07</t>
        </is>
      </c>
      <c r="V1321" t="inlineStr">
        <is>
          <t>2003-04-07</t>
        </is>
      </c>
      <c r="W1321" t="inlineStr">
        <is>
          <t>1992-04-22</t>
        </is>
      </c>
      <c r="X1321" t="inlineStr">
        <is>
          <t>1992-04-22</t>
        </is>
      </c>
      <c r="Y1321" t="n">
        <v>408</v>
      </c>
      <c r="Z1321" t="n">
        <v>395</v>
      </c>
      <c r="AA1321" t="n">
        <v>457</v>
      </c>
      <c r="AB1321" t="n">
        <v>2</v>
      </c>
      <c r="AC1321" t="n">
        <v>3</v>
      </c>
      <c r="AD1321" t="n">
        <v>4</v>
      </c>
      <c r="AE1321" t="n">
        <v>4</v>
      </c>
      <c r="AF1321" t="n">
        <v>2</v>
      </c>
      <c r="AG1321" t="n">
        <v>2</v>
      </c>
      <c r="AH1321" t="n">
        <v>0</v>
      </c>
      <c r="AI1321" t="n">
        <v>0</v>
      </c>
      <c r="AJ1321" t="n">
        <v>3</v>
      </c>
      <c r="AK1321" t="n">
        <v>3</v>
      </c>
      <c r="AL1321" t="n">
        <v>0</v>
      </c>
      <c r="AM1321" t="n">
        <v>0</v>
      </c>
      <c r="AN1321" t="n">
        <v>0</v>
      </c>
      <c r="AO1321" t="n">
        <v>0</v>
      </c>
      <c r="AP1321" t="inlineStr">
        <is>
          <t>No</t>
        </is>
      </c>
      <c r="AQ1321" t="inlineStr">
        <is>
          <t>No</t>
        </is>
      </c>
      <c r="AS1321">
        <f>HYPERLINK("https://creighton-primo.hosted.exlibrisgroup.com/primo-explore/search?tab=default_tab&amp;search_scope=EVERYTHING&amp;vid=01CRU&amp;lang=en_US&amp;offset=0&amp;query=any,contains,991000400839702656","Catalog Record")</f>
        <v/>
      </c>
      <c r="AT1321">
        <f>HYPERLINK("http://www.worldcat.org/oclc/10606316","WorldCat Record")</f>
        <v/>
      </c>
      <c r="AU1321" t="inlineStr">
        <is>
          <t>2894526:eng</t>
        </is>
      </c>
      <c r="AV1321" t="inlineStr">
        <is>
          <t>10606316</t>
        </is>
      </c>
      <c r="AW1321" t="inlineStr">
        <is>
          <t>991000400839702656</t>
        </is>
      </c>
      <c r="AX1321" t="inlineStr">
        <is>
          <t>991000400839702656</t>
        </is>
      </c>
      <c r="AY1321" t="inlineStr">
        <is>
          <t>2260611500002656</t>
        </is>
      </c>
      <c r="AZ1321" t="inlineStr">
        <is>
          <t>BOOK</t>
        </is>
      </c>
      <c r="BB1321" t="inlineStr">
        <is>
          <t>9780553340945</t>
        </is>
      </c>
      <c r="BC1321" t="inlineStr">
        <is>
          <t>32285001054633</t>
        </is>
      </c>
      <c r="BD1321" t="inlineStr">
        <is>
          <t>893607880</t>
        </is>
      </c>
    </row>
    <row r="1322">
      <c r="A1322" t="inlineStr">
        <is>
          <t>No</t>
        </is>
      </c>
      <c r="B1322" t="inlineStr">
        <is>
          <t>RC568.H4 M65 2000</t>
        </is>
      </c>
      <c r="C1322" t="inlineStr">
        <is>
          <t>0                      RC 0568000H  4                  M  65          2000</t>
        </is>
      </c>
      <c r="D1322" t="inlineStr">
        <is>
          <t>The little book of heroin / Franics [sic] Moraes.</t>
        </is>
      </c>
      <c r="F1322" t="inlineStr">
        <is>
          <t>No</t>
        </is>
      </c>
      <c r="G1322" t="inlineStr">
        <is>
          <t>1</t>
        </is>
      </c>
      <c r="H1322" t="inlineStr">
        <is>
          <t>No</t>
        </is>
      </c>
      <c r="I1322" t="inlineStr">
        <is>
          <t>No</t>
        </is>
      </c>
      <c r="J1322" t="inlineStr">
        <is>
          <t>0</t>
        </is>
      </c>
      <c r="K1322" t="inlineStr">
        <is>
          <t>Moraes, Francis.</t>
        </is>
      </c>
      <c r="L1322" t="inlineStr">
        <is>
          <t>Berkeley, CA : Ronin Publishing : Distributed by Publishers Group West, c2000.</t>
        </is>
      </c>
      <c r="M1322" t="inlineStr">
        <is>
          <t>2000</t>
        </is>
      </c>
      <c r="O1322" t="inlineStr">
        <is>
          <t>eng</t>
        </is>
      </c>
      <c r="P1322" t="inlineStr">
        <is>
          <t>cau</t>
        </is>
      </c>
      <c r="R1322" t="inlineStr">
        <is>
          <t xml:space="preserve">RC </t>
        </is>
      </c>
      <c r="S1322" t="n">
        <v>6</v>
      </c>
      <c r="T1322" t="n">
        <v>6</v>
      </c>
      <c r="U1322" t="inlineStr">
        <is>
          <t>2002-11-19</t>
        </is>
      </c>
      <c r="V1322" t="inlineStr">
        <is>
          <t>2002-11-19</t>
        </is>
      </c>
      <c r="W1322" t="inlineStr">
        <is>
          <t>2002-11-19</t>
        </is>
      </c>
      <c r="X1322" t="inlineStr">
        <is>
          <t>2002-11-19</t>
        </is>
      </c>
      <c r="Y1322" t="n">
        <v>44</v>
      </c>
      <c r="Z1322" t="n">
        <v>38</v>
      </c>
      <c r="AA1322" t="n">
        <v>38</v>
      </c>
      <c r="AB1322" t="n">
        <v>2</v>
      </c>
      <c r="AC1322" t="n">
        <v>2</v>
      </c>
      <c r="AD1322" t="n">
        <v>0</v>
      </c>
      <c r="AE1322" t="n">
        <v>0</v>
      </c>
      <c r="AF1322" t="n">
        <v>0</v>
      </c>
      <c r="AG1322" t="n">
        <v>0</v>
      </c>
      <c r="AH1322" t="n">
        <v>0</v>
      </c>
      <c r="AI1322" t="n">
        <v>0</v>
      </c>
      <c r="AJ1322" t="n">
        <v>0</v>
      </c>
      <c r="AK1322" t="n">
        <v>0</v>
      </c>
      <c r="AL1322" t="n">
        <v>0</v>
      </c>
      <c r="AM1322" t="n">
        <v>0</v>
      </c>
      <c r="AN1322" t="n">
        <v>0</v>
      </c>
      <c r="AO1322" t="n">
        <v>0</v>
      </c>
      <c r="AP1322" t="inlineStr">
        <is>
          <t>No</t>
        </is>
      </c>
      <c r="AQ1322" t="inlineStr">
        <is>
          <t>No</t>
        </is>
      </c>
      <c r="AS1322">
        <f>HYPERLINK("https://creighton-primo.hosted.exlibrisgroup.com/primo-explore/search?tab=default_tab&amp;search_scope=EVERYTHING&amp;vid=01CRU&amp;lang=en_US&amp;offset=0&amp;query=any,contains,991003933509702656","Catalog Record")</f>
        <v/>
      </c>
      <c r="AT1322">
        <f>HYPERLINK("http://www.worldcat.org/oclc/45905636","WorldCat Record")</f>
        <v/>
      </c>
      <c r="AU1322" t="inlineStr">
        <is>
          <t>35144323:eng</t>
        </is>
      </c>
      <c r="AV1322" t="inlineStr">
        <is>
          <t>45905636</t>
        </is>
      </c>
      <c r="AW1322" t="inlineStr">
        <is>
          <t>991003933509702656</t>
        </is>
      </c>
      <c r="AX1322" t="inlineStr">
        <is>
          <t>991003933509702656</t>
        </is>
      </c>
      <c r="AY1322" t="inlineStr">
        <is>
          <t>2264425680002656</t>
        </is>
      </c>
      <c r="AZ1322" t="inlineStr">
        <is>
          <t>BOOK</t>
        </is>
      </c>
      <c r="BB1322" t="inlineStr">
        <is>
          <t>9780914171980</t>
        </is>
      </c>
      <c r="BC1322" t="inlineStr">
        <is>
          <t>32285004664537</t>
        </is>
      </c>
      <c r="BD1322" t="inlineStr">
        <is>
          <t>893699608</t>
        </is>
      </c>
    </row>
    <row r="1323">
      <c r="A1323" t="inlineStr">
        <is>
          <t>No</t>
        </is>
      </c>
      <c r="B1323" t="inlineStr">
        <is>
          <t>RC568.O6 L5 1968</t>
        </is>
      </c>
      <c r="C1323" t="inlineStr">
        <is>
          <t>0                      RC 0568000O  6                  L  5           1968</t>
        </is>
      </c>
      <c r="D1323" t="inlineStr">
        <is>
          <t>Addiction and opiates / [by] Alfred R. Lindesmith.</t>
        </is>
      </c>
      <c r="F1323" t="inlineStr">
        <is>
          <t>No</t>
        </is>
      </c>
      <c r="G1323" t="inlineStr">
        <is>
          <t>1</t>
        </is>
      </c>
      <c r="H1323" t="inlineStr">
        <is>
          <t>No</t>
        </is>
      </c>
      <c r="I1323" t="inlineStr">
        <is>
          <t>No</t>
        </is>
      </c>
      <c r="J1323" t="inlineStr">
        <is>
          <t>0</t>
        </is>
      </c>
      <c r="K1323" t="inlineStr">
        <is>
          <t>Lindesmith, Alfred Ray, 1905-1991.</t>
        </is>
      </c>
      <c r="L1323" t="inlineStr">
        <is>
          <t>Chicago : Aldine Pub. Co., [1968]</t>
        </is>
      </c>
      <c r="M1323" t="inlineStr">
        <is>
          <t>1968</t>
        </is>
      </c>
      <c r="O1323" t="inlineStr">
        <is>
          <t>eng</t>
        </is>
      </c>
      <c r="P1323" t="inlineStr">
        <is>
          <t>ilu</t>
        </is>
      </c>
      <c r="R1323" t="inlineStr">
        <is>
          <t xml:space="preserve">RC </t>
        </is>
      </c>
      <c r="S1323" t="n">
        <v>8</v>
      </c>
      <c r="T1323" t="n">
        <v>8</v>
      </c>
      <c r="U1323" t="inlineStr">
        <is>
          <t>2008-04-22</t>
        </is>
      </c>
      <c r="V1323" t="inlineStr">
        <is>
          <t>2008-04-22</t>
        </is>
      </c>
      <c r="W1323" t="inlineStr">
        <is>
          <t>1991-09-18</t>
        </is>
      </c>
      <c r="X1323" t="inlineStr">
        <is>
          <t>1991-09-18</t>
        </is>
      </c>
      <c r="Y1323" t="n">
        <v>771</v>
      </c>
      <c r="Z1323" t="n">
        <v>681</v>
      </c>
      <c r="AA1323" t="n">
        <v>731</v>
      </c>
      <c r="AB1323" t="n">
        <v>8</v>
      </c>
      <c r="AC1323" t="n">
        <v>8</v>
      </c>
      <c r="AD1323" t="n">
        <v>32</v>
      </c>
      <c r="AE1323" t="n">
        <v>32</v>
      </c>
      <c r="AF1323" t="n">
        <v>9</v>
      </c>
      <c r="AG1323" t="n">
        <v>9</v>
      </c>
      <c r="AH1323" t="n">
        <v>6</v>
      </c>
      <c r="AI1323" t="n">
        <v>6</v>
      </c>
      <c r="AJ1323" t="n">
        <v>15</v>
      </c>
      <c r="AK1323" t="n">
        <v>15</v>
      </c>
      <c r="AL1323" t="n">
        <v>7</v>
      </c>
      <c r="AM1323" t="n">
        <v>7</v>
      </c>
      <c r="AN1323" t="n">
        <v>3</v>
      </c>
      <c r="AO1323" t="n">
        <v>3</v>
      </c>
      <c r="AP1323" t="inlineStr">
        <is>
          <t>No</t>
        </is>
      </c>
      <c r="AQ1323" t="inlineStr">
        <is>
          <t>Yes</t>
        </is>
      </c>
      <c r="AR1323">
        <f>HYPERLINK("http://catalog.hathitrust.org/Record/001133718","HathiTrust Record")</f>
        <v/>
      </c>
      <c r="AS1323">
        <f>HYPERLINK("https://creighton-primo.hosted.exlibrisgroup.com/primo-explore/search?tab=default_tab&amp;search_scope=EVERYTHING&amp;vid=01CRU&amp;lang=en_US&amp;offset=0&amp;query=any,contains,991001903559702656","Catalog Record")</f>
        <v/>
      </c>
      <c r="AT1323">
        <f>HYPERLINK("http://www.worldcat.org/oclc/239558","WorldCat Record")</f>
        <v/>
      </c>
      <c r="AU1323" t="inlineStr">
        <is>
          <t>119580514:eng</t>
        </is>
      </c>
      <c r="AV1323" t="inlineStr">
        <is>
          <t>239558</t>
        </is>
      </c>
      <c r="AW1323" t="inlineStr">
        <is>
          <t>991001903559702656</t>
        </is>
      </c>
      <c r="AX1323" t="inlineStr">
        <is>
          <t>991001903559702656</t>
        </is>
      </c>
      <c r="AY1323" t="inlineStr">
        <is>
          <t>2256838090002656</t>
        </is>
      </c>
      <c r="AZ1323" t="inlineStr">
        <is>
          <t>BOOK</t>
        </is>
      </c>
      <c r="BC1323" t="inlineStr">
        <is>
          <t>32285000756956</t>
        </is>
      </c>
      <c r="BD1323" t="inlineStr">
        <is>
          <t>893244508</t>
        </is>
      </c>
    </row>
    <row r="1324">
      <c r="A1324" t="inlineStr">
        <is>
          <t>No</t>
        </is>
      </c>
      <c r="B1324" t="inlineStr">
        <is>
          <t>RC569 .A77 1992</t>
        </is>
      </c>
      <c r="C1324" t="inlineStr">
        <is>
          <t>0                      RC 0569000A  77          1992</t>
        </is>
      </c>
      <c r="D1324" t="inlineStr">
        <is>
          <t>Assessment and prediction of suicide / edited by Ronald W. Maris ... [et al.].</t>
        </is>
      </c>
      <c r="F1324" t="inlineStr">
        <is>
          <t>No</t>
        </is>
      </c>
      <c r="G1324" t="inlineStr">
        <is>
          <t>1</t>
        </is>
      </c>
      <c r="H1324" t="inlineStr">
        <is>
          <t>No</t>
        </is>
      </c>
      <c r="I1324" t="inlineStr">
        <is>
          <t>No</t>
        </is>
      </c>
      <c r="J1324" t="inlineStr">
        <is>
          <t>0</t>
        </is>
      </c>
      <c r="L1324" t="inlineStr">
        <is>
          <t>New York : Guilford Press, c1992.</t>
        </is>
      </c>
      <c r="M1324" t="inlineStr">
        <is>
          <t>1992</t>
        </is>
      </c>
      <c r="O1324" t="inlineStr">
        <is>
          <t>eng</t>
        </is>
      </c>
      <c r="P1324" t="inlineStr">
        <is>
          <t>nyu</t>
        </is>
      </c>
      <c r="R1324" t="inlineStr">
        <is>
          <t xml:space="preserve">RC </t>
        </is>
      </c>
      <c r="S1324" t="n">
        <v>7</v>
      </c>
      <c r="T1324" t="n">
        <v>7</v>
      </c>
      <c r="U1324" t="inlineStr">
        <is>
          <t>2003-11-10</t>
        </is>
      </c>
      <c r="V1324" t="inlineStr">
        <is>
          <t>2003-11-10</t>
        </is>
      </c>
      <c r="W1324" t="inlineStr">
        <is>
          <t>1995-02-07</t>
        </is>
      </c>
      <c r="X1324" t="inlineStr">
        <is>
          <t>1995-02-07</t>
        </is>
      </c>
      <c r="Y1324" t="n">
        <v>463</v>
      </c>
      <c r="Z1324" t="n">
        <v>368</v>
      </c>
      <c r="AA1324" t="n">
        <v>369</v>
      </c>
      <c r="AB1324" t="n">
        <v>5</v>
      </c>
      <c r="AC1324" t="n">
        <v>5</v>
      </c>
      <c r="AD1324" t="n">
        <v>16</v>
      </c>
      <c r="AE1324" t="n">
        <v>16</v>
      </c>
      <c r="AF1324" t="n">
        <v>6</v>
      </c>
      <c r="AG1324" t="n">
        <v>6</v>
      </c>
      <c r="AH1324" t="n">
        <v>2</v>
      </c>
      <c r="AI1324" t="n">
        <v>2</v>
      </c>
      <c r="AJ1324" t="n">
        <v>7</v>
      </c>
      <c r="AK1324" t="n">
        <v>7</v>
      </c>
      <c r="AL1324" t="n">
        <v>4</v>
      </c>
      <c r="AM1324" t="n">
        <v>4</v>
      </c>
      <c r="AN1324" t="n">
        <v>0</v>
      </c>
      <c r="AO1324" t="n">
        <v>0</v>
      </c>
      <c r="AP1324" t="inlineStr">
        <is>
          <t>No</t>
        </is>
      </c>
      <c r="AQ1324" t="inlineStr">
        <is>
          <t>No</t>
        </is>
      </c>
      <c r="AS1324">
        <f>HYPERLINK("https://creighton-primo.hosted.exlibrisgroup.com/primo-explore/search?tab=default_tab&amp;search_scope=EVERYTHING&amp;vid=01CRU&amp;lang=en_US&amp;offset=0&amp;query=any,contains,991001966839702656","Catalog Record")</f>
        <v/>
      </c>
      <c r="AT1324">
        <f>HYPERLINK("http://www.worldcat.org/oclc/24913591","WorldCat Record")</f>
        <v/>
      </c>
      <c r="AU1324" t="inlineStr">
        <is>
          <t>353964770:eng</t>
        </is>
      </c>
      <c r="AV1324" t="inlineStr">
        <is>
          <t>24913591</t>
        </is>
      </c>
      <c r="AW1324" t="inlineStr">
        <is>
          <t>991001966839702656</t>
        </is>
      </c>
      <c r="AX1324" t="inlineStr">
        <is>
          <t>991001966839702656</t>
        </is>
      </c>
      <c r="AY1324" t="inlineStr">
        <is>
          <t>2266190870002656</t>
        </is>
      </c>
      <c r="AZ1324" t="inlineStr">
        <is>
          <t>BOOK</t>
        </is>
      </c>
      <c r="BB1324" t="inlineStr">
        <is>
          <t>9780898627916</t>
        </is>
      </c>
      <c r="BC1324" t="inlineStr">
        <is>
          <t>32285001997708</t>
        </is>
      </c>
      <c r="BD1324" t="inlineStr">
        <is>
          <t>893785572</t>
        </is>
      </c>
    </row>
    <row r="1325">
      <c r="A1325" t="inlineStr">
        <is>
          <t>No</t>
        </is>
      </c>
      <c r="B1325" t="inlineStr">
        <is>
          <t>RC569 .B66 1991</t>
        </is>
      </c>
      <c r="C1325" t="inlineStr">
        <is>
          <t>0                      RC 0569000B  66          1991</t>
        </is>
      </c>
      <c r="D1325" t="inlineStr">
        <is>
          <t>The suicidal patient : clinical and legal standards of care / Bruce Bongar ; Eric Harris, legal consultant.</t>
        </is>
      </c>
      <c r="F1325" t="inlineStr">
        <is>
          <t>No</t>
        </is>
      </c>
      <c r="G1325" t="inlineStr">
        <is>
          <t>1</t>
        </is>
      </c>
      <c r="H1325" t="inlineStr">
        <is>
          <t>Yes</t>
        </is>
      </c>
      <c r="I1325" t="inlineStr">
        <is>
          <t>No</t>
        </is>
      </c>
      <c r="J1325" t="inlineStr">
        <is>
          <t>0</t>
        </is>
      </c>
      <c r="K1325" t="inlineStr">
        <is>
          <t>Bongar, Bruce Michael.</t>
        </is>
      </c>
      <c r="L1325" t="inlineStr">
        <is>
          <t>Washington, D.C. : American Psychological Association, c1991.</t>
        </is>
      </c>
      <c r="M1325" t="inlineStr">
        <is>
          <t>1991</t>
        </is>
      </c>
      <c r="N1325" t="inlineStr">
        <is>
          <t>1st ed.</t>
        </is>
      </c>
      <c r="O1325" t="inlineStr">
        <is>
          <t>eng</t>
        </is>
      </c>
      <c r="P1325" t="inlineStr">
        <is>
          <t>dcu</t>
        </is>
      </c>
      <c r="R1325" t="inlineStr">
        <is>
          <t xml:space="preserve">RC </t>
        </is>
      </c>
      <c r="S1325" t="n">
        <v>12</v>
      </c>
      <c r="T1325" t="n">
        <v>14</v>
      </c>
      <c r="U1325" t="inlineStr">
        <is>
          <t>1999-03-16</t>
        </is>
      </c>
      <c r="V1325" t="inlineStr">
        <is>
          <t>1999-08-09</t>
        </is>
      </c>
      <c r="W1325" t="inlineStr">
        <is>
          <t>1991-11-18</t>
        </is>
      </c>
      <c r="X1325" t="inlineStr">
        <is>
          <t>1999-10-27</t>
        </is>
      </c>
      <c r="Y1325" t="n">
        <v>405</v>
      </c>
      <c r="Z1325" t="n">
        <v>347</v>
      </c>
      <c r="AA1325" t="n">
        <v>773</v>
      </c>
      <c r="AB1325" t="n">
        <v>3</v>
      </c>
      <c r="AC1325" t="n">
        <v>5</v>
      </c>
      <c r="AD1325" t="n">
        <v>22</v>
      </c>
      <c r="AE1325" t="n">
        <v>38</v>
      </c>
      <c r="AF1325" t="n">
        <v>6</v>
      </c>
      <c r="AG1325" t="n">
        <v>10</v>
      </c>
      <c r="AH1325" t="n">
        <v>0</v>
      </c>
      <c r="AI1325" t="n">
        <v>2</v>
      </c>
      <c r="AJ1325" t="n">
        <v>5</v>
      </c>
      <c r="AK1325" t="n">
        <v>13</v>
      </c>
      <c r="AL1325" t="n">
        <v>1</v>
      </c>
      <c r="AM1325" t="n">
        <v>3</v>
      </c>
      <c r="AN1325" t="n">
        <v>11</v>
      </c>
      <c r="AO1325" t="n">
        <v>14</v>
      </c>
      <c r="AP1325" t="inlineStr">
        <is>
          <t>No</t>
        </is>
      </c>
      <c r="AQ1325" t="inlineStr">
        <is>
          <t>No</t>
        </is>
      </c>
      <c r="AS1325">
        <f>HYPERLINK("https://creighton-primo.hosted.exlibrisgroup.com/primo-explore/search?tab=default_tab&amp;search_scope=EVERYTHING&amp;vid=01CRU&amp;lang=en_US&amp;offset=0&amp;query=any,contains,991001648319702656","Catalog Record")</f>
        <v/>
      </c>
      <c r="AT1325">
        <f>HYPERLINK("http://www.worldcat.org/oclc/23218979","WorldCat Record")</f>
        <v/>
      </c>
      <c r="AU1325" t="inlineStr">
        <is>
          <t>4925429587:eng</t>
        </is>
      </c>
      <c r="AV1325" t="inlineStr">
        <is>
          <t>23218979</t>
        </is>
      </c>
      <c r="AW1325" t="inlineStr">
        <is>
          <t>991001648319702656</t>
        </is>
      </c>
      <c r="AX1325" t="inlineStr">
        <is>
          <t>991001648319702656</t>
        </is>
      </c>
      <c r="AY1325" t="inlineStr">
        <is>
          <t>2260221490002656</t>
        </is>
      </c>
      <c r="AZ1325" t="inlineStr">
        <is>
          <t>BOOK</t>
        </is>
      </c>
      <c r="BB1325" t="inlineStr">
        <is>
          <t>9781557981097</t>
        </is>
      </c>
      <c r="BC1325" t="inlineStr">
        <is>
          <t>32285000816487</t>
        </is>
      </c>
      <c r="BD1325" t="inlineStr">
        <is>
          <t>893444736</t>
        </is>
      </c>
    </row>
    <row r="1326">
      <c r="A1326" t="inlineStr">
        <is>
          <t>No</t>
        </is>
      </c>
      <c r="B1326" t="inlineStr">
        <is>
          <t>RC569 .B74 1983</t>
        </is>
      </c>
      <c r="C1326" t="inlineStr">
        <is>
          <t>0                      RC 0569000B  74          1983</t>
        </is>
      </c>
      <c r="D1326" t="inlineStr">
        <is>
          <t>Brief counseling with suicidal persons / William L. Getz ... [et al.].</t>
        </is>
      </c>
      <c r="F1326" t="inlineStr">
        <is>
          <t>No</t>
        </is>
      </c>
      <c r="G1326" t="inlineStr">
        <is>
          <t>1</t>
        </is>
      </c>
      <c r="H1326" t="inlineStr">
        <is>
          <t>No</t>
        </is>
      </c>
      <c r="I1326" t="inlineStr">
        <is>
          <t>No</t>
        </is>
      </c>
      <c r="J1326" t="inlineStr">
        <is>
          <t>0</t>
        </is>
      </c>
      <c r="L1326" t="inlineStr">
        <is>
          <t>Lexington, Mass. : Lexington Books, c1983.</t>
        </is>
      </c>
      <c r="M1326" t="inlineStr">
        <is>
          <t>1983</t>
        </is>
      </c>
      <c r="O1326" t="inlineStr">
        <is>
          <t>eng</t>
        </is>
      </c>
      <c r="P1326" t="inlineStr">
        <is>
          <t>mau</t>
        </is>
      </c>
      <c r="R1326" t="inlineStr">
        <is>
          <t xml:space="preserve">RC </t>
        </is>
      </c>
      <c r="S1326" t="n">
        <v>4</v>
      </c>
      <c r="T1326" t="n">
        <v>4</v>
      </c>
      <c r="U1326" t="inlineStr">
        <is>
          <t>2007-02-16</t>
        </is>
      </c>
      <c r="V1326" t="inlineStr">
        <is>
          <t>2007-02-16</t>
        </is>
      </c>
      <c r="W1326" t="inlineStr">
        <is>
          <t>1992-07-14</t>
        </is>
      </c>
      <c r="X1326" t="inlineStr">
        <is>
          <t>1992-07-14</t>
        </is>
      </c>
      <c r="Y1326" t="n">
        <v>322</v>
      </c>
      <c r="Z1326" t="n">
        <v>253</v>
      </c>
      <c r="AA1326" t="n">
        <v>256</v>
      </c>
      <c r="AB1326" t="n">
        <v>3</v>
      </c>
      <c r="AC1326" t="n">
        <v>3</v>
      </c>
      <c r="AD1326" t="n">
        <v>8</v>
      </c>
      <c r="AE1326" t="n">
        <v>8</v>
      </c>
      <c r="AF1326" t="n">
        <v>4</v>
      </c>
      <c r="AG1326" t="n">
        <v>4</v>
      </c>
      <c r="AH1326" t="n">
        <v>1</v>
      </c>
      <c r="AI1326" t="n">
        <v>1</v>
      </c>
      <c r="AJ1326" t="n">
        <v>3</v>
      </c>
      <c r="AK1326" t="n">
        <v>3</v>
      </c>
      <c r="AL1326" t="n">
        <v>2</v>
      </c>
      <c r="AM1326" t="n">
        <v>2</v>
      </c>
      <c r="AN1326" t="n">
        <v>0</v>
      </c>
      <c r="AO1326" t="n">
        <v>0</v>
      </c>
      <c r="AP1326" t="inlineStr">
        <is>
          <t>No</t>
        </is>
      </c>
      <c r="AQ1326" t="inlineStr">
        <is>
          <t>Yes</t>
        </is>
      </c>
      <c r="AR1326">
        <f>HYPERLINK("http://catalog.hathitrust.org/Record/000766542","HathiTrust Record")</f>
        <v/>
      </c>
      <c r="AS1326">
        <f>HYPERLINK("https://creighton-primo.hosted.exlibrisgroup.com/primo-explore/search?tab=default_tab&amp;search_scope=EVERYTHING&amp;vid=01CRU&amp;lang=en_US&amp;offset=0&amp;query=any,contains,991000082379702656","Catalog Record")</f>
        <v/>
      </c>
      <c r="AT1326">
        <f>HYPERLINK("http://www.worldcat.org/oclc/8845656","WorldCat Record")</f>
        <v/>
      </c>
      <c r="AU1326" t="inlineStr">
        <is>
          <t>54526259:eng</t>
        </is>
      </c>
      <c r="AV1326" t="inlineStr">
        <is>
          <t>8845656</t>
        </is>
      </c>
      <c r="AW1326" t="inlineStr">
        <is>
          <t>991000082379702656</t>
        </is>
      </c>
      <c r="AX1326" t="inlineStr">
        <is>
          <t>991000082379702656</t>
        </is>
      </c>
      <c r="AY1326" t="inlineStr">
        <is>
          <t>2254768800002656</t>
        </is>
      </c>
      <c r="AZ1326" t="inlineStr">
        <is>
          <t>BOOK</t>
        </is>
      </c>
      <c r="BB1326" t="inlineStr">
        <is>
          <t>9780669040906</t>
        </is>
      </c>
      <c r="BC1326" t="inlineStr">
        <is>
          <t>32285001152163</t>
        </is>
      </c>
      <c r="BD1326" t="inlineStr">
        <is>
          <t>893514974</t>
        </is>
      </c>
    </row>
    <row r="1327">
      <c r="A1327" t="inlineStr">
        <is>
          <t>No</t>
        </is>
      </c>
      <c r="B1327" t="inlineStr">
        <is>
          <t>RC569 .G47 1985</t>
        </is>
      </c>
      <c r="C1327" t="inlineStr">
        <is>
          <t>0                      RC 0569000G  47          1985</t>
        </is>
      </c>
      <c r="D1327" t="inlineStr">
        <is>
          <t>The suicide syndrome : origins, manifestations, and alleviation of human self-destructiveness / Larry Morton Gernsbacher.</t>
        </is>
      </c>
      <c r="F1327" t="inlineStr">
        <is>
          <t>No</t>
        </is>
      </c>
      <c r="G1327" t="inlineStr">
        <is>
          <t>1</t>
        </is>
      </c>
      <c r="H1327" t="inlineStr">
        <is>
          <t>No</t>
        </is>
      </c>
      <c r="I1327" t="inlineStr">
        <is>
          <t>No</t>
        </is>
      </c>
      <c r="J1327" t="inlineStr">
        <is>
          <t>0</t>
        </is>
      </c>
      <c r="K1327" t="inlineStr">
        <is>
          <t>Gernsbacher, Larry Morton.</t>
        </is>
      </c>
      <c r="L1327" t="inlineStr">
        <is>
          <t>New York, N.Y. : Human Sciences Press, c1985.</t>
        </is>
      </c>
      <c r="M1327" t="inlineStr">
        <is>
          <t>1985</t>
        </is>
      </c>
      <c r="O1327" t="inlineStr">
        <is>
          <t>eng</t>
        </is>
      </c>
      <c r="P1327" t="inlineStr">
        <is>
          <t>nyu</t>
        </is>
      </c>
      <c r="R1327" t="inlineStr">
        <is>
          <t xml:space="preserve">RC </t>
        </is>
      </c>
      <c r="S1327" t="n">
        <v>10</v>
      </c>
      <c r="T1327" t="n">
        <v>10</v>
      </c>
      <c r="U1327" t="inlineStr">
        <is>
          <t>1998-11-05</t>
        </is>
      </c>
      <c r="V1327" t="inlineStr">
        <is>
          <t>1998-11-05</t>
        </is>
      </c>
      <c r="W1327" t="inlineStr">
        <is>
          <t>1991-12-04</t>
        </is>
      </c>
      <c r="X1327" t="inlineStr">
        <is>
          <t>1991-12-04</t>
        </is>
      </c>
      <c r="Y1327" t="n">
        <v>537</v>
      </c>
      <c r="Z1327" t="n">
        <v>470</v>
      </c>
      <c r="AA1327" t="n">
        <v>494</v>
      </c>
      <c r="AB1327" t="n">
        <v>4</v>
      </c>
      <c r="AC1327" t="n">
        <v>4</v>
      </c>
      <c r="AD1327" t="n">
        <v>18</v>
      </c>
      <c r="AE1327" t="n">
        <v>18</v>
      </c>
      <c r="AF1327" t="n">
        <v>5</v>
      </c>
      <c r="AG1327" t="n">
        <v>5</v>
      </c>
      <c r="AH1327" t="n">
        <v>5</v>
      </c>
      <c r="AI1327" t="n">
        <v>5</v>
      </c>
      <c r="AJ1327" t="n">
        <v>10</v>
      </c>
      <c r="AK1327" t="n">
        <v>10</v>
      </c>
      <c r="AL1327" t="n">
        <v>3</v>
      </c>
      <c r="AM1327" t="n">
        <v>3</v>
      </c>
      <c r="AN1327" t="n">
        <v>0</v>
      </c>
      <c r="AO1327" t="n">
        <v>0</v>
      </c>
      <c r="AP1327" t="inlineStr">
        <is>
          <t>No</t>
        </is>
      </c>
      <c r="AQ1327" t="inlineStr">
        <is>
          <t>Yes</t>
        </is>
      </c>
      <c r="AR1327">
        <f>HYPERLINK("http://catalog.hathitrust.org/Record/000352531","HathiTrust Record")</f>
        <v/>
      </c>
      <c r="AS1327">
        <f>HYPERLINK("https://creighton-primo.hosted.exlibrisgroup.com/primo-explore/search?tab=default_tab&amp;search_scope=EVERYTHING&amp;vid=01CRU&amp;lang=en_US&amp;offset=0&amp;query=any,contains,991000497749702656","Catalog Record")</f>
        <v/>
      </c>
      <c r="AT1327">
        <f>HYPERLINK("http://www.worldcat.org/oclc/11158620","WorldCat Record")</f>
        <v/>
      </c>
      <c r="AU1327" t="inlineStr">
        <is>
          <t>3816840:eng</t>
        </is>
      </c>
      <c r="AV1327" t="inlineStr">
        <is>
          <t>11158620</t>
        </is>
      </c>
      <c r="AW1327" t="inlineStr">
        <is>
          <t>991000497749702656</t>
        </is>
      </c>
      <c r="AX1327" t="inlineStr">
        <is>
          <t>991000497749702656</t>
        </is>
      </c>
      <c r="AY1327" t="inlineStr">
        <is>
          <t>2255140800002656</t>
        </is>
      </c>
      <c r="AZ1327" t="inlineStr">
        <is>
          <t>BOOK</t>
        </is>
      </c>
      <c r="BB1327" t="inlineStr">
        <is>
          <t>9780898852325</t>
        </is>
      </c>
      <c r="BC1327" t="inlineStr">
        <is>
          <t>32285000845486</t>
        </is>
      </c>
      <c r="BD1327" t="inlineStr">
        <is>
          <t>893884439</t>
        </is>
      </c>
    </row>
    <row r="1328">
      <c r="A1328" t="inlineStr">
        <is>
          <t>No</t>
        </is>
      </c>
      <c r="B1328" t="inlineStr">
        <is>
          <t>RC569 .H43 1994</t>
        </is>
      </c>
      <c r="C1328" t="inlineStr">
        <is>
          <t>0                      RC 0569000H  43          1994</t>
        </is>
      </c>
      <c r="D1328" t="inlineStr">
        <is>
          <t>Waking up, alive : the descent, the suicide attempt, and the return to life / Richard A. Heckler.</t>
        </is>
      </c>
      <c r="F1328" t="inlineStr">
        <is>
          <t>No</t>
        </is>
      </c>
      <c r="G1328" t="inlineStr">
        <is>
          <t>1</t>
        </is>
      </c>
      <c r="H1328" t="inlineStr">
        <is>
          <t>No</t>
        </is>
      </c>
      <c r="I1328" t="inlineStr">
        <is>
          <t>No</t>
        </is>
      </c>
      <c r="J1328" t="inlineStr">
        <is>
          <t>0</t>
        </is>
      </c>
      <c r="K1328" t="inlineStr">
        <is>
          <t>Heckler, Richard A.</t>
        </is>
      </c>
      <c r="L1328" t="inlineStr">
        <is>
          <t>New York : Putnam, c1994.</t>
        </is>
      </c>
      <c r="M1328" t="inlineStr">
        <is>
          <t>1994</t>
        </is>
      </c>
      <c r="O1328" t="inlineStr">
        <is>
          <t>eng</t>
        </is>
      </c>
      <c r="P1328" t="inlineStr">
        <is>
          <t>nyu</t>
        </is>
      </c>
      <c r="R1328" t="inlineStr">
        <is>
          <t xml:space="preserve">RC </t>
        </is>
      </c>
      <c r="S1328" t="n">
        <v>4</v>
      </c>
      <c r="T1328" t="n">
        <v>4</v>
      </c>
      <c r="U1328" t="inlineStr">
        <is>
          <t>1997-03-23</t>
        </is>
      </c>
      <c r="V1328" t="inlineStr">
        <is>
          <t>1997-03-23</t>
        </is>
      </c>
      <c r="W1328" t="inlineStr">
        <is>
          <t>1995-12-27</t>
        </is>
      </c>
      <c r="X1328" t="inlineStr">
        <is>
          <t>1995-12-27</t>
        </is>
      </c>
      <c r="Y1328" t="n">
        <v>404</v>
      </c>
      <c r="Z1328" t="n">
        <v>379</v>
      </c>
      <c r="AA1328" t="n">
        <v>431</v>
      </c>
      <c r="AB1328" t="n">
        <v>5</v>
      </c>
      <c r="AC1328" t="n">
        <v>5</v>
      </c>
      <c r="AD1328" t="n">
        <v>8</v>
      </c>
      <c r="AE1328" t="n">
        <v>8</v>
      </c>
      <c r="AF1328" t="n">
        <v>2</v>
      </c>
      <c r="AG1328" t="n">
        <v>2</v>
      </c>
      <c r="AH1328" t="n">
        <v>3</v>
      </c>
      <c r="AI1328" t="n">
        <v>3</v>
      </c>
      <c r="AJ1328" t="n">
        <v>2</v>
      </c>
      <c r="AK1328" t="n">
        <v>2</v>
      </c>
      <c r="AL1328" t="n">
        <v>3</v>
      </c>
      <c r="AM1328" t="n">
        <v>3</v>
      </c>
      <c r="AN1328" t="n">
        <v>0</v>
      </c>
      <c r="AO1328" t="n">
        <v>0</v>
      </c>
      <c r="AP1328" t="inlineStr">
        <is>
          <t>No</t>
        </is>
      </c>
      <c r="AQ1328" t="inlineStr">
        <is>
          <t>Yes</t>
        </is>
      </c>
      <c r="AR1328">
        <f>HYPERLINK("http://catalog.hathitrust.org/Record/101960974","HathiTrust Record")</f>
        <v/>
      </c>
      <c r="AS1328">
        <f>HYPERLINK("https://creighton-primo.hosted.exlibrisgroup.com/primo-explore/search?tab=default_tab&amp;search_scope=EVERYTHING&amp;vid=01CRU&amp;lang=en_US&amp;offset=0&amp;query=any,contains,991002291369702656","Catalog Record")</f>
        <v/>
      </c>
      <c r="AT1328">
        <f>HYPERLINK("http://www.worldcat.org/oclc/29702752","WorldCat Record")</f>
        <v/>
      </c>
      <c r="AU1328" t="inlineStr">
        <is>
          <t>31687713:eng</t>
        </is>
      </c>
      <c r="AV1328" t="inlineStr">
        <is>
          <t>29702752</t>
        </is>
      </c>
      <c r="AW1328" t="inlineStr">
        <is>
          <t>991002291369702656</t>
        </is>
      </c>
      <c r="AX1328" t="inlineStr">
        <is>
          <t>991002291369702656</t>
        </is>
      </c>
      <c r="AY1328" t="inlineStr">
        <is>
          <t>2261457230002656</t>
        </is>
      </c>
      <c r="AZ1328" t="inlineStr">
        <is>
          <t>BOOK</t>
        </is>
      </c>
      <c r="BB1328" t="inlineStr">
        <is>
          <t>9780399139451</t>
        </is>
      </c>
      <c r="BC1328" t="inlineStr">
        <is>
          <t>32285002113412</t>
        </is>
      </c>
      <c r="BD1328" t="inlineStr">
        <is>
          <t>893497933</t>
        </is>
      </c>
    </row>
    <row r="1329">
      <c r="A1329" t="inlineStr">
        <is>
          <t>No</t>
        </is>
      </c>
      <c r="B1329" t="inlineStr">
        <is>
          <t>RC569 .H56</t>
        </is>
      </c>
      <c r="C1329" t="inlineStr">
        <is>
          <t>0                      RC 0569000H  56</t>
        </is>
      </c>
      <c r="D1329" t="inlineStr">
        <is>
          <t>The counselor and suicidal crisis : diagnosis and intervention / by John Hipple and Peter Cimbolic.</t>
        </is>
      </c>
      <c r="F1329" t="inlineStr">
        <is>
          <t>No</t>
        </is>
      </c>
      <c r="G1329" t="inlineStr">
        <is>
          <t>1</t>
        </is>
      </c>
      <c r="H1329" t="inlineStr">
        <is>
          <t>No</t>
        </is>
      </c>
      <c r="I1329" t="inlineStr">
        <is>
          <t>No</t>
        </is>
      </c>
      <c r="J1329" t="inlineStr">
        <is>
          <t>0</t>
        </is>
      </c>
      <c r="K1329" t="inlineStr">
        <is>
          <t>Hipple, John L.</t>
        </is>
      </c>
      <c r="L1329" t="inlineStr">
        <is>
          <t>Springfield, Ill. : Thomas, c1979.</t>
        </is>
      </c>
      <c r="M1329" t="inlineStr">
        <is>
          <t>1979</t>
        </is>
      </c>
      <c r="O1329" t="inlineStr">
        <is>
          <t>eng</t>
        </is>
      </c>
      <c r="P1329" t="inlineStr">
        <is>
          <t>ilu</t>
        </is>
      </c>
      <c r="R1329" t="inlineStr">
        <is>
          <t xml:space="preserve">RC </t>
        </is>
      </c>
      <c r="S1329" t="n">
        <v>7</v>
      </c>
      <c r="T1329" t="n">
        <v>7</v>
      </c>
      <c r="U1329" t="inlineStr">
        <is>
          <t>1995-11-06</t>
        </is>
      </c>
      <c r="V1329" t="inlineStr">
        <is>
          <t>1995-11-06</t>
        </is>
      </c>
      <c r="W1329" t="inlineStr">
        <is>
          <t>1992-06-25</t>
        </is>
      </c>
      <c r="X1329" t="inlineStr">
        <is>
          <t>1992-06-25</t>
        </is>
      </c>
      <c r="Y1329" t="n">
        <v>346</v>
      </c>
      <c r="Z1329" t="n">
        <v>310</v>
      </c>
      <c r="AA1329" t="n">
        <v>312</v>
      </c>
      <c r="AB1329" t="n">
        <v>2</v>
      </c>
      <c r="AC1329" t="n">
        <v>2</v>
      </c>
      <c r="AD1329" t="n">
        <v>13</v>
      </c>
      <c r="AE1329" t="n">
        <v>13</v>
      </c>
      <c r="AF1329" t="n">
        <v>5</v>
      </c>
      <c r="AG1329" t="n">
        <v>5</v>
      </c>
      <c r="AH1329" t="n">
        <v>4</v>
      </c>
      <c r="AI1329" t="n">
        <v>4</v>
      </c>
      <c r="AJ1329" t="n">
        <v>8</v>
      </c>
      <c r="AK1329" t="n">
        <v>8</v>
      </c>
      <c r="AL1329" t="n">
        <v>1</v>
      </c>
      <c r="AM1329" t="n">
        <v>1</v>
      </c>
      <c r="AN1329" t="n">
        <v>0</v>
      </c>
      <c r="AO1329" t="n">
        <v>0</v>
      </c>
      <c r="AP1329" t="inlineStr">
        <is>
          <t>No</t>
        </is>
      </c>
      <c r="AQ1329" t="inlineStr">
        <is>
          <t>Yes</t>
        </is>
      </c>
      <c r="AR1329">
        <f>HYPERLINK("http://catalog.hathitrust.org/Record/006221760","HathiTrust Record")</f>
        <v/>
      </c>
      <c r="AS1329">
        <f>HYPERLINK("https://creighton-primo.hosted.exlibrisgroup.com/primo-explore/search?tab=default_tab&amp;search_scope=EVERYTHING&amp;vid=01CRU&amp;lang=en_US&amp;offset=0&amp;query=any,contains,991004651599702656","Catalog Record")</f>
        <v/>
      </c>
      <c r="AT1329">
        <f>HYPERLINK("http://www.worldcat.org/oclc/4494210","WorldCat Record")</f>
        <v/>
      </c>
      <c r="AU1329" t="inlineStr">
        <is>
          <t>198220604:eng</t>
        </is>
      </c>
      <c r="AV1329" t="inlineStr">
        <is>
          <t>4494210</t>
        </is>
      </c>
      <c r="AW1329" t="inlineStr">
        <is>
          <t>991004651599702656</t>
        </is>
      </c>
      <c r="AX1329" t="inlineStr">
        <is>
          <t>991004651599702656</t>
        </is>
      </c>
      <c r="AY1329" t="inlineStr">
        <is>
          <t>2265415280002656</t>
        </is>
      </c>
      <c r="AZ1329" t="inlineStr">
        <is>
          <t>BOOK</t>
        </is>
      </c>
      <c r="BB1329" t="inlineStr">
        <is>
          <t>9780398038724</t>
        </is>
      </c>
      <c r="BC1329" t="inlineStr">
        <is>
          <t>32285001145555</t>
        </is>
      </c>
      <c r="BD1329" t="inlineStr">
        <is>
          <t>893241693</t>
        </is>
      </c>
    </row>
    <row r="1330">
      <c r="A1330" t="inlineStr">
        <is>
          <t>No</t>
        </is>
      </c>
      <c r="B1330" t="inlineStr">
        <is>
          <t>RC569 .H65 1987</t>
        </is>
      </c>
      <c r="C1330" t="inlineStr">
        <is>
          <t>0                      RC 0569000H  65          1987</t>
        </is>
      </c>
      <c r="D1330" t="inlineStr">
        <is>
          <t>Violent deaths in the United States : an epidemiologic study of suicide, homicide, and accidents / Paul C. Holinger ; foreword by Jan Fawcett.</t>
        </is>
      </c>
      <c r="F1330" t="inlineStr">
        <is>
          <t>No</t>
        </is>
      </c>
      <c r="G1330" t="inlineStr">
        <is>
          <t>1</t>
        </is>
      </c>
      <c r="H1330" t="inlineStr">
        <is>
          <t>No</t>
        </is>
      </c>
      <c r="I1330" t="inlineStr">
        <is>
          <t>No</t>
        </is>
      </c>
      <c r="J1330" t="inlineStr">
        <is>
          <t>0</t>
        </is>
      </c>
      <c r="K1330" t="inlineStr">
        <is>
          <t>Holinger, Paul C.</t>
        </is>
      </c>
      <c r="L1330" t="inlineStr">
        <is>
          <t>New York : Guilford Press, c1987.</t>
        </is>
      </c>
      <c r="M1330" t="inlineStr">
        <is>
          <t>1987</t>
        </is>
      </c>
      <c r="O1330" t="inlineStr">
        <is>
          <t>eng</t>
        </is>
      </c>
      <c r="P1330" t="inlineStr">
        <is>
          <t>nyu</t>
        </is>
      </c>
      <c r="R1330" t="inlineStr">
        <is>
          <t xml:space="preserve">RC </t>
        </is>
      </c>
      <c r="S1330" t="n">
        <v>7</v>
      </c>
      <c r="T1330" t="n">
        <v>7</v>
      </c>
      <c r="U1330" t="inlineStr">
        <is>
          <t>2003-11-10</t>
        </is>
      </c>
      <c r="V1330" t="inlineStr">
        <is>
          <t>2003-11-10</t>
        </is>
      </c>
      <c r="W1330" t="inlineStr">
        <is>
          <t>1992-02-25</t>
        </is>
      </c>
      <c r="X1330" t="inlineStr">
        <is>
          <t>1992-02-25</t>
        </is>
      </c>
      <c r="Y1330" t="n">
        <v>430</v>
      </c>
      <c r="Z1330" t="n">
        <v>375</v>
      </c>
      <c r="AA1330" t="n">
        <v>375</v>
      </c>
      <c r="AB1330" t="n">
        <v>3</v>
      </c>
      <c r="AC1330" t="n">
        <v>3</v>
      </c>
      <c r="AD1330" t="n">
        <v>15</v>
      </c>
      <c r="AE1330" t="n">
        <v>15</v>
      </c>
      <c r="AF1330" t="n">
        <v>4</v>
      </c>
      <c r="AG1330" t="n">
        <v>4</v>
      </c>
      <c r="AH1330" t="n">
        <v>3</v>
      </c>
      <c r="AI1330" t="n">
        <v>3</v>
      </c>
      <c r="AJ1330" t="n">
        <v>8</v>
      </c>
      <c r="AK1330" t="n">
        <v>8</v>
      </c>
      <c r="AL1330" t="n">
        <v>2</v>
      </c>
      <c r="AM1330" t="n">
        <v>2</v>
      </c>
      <c r="AN1330" t="n">
        <v>2</v>
      </c>
      <c r="AO1330" t="n">
        <v>2</v>
      </c>
      <c r="AP1330" t="inlineStr">
        <is>
          <t>No</t>
        </is>
      </c>
      <c r="AQ1330" t="inlineStr">
        <is>
          <t>No</t>
        </is>
      </c>
      <c r="AS1330">
        <f>HYPERLINK("https://creighton-primo.hosted.exlibrisgroup.com/primo-explore/search?tab=default_tab&amp;search_scope=EVERYTHING&amp;vid=01CRU&amp;lang=en_US&amp;offset=0&amp;query=any,contains,991001051689702656","Catalog Record")</f>
        <v/>
      </c>
      <c r="AT1330">
        <f>HYPERLINK("http://www.worldcat.org/oclc/15656185","WorldCat Record")</f>
        <v/>
      </c>
      <c r="AU1330" t="inlineStr">
        <is>
          <t>294423545:eng</t>
        </is>
      </c>
      <c r="AV1330" t="inlineStr">
        <is>
          <t>15656185</t>
        </is>
      </c>
      <c r="AW1330" t="inlineStr">
        <is>
          <t>991001051689702656</t>
        </is>
      </c>
      <c r="AX1330" t="inlineStr">
        <is>
          <t>991001051689702656</t>
        </is>
      </c>
      <c r="AY1330" t="inlineStr">
        <is>
          <t>2268219280002656</t>
        </is>
      </c>
      <c r="AZ1330" t="inlineStr">
        <is>
          <t>BOOK</t>
        </is>
      </c>
      <c r="BB1330" t="inlineStr">
        <is>
          <t>9780898626728</t>
        </is>
      </c>
      <c r="BC1330" t="inlineStr">
        <is>
          <t>32285000976166</t>
        </is>
      </c>
      <c r="BD1330" t="inlineStr">
        <is>
          <t>893255969</t>
        </is>
      </c>
    </row>
    <row r="1331">
      <c r="A1331" t="inlineStr">
        <is>
          <t>No</t>
        </is>
      </c>
      <c r="B1331" t="inlineStr">
        <is>
          <t>RC569 .L46 1988</t>
        </is>
      </c>
      <c r="C1331" t="inlineStr">
        <is>
          <t>0                      RC 0569000L  46          1988</t>
        </is>
      </c>
      <c r="D1331" t="inlineStr">
        <is>
          <t>The biochemical basis of suicide / by David Lester.</t>
        </is>
      </c>
      <c r="F1331" t="inlineStr">
        <is>
          <t>No</t>
        </is>
      </c>
      <c r="G1331" t="inlineStr">
        <is>
          <t>1</t>
        </is>
      </c>
      <c r="H1331" t="inlineStr">
        <is>
          <t>No</t>
        </is>
      </c>
      <c r="I1331" t="inlineStr">
        <is>
          <t>No</t>
        </is>
      </c>
      <c r="J1331" t="inlineStr">
        <is>
          <t>0</t>
        </is>
      </c>
      <c r="K1331" t="inlineStr">
        <is>
          <t>Lester, David, 1942-</t>
        </is>
      </c>
      <c r="L1331" t="inlineStr">
        <is>
          <t>Springfield, Ill., U.S.A. : Thomas, c1988.</t>
        </is>
      </c>
      <c r="M1331" t="inlineStr">
        <is>
          <t>1988</t>
        </is>
      </c>
      <c r="O1331" t="inlineStr">
        <is>
          <t>eng</t>
        </is>
      </c>
      <c r="P1331" t="inlineStr">
        <is>
          <t>ilu</t>
        </is>
      </c>
      <c r="R1331" t="inlineStr">
        <is>
          <t xml:space="preserve">RC </t>
        </is>
      </c>
      <c r="S1331" t="n">
        <v>5</v>
      </c>
      <c r="T1331" t="n">
        <v>5</v>
      </c>
      <c r="U1331" t="inlineStr">
        <is>
          <t>1997-02-16</t>
        </is>
      </c>
      <c r="V1331" t="inlineStr">
        <is>
          <t>1997-02-16</t>
        </is>
      </c>
      <c r="W1331" t="inlineStr">
        <is>
          <t>1992-02-25</t>
        </is>
      </c>
      <c r="X1331" t="inlineStr">
        <is>
          <t>1992-02-25</t>
        </is>
      </c>
      <c r="Y1331" t="n">
        <v>166</v>
      </c>
      <c r="Z1331" t="n">
        <v>136</v>
      </c>
      <c r="AA1331" t="n">
        <v>138</v>
      </c>
      <c r="AB1331" t="n">
        <v>2</v>
      </c>
      <c r="AC1331" t="n">
        <v>2</v>
      </c>
      <c r="AD1331" t="n">
        <v>6</v>
      </c>
      <c r="AE1331" t="n">
        <v>6</v>
      </c>
      <c r="AF1331" t="n">
        <v>1</v>
      </c>
      <c r="AG1331" t="n">
        <v>1</v>
      </c>
      <c r="AH1331" t="n">
        <v>1</v>
      </c>
      <c r="AI1331" t="n">
        <v>1</v>
      </c>
      <c r="AJ1331" t="n">
        <v>4</v>
      </c>
      <c r="AK1331" t="n">
        <v>4</v>
      </c>
      <c r="AL1331" t="n">
        <v>1</v>
      </c>
      <c r="AM1331" t="n">
        <v>1</v>
      </c>
      <c r="AN1331" t="n">
        <v>0</v>
      </c>
      <c r="AO1331" t="n">
        <v>0</v>
      </c>
      <c r="AP1331" t="inlineStr">
        <is>
          <t>No</t>
        </is>
      </c>
      <c r="AQ1331" t="inlineStr">
        <is>
          <t>Yes</t>
        </is>
      </c>
      <c r="AR1331">
        <f>HYPERLINK("http://catalog.hathitrust.org/Record/000914147","HathiTrust Record")</f>
        <v/>
      </c>
      <c r="AS1331">
        <f>HYPERLINK("https://creighton-primo.hosted.exlibrisgroup.com/primo-explore/search?tab=default_tab&amp;search_scope=EVERYTHING&amp;vid=01CRU&amp;lang=en_US&amp;offset=0&amp;query=any,contains,991001194619702656","Catalog Record")</f>
        <v/>
      </c>
      <c r="AT1331">
        <f>HYPERLINK("http://www.worldcat.org/oclc/17265210","WorldCat Record")</f>
        <v/>
      </c>
      <c r="AU1331" t="inlineStr">
        <is>
          <t>15635627:eng</t>
        </is>
      </c>
      <c r="AV1331" t="inlineStr">
        <is>
          <t>17265210</t>
        </is>
      </c>
      <c r="AW1331" t="inlineStr">
        <is>
          <t>991001194619702656</t>
        </is>
      </c>
      <c r="AX1331" t="inlineStr">
        <is>
          <t>991001194619702656</t>
        </is>
      </c>
      <c r="AY1331" t="inlineStr">
        <is>
          <t>2264068200002656</t>
        </is>
      </c>
      <c r="AZ1331" t="inlineStr">
        <is>
          <t>BOOK</t>
        </is>
      </c>
      <c r="BB1331" t="inlineStr">
        <is>
          <t>9780398054434</t>
        </is>
      </c>
      <c r="BC1331" t="inlineStr">
        <is>
          <t>32285000975887</t>
        </is>
      </c>
      <c r="BD1331" t="inlineStr">
        <is>
          <t>893225675</t>
        </is>
      </c>
    </row>
    <row r="1332">
      <c r="A1332" t="inlineStr">
        <is>
          <t>No</t>
        </is>
      </c>
      <c r="B1332" t="inlineStr">
        <is>
          <t>RC569 .M35 1986</t>
        </is>
      </c>
      <c r="C1332" t="inlineStr">
        <is>
          <t>0                      RC 0569000M  35          1986</t>
        </is>
      </c>
      <c r="D1332" t="inlineStr">
        <is>
          <t>Suicide risk : the formulation of clinical judgment / John T. Maltsberger.</t>
        </is>
      </c>
      <c r="F1332" t="inlineStr">
        <is>
          <t>No</t>
        </is>
      </c>
      <c r="G1332" t="inlineStr">
        <is>
          <t>1</t>
        </is>
      </c>
      <c r="H1332" t="inlineStr">
        <is>
          <t>No</t>
        </is>
      </c>
      <c r="I1332" t="inlineStr">
        <is>
          <t>No</t>
        </is>
      </c>
      <c r="J1332" t="inlineStr">
        <is>
          <t>0</t>
        </is>
      </c>
      <c r="K1332" t="inlineStr">
        <is>
          <t>Maltsberger, John T.</t>
        </is>
      </c>
      <c r="L1332" t="inlineStr">
        <is>
          <t>New York : New York University Press, c1986.</t>
        </is>
      </c>
      <c r="M1332" t="inlineStr">
        <is>
          <t>1986</t>
        </is>
      </c>
      <c r="O1332" t="inlineStr">
        <is>
          <t>eng</t>
        </is>
      </c>
      <c r="P1332" t="inlineStr">
        <is>
          <t>nyu</t>
        </is>
      </c>
      <c r="R1332" t="inlineStr">
        <is>
          <t xml:space="preserve">RC </t>
        </is>
      </c>
      <c r="S1332" t="n">
        <v>20</v>
      </c>
      <c r="T1332" t="n">
        <v>20</v>
      </c>
      <c r="U1332" t="inlineStr">
        <is>
          <t>2002-10-03</t>
        </is>
      </c>
      <c r="V1332" t="inlineStr">
        <is>
          <t>2002-10-03</t>
        </is>
      </c>
      <c r="W1332" t="inlineStr">
        <is>
          <t>1990-06-01</t>
        </is>
      </c>
      <c r="X1332" t="inlineStr">
        <is>
          <t>1990-06-01</t>
        </is>
      </c>
      <c r="Y1332" t="n">
        <v>453</v>
      </c>
      <c r="Z1332" t="n">
        <v>394</v>
      </c>
      <c r="AA1332" t="n">
        <v>400</v>
      </c>
      <c r="AB1332" t="n">
        <v>3</v>
      </c>
      <c r="AC1332" t="n">
        <v>3</v>
      </c>
      <c r="AD1332" t="n">
        <v>15</v>
      </c>
      <c r="AE1332" t="n">
        <v>15</v>
      </c>
      <c r="AF1332" t="n">
        <v>3</v>
      </c>
      <c r="AG1332" t="n">
        <v>3</v>
      </c>
      <c r="AH1332" t="n">
        <v>3</v>
      </c>
      <c r="AI1332" t="n">
        <v>3</v>
      </c>
      <c r="AJ1332" t="n">
        <v>11</v>
      </c>
      <c r="AK1332" t="n">
        <v>11</v>
      </c>
      <c r="AL1332" t="n">
        <v>2</v>
      </c>
      <c r="AM1332" t="n">
        <v>2</v>
      </c>
      <c r="AN1332" t="n">
        <v>0</v>
      </c>
      <c r="AO1332" t="n">
        <v>0</v>
      </c>
      <c r="AP1332" t="inlineStr">
        <is>
          <t>No</t>
        </is>
      </c>
      <c r="AQ1332" t="inlineStr">
        <is>
          <t>No</t>
        </is>
      </c>
      <c r="AS1332">
        <f>HYPERLINK("https://creighton-primo.hosted.exlibrisgroup.com/primo-explore/search?tab=default_tab&amp;search_scope=EVERYTHING&amp;vid=01CRU&amp;lang=en_US&amp;offset=0&amp;query=any,contains,991000792079702656","Catalog Record")</f>
        <v/>
      </c>
      <c r="AT1332">
        <f>HYPERLINK("http://www.worldcat.org/oclc/13159091","WorldCat Record")</f>
        <v/>
      </c>
      <c r="AU1332" t="inlineStr">
        <is>
          <t>836620495:eng</t>
        </is>
      </c>
      <c r="AV1332" t="inlineStr">
        <is>
          <t>13159091</t>
        </is>
      </c>
      <c r="AW1332" t="inlineStr">
        <is>
          <t>991000792079702656</t>
        </is>
      </c>
      <c r="AX1332" t="inlineStr">
        <is>
          <t>991000792079702656</t>
        </is>
      </c>
      <c r="AY1332" t="inlineStr">
        <is>
          <t>2267646970002656</t>
        </is>
      </c>
      <c r="AZ1332" t="inlineStr">
        <is>
          <t>BOOK</t>
        </is>
      </c>
      <c r="BB1332" t="inlineStr">
        <is>
          <t>9780814753989</t>
        </is>
      </c>
      <c r="BC1332" t="inlineStr">
        <is>
          <t>32285000180181</t>
        </is>
      </c>
      <c r="BD1332" t="inlineStr">
        <is>
          <t>893714908</t>
        </is>
      </c>
    </row>
    <row r="1333">
      <c r="A1333" t="inlineStr">
        <is>
          <t>No</t>
        </is>
      </c>
      <c r="B1333" t="inlineStr">
        <is>
          <t>RC569 .R53 1986</t>
        </is>
      </c>
      <c r="C1333" t="inlineStr">
        <is>
          <t>0                      RC 0569000R  53          1986</t>
        </is>
      </c>
      <c r="D1333" t="inlineStr">
        <is>
          <t>Family therapy for suicidal people / Joseph Richman.</t>
        </is>
      </c>
      <c r="F1333" t="inlineStr">
        <is>
          <t>No</t>
        </is>
      </c>
      <c r="G1333" t="inlineStr">
        <is>
          <t>1</t>
        </is>
      </c>
      <c r="H1333" t="inlineStr">
        <is>
          <t>No</t>
        </is>
      </c>
      <c r="I1333" t="inlineStr">
        <is>
          <t>No</t>
        </is>
      </c>
      <c r="J1333" t="inlineStr">
        <is>
          <t>0</t>
        </is>
      </c>
      <c r="K1333" t="inlineStr">
        <is>
          <t>Richman, Joseph.</t>
        </is>
      </c>
      <c r="L1333" t="inlineStr">
        <is>
          <t>New York : Springer Pub. Co., c1986.</t>
        </is>
      </c>
      <c r="M1333" t="inlineStr">
        <is>
          <t>1986</t>
        </is>
      </c>
      <c r="O1333" t="inlineStr">
        <is>
          <t>eng</t>
        </is>
      </c>
      <c r="P1333" t="inlineStr">
        <is>
          <t>nyu</t>
        </is>
      </c>
      <c r="Q1333" t="inlineStr">
        <is>
          <t>The Springer series on death and suicide ; v. 7</t>
        </is>
      </c>
      <c r="R1333" t="inlineStr">
        <is>
          <t xml:space="preserve">RC </t>
        </is>
      </c>
      <c r="S1333" t="n">
        <v>6</v>
      </c>
      <c r="T1333" t="n">
        <v>6</v>
      </c>
      <c r="U1333" t="inlineStr">
        <is>
          <t>1997-09-18</t>
        </is>
      </c>
      <c r="V1333" t="inlineStr">
        <is>
          <t>1997-09-18</t>
        </is>
      </c>
      <c r="W1333" t="inlineStr">
        <is>
          <t>1990-02-20</t>
        </is>
      </c>
      <c r="X1333" t="inlineStr">
        <is>
          <t>1990-02-20</t>
        </is>
      </c>
      <c r="Y1333" t="n">
        <v>606</v>
      </c>
      <c r="Z1333" t="n">
        <v>535</v>
      </c>
      <c r="AA1333" t="n">
        <v>541</v>
      </c>
      <c r="AB1333" t="n">
        <v>4</v>
      </c>
      <c r="AC1333" t="n">
        <v>4</v>
      </c>
      <c r="AD1333" t="n">
        <v>21</v>
      </c>
      <c r="AE1333" t="n">
        <v>21</v>
      </c>
      <c r="AF1333" t="n">
        <v>6</v>
      </c>
      <c r="AG1333" t="n">
        <v>6</v>
      </c>
      <c r="AH1333" t="n">
        <v>5</v>
      </c>
      <c r="AI1333" t="n">
        <v>5</v>
      </c>
      <c r="AJ1333" t="n">
        <v>11</v>
      </c>
      <c r="AK1333" t="n">
        <v>11</v>
      </c>
      <c r="AL1333" t="n">
        <v>3</v>
      </c>
      <c r="AM1333" t="n">
        <v>3</v>
      </c>
      <c r="AN1333" t="n">
        <v>0</v>
      </c>
      <c r="AO1333" t="n">
        <v>0</v>
      </c>
      <c r="AP1333" t="inlineStr">
        <is>
          <t>No</t>
        </is>
      </c>
      <c r="AQ1333" t="inlineStr">
        <is>
          <t>Yes</t>
        </is>
      </c>
      <c r="AR1333">
        <f>HYPERLINK("http://catalog.hathitrust.org/Record/000468884","HathiTrust Record")</f>
        <v/>
      </c>
      <c r="AS1333">
        <f>HYPERLINK("https://creighton-primo.hosted.exlibrisgroup.com/primo-explore/search?tab=default_tab&amp;search_scope=EVERYTHING&amp;vid=01CRU&amp;lang=en_US&amp;offset=0&amp;query=any,contains,991000685889702656","Catalog Record")</f>
        <v/>
      </c>
      <c r="AT1333">
        <f>HYPERLINK("http://www.worldcat.org/oclc/12420786","WorldCat Record")</f>
        <v/>
      </c>
      <c r="AU1333" t="inlineStr">
        <is>
          <t>967282:eng</t>
        </is>
      </c>
      <c r="AV1333" t="inlineStr">
        <is>
          <t>12420786</t>
        </is>
      </c>
      <c r="AW1333" t="inlineStr">
        <is>
          <t>991000685889702656</t>
        </is>
      </c>
      <c r="AX1333" t="inlineStr">
        <is>
          <t>991000685889702656</t>
        </is>
      </c>
      <c r="AY1333" t="inlineStr">
        <is>
          <t>2254984510002656</t>
        </is>
      </c>
      <c r="AZ1333" t="inlineStr">
        <is>
          <t>BOOK</t>
        </is>
      </c>
      <c r="BB1333" t="inlineStr">
        <is>
          <t>9780826150103</t>
        </is>
      </c>
      <c r="BC1333" t="inlineStr">
        <is>
          <t>32285000057454</t>
        </is>
      </c>
      <c r="BD1333" t="inlineStr">
        <is>
          <t>893802998</t>
        </is>
      </c>
    </row>
    <row r="1334">
      <c r="A1334" t="inlineStr">
        <is>
          <t>No</t>
        </is>
      </c>
      <c r="B1334" t="inlineStr">
        <is>
          <t>RC569 .S937</t>
        </is>
      </c>
      <c r="C1334" t="inlineStr">
        <is>
          <t>0                      RC 0569000S  937</t>
        </is>
      </c>
      <c r="D1334" t="inlineStr">
        <is>
          <t>Suicide : theory and clinical aspects / L. D. Hankoff, editor, Bernice Einsidler, associate editor.</t>
        </is>
      </c>
      <c r="F1334" t="inlineStr">
        <is>
          <t>No</t>
        </is>
      </c>
      <c r="G1334" t="inlineStr">
        <is>
          <t>1</t>
        </is>
      </c>
      <c r="H1334" t="inlineStr">
        <is>
          <t>No</t>
        </is>
      </c>
      <c r="I1334" t="inlineStr">
        <is>
          <t>No</t>
        </is>
      </c>
      <c r="J1334" t="inlineStr">
        <is>
          <t>0</t>
        </is>
      </c>
      <c r="L1334" t="inlineStr">
        <is>
          <t>Littleton, Mass. : PSG Pub. Co., c1979.</t>
        </is>
      </c>
      <c r="M1334" t="inlineStr">
        <is>
          <t>1979</t>
        </is>
      </c>
      <c r="O1334" t="inlineStr">
        <is>
          <t>eng</t>
        </is>
      </c>
      <c r="P1334" t="inlineStr">
        <is>
          <t>mau</t>
        </is>
      </c>
      <c r="R1334" t="inlineStr">
        <is>
          <t xml:space="preserve">RC </t>
        </is>
      </c>
      <c r="S1334" t="n">
        <v>11</v>
      </c>
      <c r="T1334" t="n">
        <v>11</v>
      </c>
      <c r="U1334" t="inlineStr">
        <is>
          <t>2007-02-16</t>
        </is>
      </c>
      <c r="V1334" t="inlineStr">
        <is>
          <t>2007-02-16</t>
        </is>
      </c>
      <c r="W1334" t="inlineStr">
        <is>
          <t>1991-06-18</t>
        </is>
      </c>
      <c r="X1334" t="inlineStr">
        <is>
          <t>1991-06-18</t>
        </is>
      </c>
      <c r="Y1334" t="n">
        <v>413</v>
      </c>
      <c r="Z1334" t="n">
        <v>352</v>
      </c>
      <c r="AA1334" t="n">
        <v>356</v>
      </c>
      <c r="AB1334" t="n">
        <v>3</v>
      </c>
      <c r="AC1334" t="n">
        <v>3</v>
      </c>
      <c r="AD1334" t="n">
        <v>14</v>
      </c>
      <c r="AE1334" t="n">
        <v>14</v>
      </c>
      <c r="AF1334" t="n">
        <v>4</v>
      </c>
      <c r="AG1334" t="n">
        <v>4</v>
      </c>
      <c r="AH1334" t="n">
        <v>3</v>
      </c>
      <c r="AI1334" t="n">
        <v>3</v>
      </c>
      <c r="AJ1334" t="n">
        <v>8</v>
      </c>
      <c r="AK1334" t="n">
        <v>8</v>
      </c>
      <c r="AL1334" t="n">
        <v>2</v>
      </c>
      <c r="AM1334" t="n">
        <v>2</v>
      </c>
      <c r="AN1334" t="n">
        <v>0</v>
      </c>
      <c r="AO1334" t="n">
        <v>0</v>
      </c>
      <c r="AP1334" t="inlineStr">
        <is>
          <t>No</t>
        </is>
      </c>
      <c r="AQ1334" t="inlineStr">
        <is>
          <t>Yes</t>
        </is>
      </c>
      <c r="AR1334">
        <f>HYPERLINK("http://catalog.hathitrust.org/Record/000031764","HathiTrust Record")</f>
        <v/>
      </c>
      <c r="AS1334">
        <f>HYPERLINK("https://creighton-primo.hosted.exlibrisgroup.com/primo-explore/search?tab=default_tab&amp;search_scope=EVERYTHING&amp;vid=01CRU&amp;lang=en_US&amp;offset=0&amp;query=any,contains,991004572139702656","Catalog Record")</f>
        <v/>
      </c>
      <c r="AT1334">
        <f>HYPERLINK("http://www.worldcat.org/oclc/4036310","WorldCat Record")</f>
        <v/>
      </c>
      <c r="AU1334" t="inlineStr">
        <is>
          <t>896923499:eng</t>
        </is>
      </c>
      <c r="AV1334" t="inlineStr">
        <is>
          <t>4036310</t>
        </is>
      </c>
      <c r="AW1334" t="inlineStr">
        <is>
          <t>991004572139702656</t>
        </is>
      </c>
      <c r="AX1334" t="inlineStr">
        <is>
          <t>991004572139702656</t>
        </is>
      </c>
      <c r="AY1334" t="inlineStr">
        <is>
          <t>2269435610002656</t>
        </is>
      </c>
      <c r="AZ1334" t="inlineStr">
        <is>
          <t>BOOK</t>
        </is>
      </c>
      <c r="BB1334" t="inlineStr">
        <is>
          <t>9780884161981</t>
        </is>
      </c>
      <c r="BC1334" t="inlineStr">
        <is>
          <t>32285000630656</t>
        </is>
      </c>
      <c r="BD1334" t="inlineStr">
        <is>
          <t>893876266</t>
        </is>
      </c>
    </row>
    <row r="1335">
      <c r="A1335" t="inlineStr">
        <is>
          <t>No</t>
        </is>
      </c>
      <c r="B1335" t="inlineStr">
        <is>
          <t>RC569 .S94</t>
        </is>
      </c>
      <c r="C1335" t="inlineStr">
        <is>
          <t>0                      RC 0569000S  94</t>
        </is>
      </c>
      <c r="D1335" t="inlineStr">
        <is>
          <t>Suicidology : contemporary developments / edited by Edwin S. Shneidman ; foreword by Milton Greenblatt.</t>
        </is>
      </c>
      <c r="F1335" t="inlineStr">
        <is>
          <t>No</t>
        </is>
      </c>
      <c r="G1335" t="inlineStr">
        <is>
          <t>1</t>
        </is>
      </c>
      <c r="H1335" t="inlineStr">
        <is>
          <t>Yes</t>
        </is>
      </c>
      <c r="I1335" t="inlineStr">
        <is>
          <t>No</t>
        </is>
      </c>
      <c r="J1335" t="inlineStr">
        <is>
          <t>0</t>
        </is>
      </c>
      <c r="L1335" t="inlineStr">
        <is>
          <t>New York : Grune &amp; Stratton, c1976.</t>
        </is>
      </c>
      <c r="M1335" t="inlineStr">
        <is>
          <t>1976</t>
        </is>
      </c>
      <c r="O1335" t="inlineStr">
        <is>
          <t>eng</t>
        </is>
      </c>
      <c r="P1335" t="inlineStr">
        <is>
          <t>nyu</t>
        </is>
      </c>
      <c r="Q1335" t="inlineStr">
        <is>
          <t>Seminars in psychiatry</t>
        </is>
      </c>
      <c r="R1335" t="inlineStr">
        <is>
          <t xml:space="preserve">RC </t>
        </is>
      </c>
      <c r="S1335" t="n">
        <v>4</v>
      </c>
      <c r="T1335" t="n">
        <v>4</v>
      </c>
      <c r="U1335" t="inlineStr">
        <is>
          <t>2002-11-13</t>
        </is>
      </c>
      <c r="V1335" t="inlineStr">
        <is>
          <t>2002-11-13</t>
        </is>
      </c>
      <c r="W1335" t="inlineStr">
        <is>
          <t>1993-09-14</t>
        </is>
      </c>
      <c r="X1335" t="inlineStr">
        <is>
          <t>1993-09-14</t>
        </is>
      </c>
      <c r="Y1335" t="n">
        <v>428</v>
      </c>
      <c r="Z1335" t="n">
        <v>319</v>
      </c>
      <c r="AA1335" t="n">
        <v>326</v>
      </c>
      <c r="AB1335" t="n">
        <v>3</v>
      </c>
      <c r="AC1335" t="n">
        <v>3</v>
      </c>
      <c r="AD1335" t="n">
        <v>9</v>
      </c>
      <c r="AE1335" t="n">
        <v>9</v>
      </c>
      <c r="AF1335" t="n">
        <v>3</v>
      </c>
      <c r="AG1335" t="n">
        <v>3</v>
      </c>
      <c r="AH1335" t="n">
        <v>1</v>
      </c>
      <c r="AI1335" t="n">
        <v>1</v>
      </c>
      <c r="AJ1335" t="n">
        <v>6</v>
      </c>
      <c r="AK1335" t="n">
        <v>6</v>
      </c>
      <c r="AL1335" t="n">
        <v>1</v>
      </c>
      <c r="AM1335" t="n">
        <v>1</v>
      </c>
      <c r="AN1335" t="n">
        <v>0</v>
      </c>
      <c r="AO1335" t="n">
        <v>0</v>
      </c>
      <c r="AP1335" t="inlineStr">
        <is>
          <t>No</t>
        </is>
      </c>
      <c r="AQ1335" t="inlineStr">
        <is>
          <t>Yes</t>
        </is>
      </c>
      <c r="AR1335">
        <f>HYPERLINK("http://catalog.hathitrust.org/Record/000736181","HathiTrust Record")</f>
        <v/>
      </c>
      <c r="AS1335">
        <f>HYPERLINK("https://creighton-primo.hosted.exlibrisgroup.com/primo-explore/search?tab=default_tab&amp;search_scope=EVERYTHING&amp;vid=01CRU&amp;lang=en_US&amp;offset=0&amp;query=any,contains,991001767289702656","Catalog Record")</f>
        <v/>
      </c>
      <c r="AT1335">
        <f>HYPERLINK("http://www.worldcat.org/oclc/2326408","WorldCat Record")</f>
        <v/>
      </c>
      <c r="AU1335" t="inlineStr">
        <is>
          <t>836659501:eng</t>
        </is>
      </c>
      <c r="AV1335" t="inlineStr">
        <is>
          <t>2326408</t>
        </is>
      </c>
      <c r="AW1335" t="inlineStr">
        <is>
          <t>991001767289702656</t>
        </is>
      </c>
      <c r="AX1335" t="inlineStr">
        <is>
          <t>991001767289702656</t>
        </is>
      </c>
      <c r="AY1335" t="inlineStr">
        <is>
          <t>2261503280002656</t>
        </is>
      </c>
      <c r="AZ1335" t="inlineStr">
        <is>
          <t>BOOK</t>
        </is>
      </c>
      <c r="BB1335" t="inlineStr">
        <is>
          <t>9780808909309</t>
        </is>
      </c>
      <c r="BC1335" t="inlineStr">
        <is>
          <t>32285001770105</t>
        </is>
      </c>
      <c r="BD1335" t="inlineStr">
        <is>
          <t>893866463</t>
        </is>
      </c>
    </row>
    <row r="1336">
      <c r="A1336" t="inlineStr">
        <is>
          <t>No</t>
        </is>
      </c>
      <c r="B1336" t="inlineStr">
        <is>
          <t>RC569 .W44</t>
        </is>
      </c>
      <c r="C1336" t="inlineStr">
        <is>
          <t>0                      RC 0569000W  44</t>
        </is>
      </c>
      <c r="D1336" t="inlineStr">
        <is>
          <t>Handbook of suicidology : principles, problems, and practice / by Louis Wekstein.</t>
        </is>
      </c>
      <c r="F1336" t="inlineStr">
        <is>
          <t>No</t>
        </is>
      </c>
      <c r="G1336" t="inlineStr">
        <is>
          <t>1</t>
        </is>
      </c>
      <c r="H1336" t="inlineStr">
        <is>
          <t>No</t>
        </is>
      </c>
      <c r="I1336" t="inlineStr">
        <is>
          <t>No</t>
        </is>
      </c>
      <c r="J1336" t="inlineStr">
        <is>
          <t>0</t>
        </is>
      </c>
      <c r="K1336" t="inlineStr">
        <is>
          <t>Wekstein, Louis, 1917-</t>
        </is>
      </c>
      <c r="L1336" t="inlineStr">
        <is>
          <t>New York : Brunner/Mazel, c1979.</t>
        </is>
      </c>
      <c r="M1336" t="inlineStr">
        <is>
          <t>1979</t>
        </is>
      </c>
      <c r="O1336" t="inlineStr">
        <is>
          <t>eng</t>
        </is>
      </c>
      <c r="P1336" t="inlineStr">
        <is>
          <t>nyu</t>
        </is>
      </c>
      <c r="R1336" t="inlineStr">
        <is>
          <t xml:space="preserve">RC </t>
        </is>
      </c>
      <c r="S1336" t="n">
        <v>3</v>
      </c>
      <c r="T1336" t="n">
        <v>3</v>
      </c>
      <c r="U1336" t="inlineStr">
        <is>
          <t>1992-11-24</t>
        </is>
      </c>
      <c r="V1336" t="inlineStr">
        <is>
          <t>1992-11-24</t>
        </is>
      </c>
      <c r="W1336" t="inlineStr">
        <is>
          <t>1992-04-14</t>
        </is>
      </c>
      <c r="X1336" t="inlineStr">
        <is>
          <t>1992-04-14</t>
        </is>
      </c>
      <c r="Y1336" t="n">
        <v>580</v>
      </c>
      <c r="Z1336" t="n">
        <v>467</v>
      </c>
      <c r="AA1336" t="n">
        <v>474</v>
      </c>
      <c r="AB1336" t="n">
        <v>5</v>
      </c>
      <c r="AC1336" t="n">
        <v>5</v>
      </c>
      <c r="AD1336" t="n">
        <v>20</v>
      </c>
      <c r="AE1336" t="n">
        <v>20</v>
      </c>
      <c r="AF1336" t="n">
        <v>5</v>
      </c>
      <c r="AG1336" t="n">
        <v>5</v>
      </c>
      <c r="AH1336" t="n">
        <v>4</v>
      </c>
      <c r="AI1336" t="n">
        <v>4</v>
      </c>
      <c r="AJ1336" t="n">
        <v>12</v>
      </c>
      <c r="AK1336" t="n">
        <v>12</v>
      </c>
      <c r="AL1336" t="n">
        <v>4</v>
      </c>
      <c r="AM1336" t="n">
        <v>4</v>
      </c>
      <c r="AN1336" t="n">
        <v>0</v>
      </c>
      <c r="AO1336" t="n">
        <v>0</v>
      </c>
      <c r="AP1336" t="inlineStr">
        <is>
          <t>No</t>
        </is>
      </c>
      <c r="AQ1336" t="inlineStr">
        <is>
          <t>Yes</t>
        </is>
      </c>
      <c r="AR1336">
        <f>HYPERLINK("http://catalog.hathitrust.org/Record/000037377","HathiTrust Record")</f>
        <v/>
      </c>
      <c r="AS1336">
        <f>HYPERLINK("https://creighton-primo.hosted.exlibrisgroup.com/primo-explore/search?tab=default_tab&amp;search_scope=EVERYTHING&amp;vid=01CRU&amp;lang=en_US&amp;offset=0&amp;query=any,contains,991004812049702656","Catalog Record")</f>
        <v/>
      </c>
      <c r="AT1336">
        <f>HYPERLINK("http://www.worldcat.org/oclc/5285972","WorldCat Record")</f>
        <v/>
      </c>
      <c r="AU1336" t="inlineStr">
        <is>
          <t>199214800:eng</t>
        </is>
      </c>
      <c r="AV1336" t="inlineStr">
        <is>
          <t>5285972</t>
        </is>
      </c>
      <c r="AW1336" t="inlineStr">
        <is>
          <t>991004812049702656</t>
        </is>
      </c>
      <c r="AX1336" t="inlineStr">
        <is>
          <t>991004812049702656</t>
        </is>
      </c>
      <c r="AY1336" t="inlineStr">
        <is>
          <t>2272092130002656</t>
        </is>
      </c>
      <c r="AZ1336" t="inlineStr">
        <is>
          <t>BOOK</t>
        </is>
      </c>
      <c r="BB1336" t="inlineStr">
        <is>
          <t>9780876302118</t>
        </is>
      </c>
      <c r="BC1336" t="inlineStr">
        <is>
          <t>32285001059616</t>
        </is>
      </c>
      <c r="BD1336" t="inlineStr">
        <is>
          <t>893807503</t>
        </is>
      </c>
    </row>
    <row r="1337">
      <c r="A1337" t="inlineStr">
        <is>
          <t>No</t>
        </is>
      </c>
      <c r="B1337" t="inlineStr">
        <is>
          <t>RC569.5 .C5513 1997</t>
        </is>
      </c>
      <c r="C1337" t="inlineStr">
        <is>
          <t>0                      RC 0569500C  5513        1997</t>
        </is>
      </c>
      <c r="D1337" t="inlineStr">
        <is>
          <t>Breaking down the wall of silence : the liberating experience of facing painful truth / Alice Miller ; translation by Simon Worrall.</t>
        </is>
      </c>
      <c r="F1337" t="inlineStr">
        <is>
          <t>No</t>
        </is>
      </c>
      <c r="G1337" t="inlineStr">
        <is>
          <t>1</t>
        </is>
      </c>
      <c r="H1337" t="inlineStr">
        <is>
          <t>No</t>
        </is>
      </c>
      <c r="I1337" t="inlineStr">
        <is>
          <t>Yes</t>
        </is>
      </c>
      <c r="J1337" t="inlineStr">
        <is>
          <t>0</t>
        </is>
      </c>
      <c r="K1337" t="inlineStr">
        <is>
          <t>Miller, Alice.</t>
        </is>
      </c>
      <c r="L1337" t="inlineStr">
        <is>
          <t>New York : Meridian, 1997.</t>
        </is>
      </c>
      <c r="M1337" t="inlineStr">
        <is>
          <t>1997</t>
        </is>
      </c>
      <c r="N1337" t="inlineStr">
        <is>
          <t>Rev. ed. / with a new preface by the author.</t>
        </is>
      </c>
      <c r="O1337" t="inlineStr">
        <is>
          <t>eng</t>
        </is>
      </c>
      <c r="P1337" t="inlineStr">
        <is>
          <t>nyu</t>
        </is>
      </c>
      <c r="R1337" t="inlineStr">
        <is>
          <t xml:space="preserve">RC </t>
        </is>
      </c>
      <c r="S1337" t="n">
        <v>2</v>
      </c>
      <c r="T1337" t="n">
        <v>2</v>
      </c>
      <c r="U1337" t="inlineStr">
        <is>
          <t>2004-07-12</t>
        </is>
      </c>
      <c r="V1337" t="inlineStr">
        <is>
          <t>2004-07-12</t>
        </is>
      </c>
      <c r="W1337" t="inlineStr">
        <is>
          <t>1997-09-23</t>
        </is>
      </c>
      <c r="X1337" t="inlineStr">
        <is>
          <t>1997-09-23</t>
        </is>
      </c>
      <c r="Y1337" t="n">
        <v>120</v>
      </c>
      <c r="Z1337" t="n">
        <v>105</v>
      </c>
      <c r="AA1337" t="n">
        <v>598</v>
      </c>
      <c r="AB1337" t="n">
        <v>1</v>
      </c>
      <c r="AC1337" t="n">
        <v>4</v>
      </c>
      <c r="AD1337" t="n">
        <v>2</v>
      </c>
      <c r="AE1337" t="n">
        <v>16</v>
      </c>
      <c r="AF1337" t="n">
        <v>0</v>
      </c>
      <c r="AG1337" t="n">
        <v>4</v>
      </c>
      <c r="AH1337" t="n">
        <v>0</v>
      </c>
      <c r="AI1337" t="n">
        <v>4</v>
      </c>
      <c r="AJ1337" t="n">
        <v>2</v>
      </c>
      <c r="AK1337" t="n">
        <v>9</v>
      </c>
      <c r="AL1337" t="n">
        <v>0</v>
      </c>
      <c r="AM1337" t="n">
        <v>2</v>
      </c>
      <c r="AN1337" t="n">
        <v>0</v>
      </c>
      <c r="AO1337" t="n">
        <v>0</v>
      </c>
      <c r="AP1337" t="inlineStr">
        <is>
          <t>No</t>
        </is>
      </c>
      <c r="AQ1337" t="inlineStr">
        <is>
          <t>No</t>
        </is>
      </c>
      <c r="AS1337">
        <f>HYPERLINK("https://creighton-primo.hosted.exlibrisgroup.com/primo-explore/search?tab=default_tab&amp;search_scope=EVERYTHING&amp;vid=01CRU&amp;lang=en_US&amp;offset=0&amp;query=any,contains,991002695139702656","Catalog Record")</f>
        <v/>
      </c>
      <c r="AT1337">
        <f>HYPERLINK("http://www.worldcat.org/oclc/35192311","WorldCat Record")</f>
        <v/>
      </c>
      <c r="AU1337" t="inlineStr">
        <is>
          <t>3943563444:eng</t>
        </is>
      </c>
      <c r="AV1337" t="inlineStr">
        <is>
          <t>35192311</t>
        </is>
      </c>
      <c r="AW1337" t="inlineStr">
        <is>
          <t>991002695139702656</t>
        </is>
      </c>
      <c r="AX1337" t="inlineStr">
        <is>
          <t>991002695139702656</t>
        </is>
      </c>
      <c r="AY1337" t="inlineStr">
        <is>
          <t>2256385420002656</t>
        </is>
      </c>
      <c r="AZ1337" t="inlineStr">
        <is>
          <t>BOOK</t>
        </is>
      </c>
      <c r="BB1337" t="inlineStr">
        <is>
          <t>9780452011113</t>
        </is>
      </c>
      <c r="BC1337" t="inlineStr">
        <is>
          <t>32285003250221</t>
        </is>
      </c>
      <c r="BD1337" t="inlineStr">
        <is>
          <t>893804901</t>
        </is>
      </c>
    </row>
    <row r="1338">
      <c r="A1338" t="inlineStr">
        <is>
          <t>No</t>
        </is>
      </c>
      <c r="B1338" t="inlineStr">
        <is>
          <t>RC569.5.A28 D38 1991</t>
        </is>
      </c>
      <c r="C1338" t="inlineStr">
        <is>
          <t>0                      RC 0569500A  28                 D  38          1991</t>
        </is>
      </c>
      <c r="D1338" t="inlineStr">
        <is>
          <t>Allies in healing : when the person you love was sexually abused as a child / Laura Davis.</t>
        </is>
      </c>
      <c r="F1338" t="inlineStr">
        <is>
          <t>No</t>
        </is>
      </c>
      <c r="G1338" t="inlineStr">
        <is>
          <t>1</t>
        </is>
      </c>
      <c r="H1338" t="inlineStr">
        <is>
          <t>No</t>
        </is>
      </c>
      <c r="I1338" t="inlineStr">
        <is>
          <t>No</t>
        </is>
      </c>
      <c r="J1338" t="inlineStr">
        <is>
          <t>0</t>
        </is>
      </c>
      <c r="K1338" t="inlineStr">
        <is>
          <t>Davis, Laura.</t>
        </is>
      </c>
      <c r="L1338" t="inlineStr">
        <is>
          <t>New York, N.Y. : HarperPerennial, c1991.</t>
        </is>
      </c>
      <c r="M1338" t="inlineStr">
        <is>
          <t>1991</t>
        </is>
      </c>
      <c r="N1338" t="inlineStr">
        <is>
          <t>1st ed.</t>
        </is>
      </c>
      <c r="O1338" t="inlineStr">
        <is>
          <t>eng</t>
        </is>
      </c>
      <c r="P1338" t="inlineStr">
        <is>
          <t>nyu</t>
        </is>
      </c>
      <c r="R1338" t="inlineStr">
        <is>
          <t xml:space="preserve">RC </t>
        </is>
      </c>
      <c r="S1338" t="n">
        <v>10</v>
      </c>
      <c r="T1338" t="n">
        <v>10</v>
      </c>
      <c r="U1338" t="inlineStr">
        <is>
          <t>1996-12-06</t>
        </is>
      </c>
      <c r="V1338" t="inlineStr">
        <is>
          <t>1996-12-06</t>
        </is>
      </c>
      <c r="W1338" t="inlineStr">
        <is>
          <t>1992-08-04</t>
        </is>
      </c>
      <c r="X1338" t="inlineStr">
        <is>
          <t>1992-08-04</t>
        </is>
      </c>
      <c r="Y1338" t="n">
        <v>659</v>
      </c>
      <c r="Z1338" t="n">
        <v>553</v>
      </c>
      <c r="AA1338" t="n">
        <v>569</v>
      </c>
      <c r="AB1338" t="n">
        <v>6</v>
      </c>
      <c r="AC1338" t="n">
        <v>6</v>
      </c>
      <c r="AD1338" t="n">
        <v>16</v>
      </c>
      <c r="AE1338" t="n">
        <v>16</v>
      </c>
      <c r="AF1338" t="n">
        <v>5</v>
      </c>
      <c r="AG1338" t="n">
        <v>5</v>
      </c>
      <c r="AH1338" t="n">
        <v>3</v>
      </c>
      <c r="AI1338" t="n">
        <v>3</v>
      </c>
      <c r="AJ1338" t="n">
        <v>8</v>
      </c>
      <c r="AK1338" t="n">
        <v>8</v>
      </c>
      <c r="AL1338" t="n">
        <v>4</v>
      </c>
      <c r="AM1338" t="n">
        <v>4</v>
      </c>
      <c r="AN1338" t="n">
        <v>0</v>
      </c>
      <c r="AO1338" t="n">
        <v>0</v>
      </c>
      <c r="AP1338" t="inlineStr">
        <is>
          <t>No</t>
        </is>
      </c>
      <c r="AQ1338" t="inlineStr">
        <is>
          <t>No</t>
        </is>
      </c>
      <c r="AS1338">
        <f>HYPERLINK("https://creighton-primo.hosted.exlibrisgroup.com/primo-explore/search?tab=default_tab&amp;search_scope=EVERYTHING&amp;vid=01CRU&amp;lang=en_US&amp;offset=0&amp;query=any,contains,991001855989702656","Catalog Record")</f>
        <v/>
      </c>
      <c r="AT1338">
        <f>HYPERLINK("http://www.worldcat.org/oclc/23287102","WorldCat Record")</f>
        <v/>
      </c>
      <c r="AU1338" t="inlineStr">
        <is>
          <t>198608549:eng</t>
        </is>
      </c>
      <c r="AV1338" t="inlineStr">
        <is>
          <t>23287102</t>
        </is>
      </c>
      <c r="AW1338" t="inlineStr">
        <is>
          <t>991001855989702656</t>
        </is>
      </c>
      <c r="AX1338" t="inlineStr">
        <is>
          <t>991001855989702656</t>
        </is>
      </c>
      <c r="AY1338" t="inlineStr">
        <is>
          <t>2272084560002656</t>
        </is>
      </c>
      <c r="AZ1338" t="inlineStr">
        <is>
          <t>BOOK</t>
        </is>
      </c>
      <c r="BB1338" t="inlineStr">
        <is>
          <t>9780060968830</t>
        </is>
      </c>
      <c r="BC1338" t="inlineStr">
        <is>
          <t>32285001196293</t>
        </is>
      </c>
      <c r="BD1338" t="inlineStr">
        <is>
          <t>893439489</t>
        </is>
      </c>
    </row>
    <row r="1339">
      <c r="A1339" t="inlineStr">
        <is>
          <t>No</t>
        </is>
      </c>
      <c r="B1339" t="inlineStr">
        <is>
          <t>RC569.5.A28 M35 2001</t>
        </is>
      </c>
      <c r="C1339" t="inlineStr">
        <is>
          <t>0                      RC 0569500A  28                 M  35          2001</t>
        </is>
      </c>
      <c r="D1339" t="inlineStr">
        <is>
          <t>The sexual healing journey : a guide for survivors of sexual abuse / Wendy Maltz ; illustrations by Carol Arian.</t>
        </is>
      </c>
      <c r="F1339" t="inlineStr">
        <is>
          <t>No</t>
        </is>
      </c>
      <c r="G1339" t="inlineStr">
        <is>
          <t>1</t>
        </is>
      </c>
      <c r="H1339" t="inlineStr">
        <is>
          <t>No</t>
        </is>
      </c>
      <c r="I1339" t="inlineStr">
        <is>
          <t>No</t>
        </is>
      </c>
      <c r="J1339" t="inlineStr">
        <is>
          <t>0</t>
        </is>
      </c>
      <c r="K1339" t="inlineStr">
        <is>
          <t>Maltz, Wendy.</t>
        </is>
      </c>
      <c r="L1339" t="inlineStr">
        <is>
          <t>New York : Quill, 2001.</t>
        </is>
      </c>
      <c r="M1339" t="inlineStr">
        <is>
          <t>2001</t>
        </is>
      </c>
      <c r="N1339" t="inlineStr">
        <is>
          <t>Rev. ed.</t>
        </is>
      </c>
      <c r="O1339" t="inlineStr">
        <is>
          <t>eng</t>
        </is>
      </c>
      <c r="P1339" t="inlineStr">
        <is>
          <t>nyu</t>
        </is>
      </c>
      <c r="R1339" t="inlineStr">
        <is>
          <t xml:space="preserve">RC </t>
        </is>
      </c>
      <c r="S1339" t="n">
        <v>2</v>
      </c>
      <c r="T1339" t="n">
        <v>2</v>
      </c>
      <c r="U1339" t="inlineStr">
        <is>
          <t>2008-02-17</t>
        </is>
      </c>
      <c r="V1339" t="inlineStr">
        <is>
          <t>2008-02-17</t>
        </is>
      </c>
      <c r="W1339" t="inlineStr">
        <is>
          <t>2007-03-13</t>
        </is>
      </c>
      <c r="X1339" t="inlineStr">
        <is>
          <t>2007-03-13</t>
        </is>
      </c>
      <c r="Y1339" t="n">
        <v>269</v>
      </c>
      <c r="Z1339" t="n">
        <v>240</v>
      </c>
      <c r="AA1339" t="n">
        <v>995</v>
      </c>
      <c r="AB1339" t="n">
        <v>3</v>
      </c>
      <c r="AC1339" t="n">
        <v>13</v>
      </c>
      <c r="AD1339" t="n">
        <v>6</v>
      </c>
      <c r="AE1339" t="n">
        <v>17</v>
      </c>
      <c r="AF1339" t="n">
        <v>2</v>
      </c>
      <c r="AG1339" t="n">
        <v>4</v>
      </c>
      <c r="AH1339" t="n">
        <v>0</v>
      </c>
      <c r="AI1339" t="n">
        <v>1</v>
      </c>
      <c r="AJ1339" t="n">
        <v>3</v>
      </c>
      <c r="AK1339" t="n">
        <v>7</v>
      </c>
      <c r="AL1339" t="n">
        <v>2</v>
      </c>
      <c r="AM1339" t="n">
        <v>7</v>
      </c>
      <c r="AN1339" t="n">
        <v>0</v>
      </c>
      <c r="AO1339" t="n">
        <v>0</v>
      </c>
      <c r="AP1339" t="inlineStr">
        <is>
          <t>No</t>
        </is>
      </c>
      <c r="AQ1339" t="inlineStr">
        <is>
          <t>No</t>
        </is>
      </c>
      <c r="AS1339">
        <f>HYPERLINK("https://creighton-primo.hosted.exlibrisgroup.com/primo-explore/search?tab=default_tab&amp;search_scope=EVERYTHING&amp;vid=01CRU&amp;lang=en_US&amp;offset=0&amp;query=any,contains,991005049599702656","Catalog Record")</f>
        <v/>
      </c>
      <c r="AT1339">
        <f>HYPERLINK("http://www.worldcat.org/oclc/46402842","WorldCat Record")</f>
        <v/>
      </c>
      <c r="AU1339" t="inlineStr">
        <is>
          <t>24155541:eng</t>
        </is>
      </c>
      <c r="AV1339" t="inlineStr">
        <is>
          <t>46402842</t>
        </is>
      </c>
      <c r="AW1339" t="inlineStr">
        <is>
          <t>991005049599702656</t>
        </is>
      </c>
      <c r="AX1339" t="inlineStr">
        <is>
          <t>991005049599702656</t>
        </is>
      </c>
      <c r="AY1339" t="inlineStr">
        <is>
          <t>2263620240002656</t>
        </is>
      </c>
      <c r="AZ1339" t="inlineStr">
        <is>
          <t>BOOK</t>
        </is>
      </c>
      <c r="BB1339" t="inlineStr">
        <is>
          <t>9780060959647</t>
        </is>
      </c>
      <c r="BC1339" t="inlineStr">
        <is>
          <t>32285005281273</t>
        </is>
      </c>
      <c r="BD1339" t="inlineStr">
        <is>
          <t>893344566</t>
        </is>
      </c>
    </row>
    <row r="1340">
      <c r="A1340" t="inlineStr">
        <is>
          <t>No</t>
        </is>
      </c>
      <c r="B1340" t="inlineStr">
        <is>
          <t>RC569.5.A28 P67 1996</t>
        </is>
      </c>
      <c r="C1340" t="inlineStr">
        <is>
          <t>0                      RC 0569500A  28                 P  67          1996</t>
        </is>
      </c>
      <c r="D1340" t="inlineStr">
        <is>
          <t>Recovered memories of abuse : assessment, therapy, forensics / Kenneth S. Pope and Laura S. Brown.</t>
        </is>
      </c>
      <c r="F1340" t="inlineStr">
        <is>
          <t>No</t>
        </is>
      </c>
      <c r="G1340" t="inlineStr">
        <is>
          <t>1</t>
        </is>
      </c>
      <c r="H1340" t="inlineStr">
        <is>
          <t>No</t>
        </is>
      </c>
      <c r="I1340" t="inlineStr">
        <is>
          <t>No</t>
        </is>
      </c>
      <c r="J1340" t="inlineStr">
        <is>
          <t>0</t>
        </is>
      </c>
      <c r="K1340" t="inlineStr">
        <is>
          <t>Pope, Kenneth S.</t>
        </is>
      </c>
      <c r="L1340" t="inlineStr">
        <is>
          <t>Washington, D.C. : American Psychological Ass., c1996.</t>
        </is>
      </c>
      <c r="M1340" t="inlineStr">
        <is>
          <t>1996</t>
        </is>
      </c>
      <c r="N1340" t="inlineStr">
        <is>
          <t>1st ed.</t>
        </is>
      </c>
      <c r="O1340" t="inlineStr">
        <is>
          <t>eng</t>
        </is>
      </c>
      <c r="P1340" t="inlineStr">
        <is>
          <t>dcu</t>
        </is>
      </c>
      <c r="R1340" t="inlineStr">
        <is>
          <t xml:space="preserve">RC </t>
        </is>
      </c>
      <c r="S1340" t="n">
        <v>4</v>
      </c>
      <c r="T1340" t="n">
        <v>4</v>
      </c>
      <c r="U1340" t="inlineStr">
        <is>
          <t>2006-09-12</t>
        </is>
      </c>
      <c r="V1340" t="inlineStr">
        <is>
          <t>2006-09-12</t>
        </is>
      </c>
      <c r="W1340" t="inlineStr">
        <is>
          <t>2004-05-11</t>
        </is>
      </c>
      <c r="X1340" t="inlineStr">
        <is>
          <t>2004-05-11</t>
        </is>
      </c>
      <c r="Y1340" t="n">
        <v>779</v>
      </c>
      <c r="Z1340" t="n">
        <v>684</v>
      </c>
      <c r="AA1340" t="n">
        <v>742</v>
      </c>
      <c r="AB1340" t="n">
        <v>4</v>
      </c>
      <c r="AC1340" t="n">
        <v>5</v>
      </c>
      <c r="AD1340" t="n">
        <v>38</v>
      </c>
      <c r="AE1340" t="n">
        <v>41</v>
      </c>
      <c r="AF1340" t="n">
        <v>15</v>
      </c>
      <c r="AG1340" t="n">
        <v>17</v>
      </c>
      <c r="AH1340" t="n">
        <v>6</v>
      </c>
      <c r="AI1340" t="n">
        <v>6</v>
      </c>
      <c r="AJ1340" t="n">
        <v>18</v>
      </c>
      <c r="AK1340" t="n">
        <v>18</v>
      </c>
      <c r="AL1340" t="n">
        <v>3</v>
      </c>
      <c r="AM1340" t="n">
        <v>4</v>
      </c>
      <c r="AN1340" t="n">
        <v>5</v>
      </c>
      <c r="AO1340" t="n">
        <v>5</v>
      </c>
      <c r="AP1340" t="inlineStr">
        <is>
          <t>No</t>
        </is>
      </c>
      <c r="AQ1340" t="inlineStr">
        <is>
          <t>No</t>
        </is>
      </c>
      <c r="AS1340">
        <f>HYPERLINK("https://creighton-primo.hosted.exlibrisgroup.com/primo-explore/search?tab=default_tab&amp;search_scope=EVERYTHING&amp;vid=01CRU&amp;lang=en_US&amp;offset=0&amp;query=any,contains,991004265339702656","Catalog Record")</f>
        <v/>
      </c>
      <c r="AT1340">
        <f>HYPERLINK("http://www.worldcat.org/oclc/35121783","WorldCat Record")</f>
        <v/>
      </c>
      <c r="AU1340" t="inlineStr">
        <is>
          <t>890954432:eng</t>
        </is>
      </c>
      <c r="AV1340" t="inlineStr">
        <is>
          <t>35121783</t>
        </is>
      </c>
      <c r="AW1340" t="inlineStr">
        <is>
          <t>991004265339702656</t>
        </is>
      </c>
      <c r="AX1340" t="inlineStr">
        <is>
          <t>991004265339702656</t>
        </is>
      </c>
      <c r="AY1340" t="inlineStr">
        <is>
          <t>2258610170002656</t>
        </is>
      </c>
      <c r="AZ1340" t="inlineStr">
        <is>
          <t>BOOK</t>
        </is>
      </c>
      <c r="BB1340" t="inlineStr">
        <is>
          <t>9781557983954</t>
        </is>
      </c>
      <c r="BC1340" t="inlineStr">
        <is>
          <t>32285004905013</t>
        </is>
      </c>
      <c r="BD1340" t="inlineStr">
        <is>
          <t>893788496</t>
        </is>
      </c>
    </row>
    <row r="1341">
      <c r="A1341" t="inlineStr">
        <is>
          <t>No</t>
        </is>
      </c>
      <c r="B1341" t="inlineStr">
        <is>
          <t>RC569.5.A28 W35 1994</t>
        </is>
      </c>
      <c r="C1341" t="inlineStr">
        <is>
          <t>0                      RC 0569500A  28                 W  35          1994</t>
        </is>
      </c>
      <c r="D1341" t="inlineStr">
        <is>
          <t>Return of the furies : an investigation into recovered memory therapy / Hollida Wakefield and Ralph Underwager.</t>
        </is>
      </c>
      <c r="F1341" t="inlineStr">
        <is>
          <t>No</t>
        </is>
      </c>
      <c r="G1341" t="inlineStr">
        <is>
          <t>1</t>
        </is>
      </c>
      <c r="H1341" t="inlineStr">
        <is>
          <t>No</t>
        </is>
      </c>
      <c r="I1341" t="inlineStr">
        <is>
          <t>No</t>
        </is>
      </c>
      <c r="J1341" t="inlineStr">
        <is>
          <t>0</t>
        </is>
      </c>
      <c r="K1341" t="inlineStr">
        <is>
          <t>Wakefield, Hollida.</t>
        </is>
      </c>
      <c r="L1341" t="inlineStr">
        <is>
          <t>Chicago : Open Court, c1994.</t>
        </is>
      </c>
      <c r="M1341" t="inlineStr">
        <is>
          <t>1994</t>
        </is>
      </c>
      <c r="O1341" t="inlineStr">
        <is>
          <t>eng</t>
        </is>
      </c>
      <c r="P1341" t="inlineStr">
        <is>
          <t>ilu</t>
        </is>
      </c>
      <c r="R1341" t="inlineStr">
        <is>
          <t xml:space="preserve">RC </t>
        </is>
      </c>
      <c r="S1341" t="n">
        <v>6</v>
      </c>
      <c r="T1341" t="n">
        <v>6</v>
      </c>
      <c r="U1341" t="inlineStr">
        <is>
          <t>1998-09-19</t>
        </is>
      </c>
      <c r="V1341" t="inlineStr">
        <is>
          <t>1998-09-19</t>
        </is>
      </c>
      <c r="W1341" t="inlineStr">
        <is>
          <t>1995-12-27</t>
        </is>
      </c>
      <c r="X1341" t="inlineStr">
        <is>
          <t>1995-12-27</t>
        </is>
      </c>
      <c r="Y1341" t="n">
        <v>579</v>
      </c>
      <c r="Z1341" t="n">
        <v>511</v>
      </c>
      <c r="AA1341" t="n">
        <v>518</v>
      </c>
      <c r="AB1341" t="n">
        <v>6</v>
      </c>
      <c r="AC1341" t="n">
        <v>6</v>
      </c>
      <c r="AD1341" t="n">
        <v>32</v>
      </c>
      <c r="AE1341" t="n">
        <v>32</v>
      </c>
      <c r="AF1341" t="n">
        <v>12</v>
      </c>
      <c r="AG1341" t="n">
        <v>12</v>
      </c>
      <c r="AH1341" t="n">
        <v>4</v>
      </c>
      <c r="AI1341" t="n">
        <v>4</v>
      </c>
      <c r="AJ1341" t="n">
        <v>16</v>
      </c>
      <c r="AK1341" t="n">
        <v>16</v>
      </c>
      <c r="AL1341" t="n">
        <v>4</v>
      </c>
      <c r="AM1341" t="n">
        <v>4</v>
      </c>
      <c r="AN1341" t="n">
        <v>5</v>
      </c>
      <c r="AO1341" t="n">
        <v>5</v>
      </c>
      <c r="AP1341" t="inlineStr">
        <is>
          <t>No</t>
        </is>
      </c>
      <c r="AQ1341" t="inlineStr">
        <is>
          <t>Yes</t>
        </is>
      </c>
      <c r="AR1341">
        <f>HYPERLINK("http://catalog.hathitrust.org/Record/002896692","HathiTrust Record")</f>
        <v/>
      </c>
      <c r="AS1341">
        <f>HYPERLINK("https://creighton-primo.hosted.exlibrisgroup.com/primo-explore/search?tab=default_tab&amp;search_scope=EVERYTHING&amp;vid=01CRU&amp;lang=en_US&amp;offset=0&amp;query=any,contains,991002376469702656","Catalog Record")</f>
        <v/>
      </c>
      <c r="AT1341">
        <f>HYPERLINK("http://www.worldcat.org/oclc/30894975","WorldCat Record")</f>
        <v/>
      </c>
      <c r="AU1341" t="inlineStr">
        <is>
          <t>232264701:eng</t>
        </is>
      </c>
      <c r="AV1341" t="inlineStr">
        <is>
          <t>30894975</t>
        </is>
      </c>
      <c r="AW1341" t="inlineStr">
        <is>
          <t>991002376469702656</t>
        </is>
      </c>
      <c r="AX1341" t="inlineStr">
        <is>
          <t>991002376469702656</t>
        </is>
      </c>
      <c r="AY1341" t="inlineStr">
        <is>
          <t>2271134450002656</t>
        </is>
      </c>
      <c r="AZ1341" t="inlineStr">
        <is>
          <t>BOOK</t>
        </is>
      </c>
      <c r="BB1341" t="inlineStr">
        <is>
          <t>9780812692716</t>
        </is>
      </c>
      <c r="BC1341" t="inlineStr">
        <is>
          <t>32285002113495</t>
        </is>
      </c>
      <c r="BD1341" t="inlineStr">
        <is>
          <t>893685296</t>
        </is>
      </c>
    </row>
    <row r="1342">
      <c r="A1342" t="inlineStr">
        <is>
          <t>No</t>
        </is>
      </c>
      <c r="B1342" t="inlineStr">
        <is>
          <t>RC569.5.A3 B43 1992</t>
        </is>
      </c>
      <c r="C1342" t="inlineStr">
        <is>
          <t>0                      RC 0569500A  3                  B  43          1992</t>
        </is>
      </c>
      <c r="D1342" t="inlineStr">
        <is>
          <t>Adult children of divorce : breaking the cycle and finding fulfillment in love, marriage, and family / Edward W. Beal and Gloria Hochman.</t>
        </is>
      </c>
      <c r="F1342" t="inlineStr">
        <is>
          <t>No</t>
        </is>
      </c>
      <c r="G1342" t="inlineStr">
        <is>
          <t>1</t>
        </is>
      </c>
      <c r="H1342" t="inlineStr">
        <is>
          <t>No</t>
        </is>
      </c>
      <c r="I1342" t="inlineStr">
        <is>
          <t>No</t>
        </is>
      </c>
      <c r="J1342" t="inlineStr">
        <is>
          <t>0</t>
        </is>
      </c>
      <c r="K1342" t="inlineStr">
        <is>
          <t>Beal, Edward W.</t>
        </is>
      </c>
      <c r="L1342" t="inlineStr">
        <is>
          <t>New York, N.Y. : Dell Publishing, 1992, c1991.</t>
        </is>
      </c>
      <c r="M1342" t="inlineStr">
        <is>
          <t>1991</t>
        </is>
      </c>
      <c r="O1342" t="inlineStr">
        <is>
          <t>eng</t>
        </is>
      </c>
      <c r="P1342" t="inlineStr">
        <is>
          <t>nyu</t>
        </is>
      </c>
      <c r="R1342" t="inlineStr">
        <is>
          <t xml:space="preserve">RC </t>
        </is>
      </c>
      <c r="S1342" t="n">
        <v>22</v>
      </c>
      <c r="T1342" t="n">
        <v>22</v>
      </c>
      <c r="U1342" t="inlineStr">
        <is>
          <t>2000-11-09</t>
        </is>
      </c>
      <c r="V1342" t="inlineStr">
        <is>
          <t>2000-11-09</t>
        </is>
      </c>
      <c r="W1342" t="inlineStr">
        <is>
          <t>1992-06-01</t>
        </is>
      </c>
      <c r="X1342" t="inlineStr">
        <is>
          <t>1992-06-01</t>
        </is>
      </c>
      <c r="Y1342" t="n">
        <v>59</v>
      </c>
      <c r="Z1342" t="n">
        <v>55</v>
      </c>
      <c r="AA1342" t="n">
        <v>672</v>
      </c>
      <c r="AB1342" t="n">
        <v>1</v>
      </c>
      <c r="AC1342" t="n">
        <v>4</v>
      </c>
      <c r="AD1342" t="n">
        <v>4</v>
      </c>
      <c r="AE1342" t="n">
        <v>16</v>
      </c>
      <c r="AF1342" t="n">
        <v>2</v>
      </c>
      <c r="AG1342" t="n">
        <v>8</v>
      </c>
      <c r="AH1342" t="n">
        <v>1</v>
      </c>
      <c r="AI1342" t="n">
        <v>3</v>
      </c>
      <c r="AJ1342" t="n">
        <v>1</v>
      </c>
      <c r="AK1342" t="n">
        <v>9</v>
      </c>
      <c r="AL1342" t="n">
        <v>0</v>
      </c>
      <c r="AM1342" t="n">
        <v>1</v>
      </c>
      <c r="AN1342" t="n">
        <v>0</v>
      </c>
      <c r="AO1342" t="n">
        <v>0</v>
      </c>
      <c r="AP1342" t="inlineStr">
        <is>
          <t>No</t>
        </is>
      </c>
      <c r="AQ1342" t="inlineStr">
        <is>
          <t>Yes</t>
        </is>
      </c>
      <c r="AR1342">
        <f>HYPERLINK("http://catalog.hathitrust.org/Record/007050417","HathiTrust Record")</f>
        <v/>
      </c>
      <c r="AS1342">
        <f>HYPERLINK("https://creighton-primo.hosted.exlibrisgroup.com/primo-explore/search?tab=default_tab&amp;search_scope=EVERYTHING&amp;vid=01CRU&amp;lang=en_US&amp;offset=0&amp;query=any,contains,991001994599702656","Catalog Record")</f>
        <v/>
      </c>
      <c r="AT1342">
        <f>HYPERLINK("http://www.worldcat.org/oclc/25333177","WorldCat Record")</f>
        <v/>
      </c>
      <c r="AU1342" t="inlineStr">
        <is>
          <t>9645134:eng</t>
        </is>
      </c>
      <c r="AV1342" t="inlineStr">
        <is>
          <t>25333177</t>
        </is>
      </c>
      <c r="AW1342" t="inlineStr">
        <is>
          <t>991001994599702656</t>
        </is>
      </c>
      <c r="AX1342" t="inlineStr">
        <is>
          <t>991001994599702656</t>
        </is>
      </c>
      <c r="AY1342" t="inlineStr">
        <is>
          <t>2255724300002656</t>
        </is>
      </c>
      <c r="AZ1342" t="inlineStr">
        <is>
          <t>BOOK</t>
        </is>
      </c>
      <c r="BB1342" t="inlineStr">
        <is>
          <t>9780385305938</t>
        </is>
      </c>
      <c r="BC1342" t="inlineStr">
        <is>
          <t>32285001119998</t>
        </is>
      </c>
      <c r="BD1342" t="inlineStr">
        <is>
          <t>893340914</t>
        </is>
      </c>
    </row>
    <row r="1343">
      <c r="A1343" t="inlineStr">
        <is>
          <t>No</t>
        </is>
      </c>
      <c r="B1343" t="inlineStr">
        <is>
          <t>RC569.5.A3 B47 1991</t>
        </is>
      </c>
      <c r="C1343" t="inlineStr">
        <is>
          <t>0                      RC 0569500A  3                  B  47          1991</t>
        </is>
      </c>
      <c r="D1343" t="inlineStr">
        <is>
          <t>Adult children of divorce speak out about growing up with--and moving beyond--parental divorce / Claire Berman.</t>
        </is>
      </c>
      <c r="F1343" t="inlineStr">
        <is>
          <t>No</t>
        </is>
      </c>
      <c r="G1343" t="inlineStr">
        <is>
          <t>1</t>
        </is>
      </c>
      <c r="H1343" t="inlineStr">
        <is>
          <t>No</t>
        </is>
      </c>
      <c r="I1343" t="inlineStr">
        <is>
          <t>No</t>
        </is>
      </c>
      <c r="J1343" t="inlineStr">
        <is>
          <t>0</t>
        </is>
      </c>
      <c r="K1343" t="inlineStr">
        <is>
          <t>Berman, Claire.</t>
        </is>
      </c>
      <c r="L1343" t="inlineStr">
        <is>
          <t>New York : Simon &amp; Schuster, c1991.</t>
        </is>
      </c>
      <c r="M1343" t="inlineStr">
        <is>
          <t>1991</t>
        </is>
      </c>
      <c r="O1343" t="inlineStr">
        <is>
          <t>eng</t>
        </is>
      </c>
      <c r="P1343" t="inlineStr">
        <is>
          <t>nyu</t>
        </is>
      </c>
      <c r="R1343" t="inlineStr">
        <is>
          <t xml:space="preserve">RC </t>
        </is>
      </c>
      <c r="S1343" t="n">
        <v>20</v>
      </c>
      <c r="T1343" t="n">
        <v>20</v>
      </c>
      <c r="U1343" t="inlineStr">
        <is>
          <t>2000-11-09</t>
        </is>
      </c>
      <c r="V1343" t="inlineStr">
        <is>
          <t>2000-11-09</t>
        </is>
      </c>
      <c r="W1343" t="inlineStr">
        <is>
          <t>1991-08-06</t>
        </is>
      </c>
      <c r="X1343" t="inlineStr">
        <is>
          <t>1991-08-06</t>
        </is>
      </c>
      <c r="Y1343" t="n">
        <v>320</v>
      </c>
      <c r="Z1343" t="n">
        <v>300</v>
      </c>
      <c r="AA1343" t="n">
        <v>305</v>
      </c>
      <c r="AB1343" t="n">
        <v>2</v>
      </c>
      <c r="AC1343" t="n">
        <v>2</v>
      </c>
      <c r="AD1343" t="n">
        <v>8</v>
      </c>
      <c r="AE1343" t="n">
        <v>8</v>
      </c>
      <c r="AF1343" t="n">
        <v>4</v>
      </c>
      <c r="AG1343" t="n">
        <v>4</v>
      </c>
      <c r="AH1343" t="n">
        <v>1</v>
      </c>
      <c r="AI1343" t="n">
        <v>1</v>
      </c>
      <c r="AJ1343" t="n">
        <v>5</v>
      </c>
      <c r="AK1343" t="n">
        <v>5</v>
      </c>
      <c r="AL1343" t="n">
        <v>0</v>
      </c>
      <c r="AM1343" t="n">
        <v>0</v>
      </c>
      <c r="AN1343" t="n">
        <v>0</v>
      </c>
      <c r="AO1343" t="n">
        <v>0</v>
      </c>
      <c r="AP1343" t="inlineStr">
        <is>
          <t>No</t>
        </is>
      </c>
      <c r="AQ1343" t="inlineStr">
        <is>
          <t>No</t>
        </is>
      </c>
      <c r="AS1343">
        <f>HYPERLINK("https://creighton-primo.hosted.exlibrisgroup.com/primo-explore/search?tab=default_tab&amp;search_scope=EVERYTHING&amp;vid=01CRU&amp;lang=en_US&amp;offset=0&amp;query=any,contains,991001768549702656","Catalog Record")</f>
        <v/>
      </c>
      <c r="AT1343">
        <f>HYPERLINK("http://www.worldcat.org/oclc/22345298","WorldCat Record")</f>
        <v/>
      </c>
      <c r="AU1343" t="inlineStr">
        <is>
          <t>5610224852:eng</t>
        </is>
      </c>
      <c r="AV1343" t="inlineStr">
        <is>
          <t>22345298</t>
        </is>
      </c>
      <c r="AW1343" t="inlineStr">
        <is>
          <t>991001768549702656</t>
        </is>
      </c>
      <c r="AX1343" t="inlineStr">
        <is>
          <t>991001768549702656</t>
        </is>
      </c>
      <c r="AY1343" t="inlineStr">
        <is>
          <t>2257814860002656</t>
        </is>
      </c>
      <c r="AZ1343" t="inlineStr">
        <is>
          <t>BOOK</t>
        </is>
      </c>
      <c r="BB1343" t="inlineStr">
        <is>
          <t>9780671731496</t>
        </is>
      </c>
      <c r="BC1343" t="inlineStr">
        <is>
          <t>32285000664861</t>
        </is>
      </c>
      <c r="BD1343" t="inlineStr">
        <is>
          <t>893898043</t>
        </is>
      </c>
    </row>
    <row r="1344">
      <c r="A1344" t="inlineStr">
        <is>
          <t>No</t>
        </is>
      </c>
      <c r="B1344" t="inlineStr">
        <is>
          <t>RC569.5.A3 H37 1991</t>
        </is>
      </c>
      <c r="C1344" t="inlineStr">
        <is>
          <t>0                      RC 0569500A  3                  H  37          1991</t>
        </is>
      </c>
      <c r="D1344" t="inlineStr">
        <is>
          <t>Healing adult children of divorce : taking care of unfinished business so you can be whole again / Archibald D. Hart.</t>
        </is>
      </c>
      <c r="F1344" t="inlineStr">
        <is>
          <t>No</t>
        </is>
      </c>
      <c r="G1344" t="inlineStr">
        <is>
          <t>1</t>
        </is>
      </c>
      <c r="H1344" t="inlineStr">
        <is>
          <t>No</t>
        </is>
      </c>
      <c r="I1344" t="inlineStr">
        <is>
          <t>No</t>
        </is>
      </c>
      <c r="J1344" t="inlineStr">
        <is>
          <t>0</t>
        </is>
      </c>
      <c r="K1344" t="inlineStr">
        <is>
          <t>Hart, Archibald D.</t>
        </is>
      </c>
      <c r="L1344" t="inlineStr">
        <is>
          <t>Ann Arbor, Mich. : Vine Books/Servant Publications, c1991.</t>
        </is>
      </c>
      <c r="M1344" t="inlineStr">
        <is>
          <t>1991</t>
        </is>
      </c>
      <c r="O1344" t="inlineStr">
        <is>
          <t>eng</t>
        </is>
      </c>
      <c r="P1344" t="inlineStr">
        <is>
          <t>miu</t>
        </is>
      </c>
      <c r="R1344" t="inlineStr">
        <is>
          <t xml:space="preserve">RC </t>
        </is>
      </c>
      <c r="S1344" t="n">
        <v>10</v>
      </c>
      <c r="T1344" t="n">
        <v>10</v>
      </c>
      <c r="U1344" t="inlineStr">
        <is>
          <t>2000-11-09</t>
        </is>
      </c>
      <c r="V1344" t="inlineStr">
        <is>
          <t>2000-11-09</t>
        </is>
      </c>
      <c r="W1344" t="inlineStr">
        <is>
          <t>1991-12-19</t>
        </is>
      </c>
      <c r="X1344" t="inlineStr">
        <is>
          <t>1991-12-19</t>
        </is>
      </c>
      <c r="Y1344" t="n">
        <v>89</v>
      </c>
      <c r="Z1344" t="n">
        <v>84</v>
      </c>
      <c r="AA1344" t="n">
        <v>89</v>
      </c>
      <c r="AB1344" t="n">
        <v>2</v>
      </c>
      <c r="AC1344" t="n">
        <v>2</v>
      </c>
      <c r="AD1344" t="n">
        <v>0</v>
      </c>
      <c r="AE1344" t="n">
        <v>0</v>
      </c>
      <c r="AF1344" t="n">
        <v>0</v>
      </c>
      <c r="AG1344" t="n">
        <v>0</v>
      </c>
      <c r="AH1344" t="n">
        <v>0</v>
      </c>
      <c r="AI1344" t="n">
        <v>0</v>
      </c>
      <c r="AJ1344" t="n">
        <v>0</v>
      </c>
      <c r="AK1344" t="n">
        <v>0</v>
      </c>
      <c r="AL1344" t="n">
        <v>0</v>
      </c>
      <c r="AM1344" t="n">
        <v>0</v>
      </c>
      <c r="AN1344" t="n">
        <v>0</v>
      </c>
      <c r="AO1344" t="n">
        <v>0</v>
      </c>
      <c r="AP1344" t="inlineStr">
        <is>
          <t>No</t>
        </is>
      </c>
      <c r="AQ1344" t="inlineStr">
        <is>
          <t>No</t>
        </is>
      </c>
      <c r="AS1344">
        <f>HYPERLINK("https://creighton-primo.hosted.exlibrisgroup.com/primo-explore/search?tab=default_tab&amp;search_scope=EVERYTHING&amp;vid=01CRU&amp;lang=en_US&amp;offset=0&amp;query=any,contains,991001893129702656","Catalog Record")</f>
        <v/>
      </c>
      <c r="AT1344">
        <f>HYPERLINK("http://www.worldcat.org/oclc/23901872","WorldCat Record")</f>
        <v/>
      </c>
      <c r="AU1344" t="inlineStr">
        <is>
          <t>5355000683:eng</t>
        </is>
      </c>
      <c r="AV1344" t="inlineStr">
        <is>
          <t>23901872</t>
        </is>
      </c>
      <c r="AW1344" t="inlineStr">
        <is>
          <t>991001893129702656</t>
        </is>
      </c>
      <c r="AX1344" t="inlineStr">
        <is>
          <t>991001893129702656</t>
        </is>
      </c>
      <c r="AY1344" t="inlineStr">
        <is>
          <t>2262270860002656</t>
        </is>
      </c>
      <c r="AZ1344" t="inlineStr">
        <is>
          <t>BOOK</t>
        </is>
      </c>
      <c r="BB1344" t="inlineStr">
        <is>
          <t>9780892837274</t>
        </is>
      </c>
      <c r="BC1344" t="inlineStr">
        <is>
          <t>32285000861715</t>
        </is>
      </c>
      <c r="BD1344" t="inlineStr">
        <is>
          <t>893898142</t>
        </is>
      </c>
    </row>
    <row r="1345">
      <c r="A1345" t="inlineStr">
        <is>
          <t>No</t>
        </is>
      </c>
      <c r="B1345" t="inlineStr">
        <is>
          <t>RC569.5.A34 G65 1987</t>
        </is>
      </c>
      <c r="C1345" t="inlineStr">
        <is>
          <t>0                      RC 0569500A  34                 G  65          1987</t>
        </is>
      </c>
      <c r="D1345" t="inlineStr">
        <is>
          <t>Aggressive behavior : assessment and intervention / Arnold P. Goldstein, Harold R. Keller.</t>
        </is>
      </c>
      <c r="F1345" t="inlineStr">
        <is>
          <t>No</t>
        </is>
      </c>
      <c r="G1345" t="inlineStr">
        <is>
          <t>1</t>
        </is>
      </c>
      <c r="H1345" t="inlineStr">
        <is>
          <t>No</t>
        </is>
      </c>
      <c r="I1345" t="inlineStr">
        <is>
          <t>No</t>
        </is>
      </c>
      <c r="J1345" t="inlineStr">
        <is>
          <t>0</t>
        </is>
      </c>
      <c r="K1345" t="inlineStr">
        <is>
          <t>Goldstein, Arnold P.</t>
        </is>
      </c>
      <c r="L1345" t="inlineStr">
        <is>
          <t>New York : Pergamon Press, 1987.</t>
        </is>
      </c>
      <c r="M1345" t="inlineStr">
        <is>
          <t>1987</t>
        </is>
      </c>
      <c r="N1345" t="inlineStr">
        <is>
          <t>1st ed.</t>
        </is>
      </c>
      <c r="O1345" t="inlineStr">
        <is>
          <t>eng</t>
        </is>
      </c>
      <c r="P1345" t="inlineStr">
        <is>
          <t>nyu</t>
        </is>
      </c>
      <c r="Q1345" t="inlineStr">
        <is>
          <t>Psychology practitioner guidebooks</t>
        </is>
      </c>
      <c r="R1345" t="inlineStr">
        <is>
          <t xml:space="preserve">RC </t>
        </is>
      </c>
      <c r="S1345" t="n">
        <v>7</v>
      </c>
      <c r="T1345" t="n">
        <v>7</v>
      </c>
      <c r="U1345" t="inlineStr">
        <is>
          <t>1995-10-22</t>
        </is>
      </c>
      <c r="V1345" t="inlineStr">
        <is>
          <t>1995-10-22</t>
        </is>
      </c>
      <c r="W1345" t="inlineStr">
        <is>
          <t>1991-11-12</t>
        </is>
      </c>
      <c r="X1345" t="inlineStr">
        <is>
          <t>1991-11-12</t>
        </is>
      </c>
      <c r="Y1345" t="n">
        <v>395</v>
      </c>
      <c r="Z1345" t="n">
        <v>286</v>
      </c>
      <c r="AA1345" t="n">
        <v>293</v>
      </c>
      <c r="AB1345" t="n">
        <v>5</v>
      </c>
      <c r="AC1345" t="n">
        <v>5</v>
      </c>
      <c r="AD1345" t="n">
        <v>15</v>
      </c>
      <c r="AE1345" t="n">
        <v>15</v>
      </c>
      <c r="AF1345" t="n">
        <v>5</v>
      </c>
      <c r="AG1345" t="n">
        <v>5</v>
      </c>
      <c r="AH1345" t="n">
        <v>2</v>
      </c>
      <c r="AI1345" t="n">
        <v>2</v>
      </c>
      <c r="AJ1345" t="n">
        <v>7</v>
      </c>
      <c r="AK1345" t="n">
        <v>7</v>
      </c>
      <c r="AL1345" t="n">
        <v>4</v>
      </c>
      <c r="AM1345" t="n">
        <v>4</v>
      </c>
      <c r="AN1345" t="n">
        <v>0</v>
      </c>
      <c r="AO1345" t="n">
        <v>0</v>
      </c>
      <c r="AP1345" t="inlineStr">
        <is>
          <t>No</t>
        </is>
      </c>
      <c r="AQ1345" t="inlineStr">
        <is>
          <t>Yes</t>
        </is>
      </c>
      <c r="AR1345">
        <f>HYPERLINK("http://catalog.hathitrust.org/Record/000883973","HathiTrust Record")</f>
        <v/>
      </c>
      <c r="AS1345">
        <f>HYPERLINK("https://creighton-primo.hosted.exlibrisgroup.com/primo-explore/search?tab=default_tab&amp;search_scope=EVERYTHING&amp;vid=01CRU&amp;lang=en_US&amp;offset=0&amp;query=any,contains,991001024379702656","Catalog Record")</f>
        <v/>
      </c>
      <c r="AT1345">
        <f>HYPERLINK("http://www.worldcat.org/oclc/15428469","WorldCat Record")</f>
        <v/>
      </c>
      <c r="AU1345" t="inlineStr">
        <is>
          <t>836714730:eng</t>
        </is>
      </c>
      <c r="AV1345" t="inlineStr">
        <is>
          <t>15428469</t>
        </is>
      </c>
      <c r="AW1345" t="inlineStr">
        <is>
          <t>991001024379702656</t>
        </is>
      </c>
      <c r="AX1345" t="inlineStr">
        <is>
          <t>991001024379702656</t>
        </is>
      </c>
      <c r="AY1345" t="inlineStr">
        <is>
          <t>2261883340002656</t>
        </is>
      </c>
      <c r="AZ1345" t="inlineStr">
        <is>
          <t>BOOK</t>
        </is>
      </c>
      <c r="BB1345" t="inlineStr">
        <is>
          <t>9780080343198</t>
        </is>
      </c>
      <c r="BC1345" t="inlineStr">
        <is>
          <t>32285000822436</t>
        </is>
      </c>
      <c r="BD1345" t="inlineStr">
        <is>
          <t>893720902</t>
        </is>
      </c>
    </row>
    <row r="1346">
      <c r="A1346" t="inlineStr">
        <is>
          <t>No</t>
        </is>
      </c>
      <c r="B1346" t="inlineStr">
        <is>
          <t>RC569.5.B67 B688 1992</t>
        </is>
      </c>
      <c r="C1346" t="inlineStr">
        <is>
          <t>0                      RC 0569500B  67                 B  688         1992</t>
        </is>
      </c>
      <c r="D1346" t="inlineStr">
        <is>
          <t>Borderline personality disorder : clinical and empirical perspectives / edited by John F. Clarkin, Elsa Marziali, Heather Munroe-Blum.</t>
        </is>
      </c>
      <c r="F1346" t="inlineStr">
        <is>
          <t>No</t>
        </is>
      </c>
      <c r="G1346" t="inlineStr">
        <is>
          <t>1</t>
        </is>
      </c>
      <c r="H1346" t="inlineStr">
        <is>
          <t>No</t>
        </is>
      </c>
      <c r="I1346" t="inlineStr">
        <is>
          <t>No</t>
        </is>
      </c>
      <c r="J1346" t="inlineStr">
        <is>
          <t>0</t>
        </is>
      </c>
      <c r="L1346" t="inlineStr">
        <is>
          <t>New York : Guilford Press, c1992.</t>
        </is>
      </c>
      <c r="M1346" t="inlineStr">
        <is>
          <t>1992</t>
        </is>
      </c>
      <c r="O1346" t="inlineStr">
        <is>
          <t>eng</t>
        </is>
      </c>
      <c r="P1346" t="inlineStr">
        <is>
          <t>nyu</t>
        </is>
      </c>
      <c r="Q1346" t="inlineStr">
        <is>
          <t>The Guilford personality disorders series</t>
        </is>
      </c>
      <c r="R1346" t="inlineStr">
        <is>
          <t xml:space="preserve">RC </t>
        </is>
      </c>
      <c r="S1346" t="n">
        <v>19</v>
      </c>
      <c r="T1346" t="n">
        <v>19</v>
      </c>
      <c r="U1346" t="inlineStr">
        <is>
          <t>2007-03-09</t>
        </is>
      </c>
      <c r="V1346" t="inlineStr">
        <is>
          <t>2007-03-09</t>
        </is>
      </c>
      <c r="W1346" t="inlineStr">
        <is>
          <t>1992-12-16</t>
        </is>
      </c>
      <c r="X1346" t="inlineStr">
        <is>
          <t>1992-12-16</t>
        </is>
      </c>
      <c r="Y1346" t="n">
        <v>351</v>
      </c>
      <c r="Z1346" t="n">
        <v>290</v>
      </c>
      <c r="AA1346" t="n">
        <v>295</v>
      </c>
      <c r="AB1346" t="n">
        <v>3</v>
      </c>
      <c r="AC1346" t="n">
        <v>3</v>
      </c>
      <c r="AD1346" t="n">
        <v>12</v>
      </c>
      <c r="AE1346" t="n">
        <v>12</v>
      </c>
      <c r="AF1346" t="n">
        <v>5</v>
      </c>
      <c r="AG1346" t="n">
        <v>5</v>
      </c>
      <c r="AH1346" t="n">
        <v>2</v>
      </c>
      <c r="AI1346" t="n">
        <v>2</v>
      </c>
      <c r="AJ1346" t="n">
        <v>7</v>
      </c>
      <c r="AK1346" t="n">
        <v>7</v>
      </c>
      <c r="AL1346" t="n">
        <v>2</v>
      </c>
      <c r="AM1346" t="n">
        <v>2</v>
      </c>
      <c r="AN1346" t="n">
        <v>0</v>
      </c>
      <c r="AO1346" t="n">
        <v>0</v>
      </c>
      <c r="AP1346" t="inlineStr">
        <is>
          <t>No</t>
        </is>
      </c>
      <c r="AQ1346" t="inlineStr">
        <is>
          <t>No</t>
        </is>
      </c>
      <c r="AS1346">
        <f>HYPERLINK("https://creighton-primo.hosted.exlibrisgroup.com/primo-explore/search?tab=default_tab&amp;search_scope=EVERYTHING&amp;vid=01CRU&amp;lang=en_US&amp;offset=0&amp;query=any,contains,991001920219702656","Catalog Record")</f>
        <v/>
      </c>
      <c r="AT1346">
        <f>HYPERLINK("http://www.worldcat.org/oclc/24246479","WorldCat Record")</f>
        <v/>
      </c>
      <c r="AU1346" t="inlineStr">
        <is>
          <t>906524185:eng</t>
        </is>
      </c>
      <c r="AV1346" t="inlineStr">
        <is>
          <t>24246479</t>
        </is>
      </c>
      <c r="AW1346" t="inlineStr">
        <is>
          <t>991001920219702656</t>
        </is>
      </c>
      <c r="AX1346" t="inlineStr">
        <is>
          <t>991001920219702656</t>
        </is>
      </c>
      <c r="AY1346" t="inlineStr">
        <is>
          <t>2264001870002656</t>
        </is>
      </c>
      <c r="AZ1346" t="inlineStr">
        <is>
          <t>BOOK</t>
        </is>
      </c>
      <c r="BB1346" t="inlineStr">
        <is>
          <t>9780898622621</t>
        </is>
      </c>
      <c r="BC1346" t="inlineStr">
        <is>
          <t>32285001403194</t>
        </is>
      </c>
      <c r="BD1346" t="inlineStr">
        <is>
          <t>893497540</t>
        </is>
      </c>
    </row>
    <row r="1347">
      <c r="A1347" t="inlineStr">
        <is>
          <t>No</t>
        </is>
      </c>
      <c r="B1347" t="inlineStr">
        <is>
          <t>RC569.5.B67 K76 1988</t>
        </is>
      </c>
      <c r="C1347" t="inlineStr">
        <is>
          <t>0                      RC 0569500B  67                 K  76          1988</t>
        </is>
      </c>
      <c r="D1347" t="inlineStr">
        <is>
          <t>The challenge of the borderline patient : competency in diagnosis and treatment / Jerome Kroll.</t>
        </is>
      </c>
      <c r="F1347" t="inlineStr">
        <is>
          <t>No</t>
        </is>
      </c>
      <c r="G1347" t="inlineStr">
        <is>
          <t>1</t>
        </is>
      </c>
      <c r="H1347" t="inlineStr">
        <is>
          <t>Yes</t>
        </is>
      </c>
      <c r="I1347" t="inlineStr">
        <is>
          <t>No</t>
        </is>
      </c>
      <c r="J1347" t="inlineStr">
        <is>
          <t>0</t>
        </is>
      </c>
      <c r="K1347" t="inlineStr">
        <is>
          <t>Kroll, Jerome.</t>
        </is>
      </c>
      <c r="L1347" t="inlineStr">
        <is>
          <t>New York : Norton, c1988.</t>
        </is>
      </c>
      <c r="M1347" t="inlineStr">
        <is>
          <t>1988</t>
        </is>
      </c>
      <c r="N1347" t="inlineStr">
        <is>
          <t>1st ed.</t>
        </is>
      </c>
      <c r="O1347" t="inlineStr">
        <is>
          <t>eng</t>
        </is>
      </c>
      <c r="P1347" t="inlineStr">
        <is>
          <t>nyu</t>
        </is>
      </c>
      <c r="R1347" t="inlineStr">
        <is>
          <t xml:space="preserve">RC </t>
        </is>
      </c>
      <c r="S1347" t="n">
        <v>10</v>
      </c>
      <c r="T1347" t="n">
        <v>10</v>
      </c>
      <c r="U1347" t="inlineStr">
        <is>
          <t>2005-09-21</t>
        </is>
      </c>
      <c r="V1347" t="inlineStr">
        <is>
          <t>2005-09-21</t>
        </is>
      </c>
      <c r="W1347" t="inlineStr">
        <is>
          <t>1990-05-29</t>
        </is>
      </c>
      <c r="X1347" t="inlineStr">
        <is>
          <t>1990-05-29</t>
        </is>
      </c>
      <c r="Y1347" t="n">
        <v>352</v>
      </c>
      <c r="Z1347" t="n">
        <v>308</v>
      </c>
      <c r="AA1347" t="n">
        <v>318</v>
      </c>
      <c r="AB1347" t="n">
        <v>4</v>
      </c>
      <c r="AC1347" t="n">
        <v>4</v>
      </c>
      <c r="AD1347" t="n">
        <v>8</v>
      </c>
      <c r="AE1347" t="n">
        <v>8</v>
      </c>
      <c r="AF1347" t="n">
        <v>4</v>
      </c>
      <c r="AG1347" t="n">
        <v>4</v>
      </c>
      <c r="AH1347" t="n">
        <v>0</v>
      </c>
      <c r="AI1347" t="n">
        <v>0</v>
      </c>
      <c r="AJ1347" t="n">
        <v>4</v>
      </c>
      <c r="AK1347" t="n">
        <v>4</v>
      </c>
      <c r="AL1347" t="n">
        <v>2</v>
      </c>
      <c r="AM1347" t="n">
        <v>2</v>
      </c>
      <c r="AN1347" t="n">
        <v>0</v>
      </c>
      <c r="AO1347" t="n">
        <v>0</v>
      </c>
      <c r="AP1347" t="inlineStr">
        <is>
          <t>No</t>
        </is>
      </c>
      <c r="AQ1347" t="inlineStr">
        <is>
          <t>No</t>
        </is>
      </c>
      <c r="AS1347">
        <f>HYPERLINK("https://creighton-primo.hosted.exlibrisgroup.com/primo-explore/search?tab=default_tab&amp;search_scope=EVERYTHING&amp;vid=01CRU&amp;lang=en_US&amp;offset=0&amp;query=any,contains,991001137259702656","Catalog Record")</f>
        <v/>
      </c>
      <c r="AT1347">
        <f>HYPERLINK("http://www.worldcat.org/oclc/16717595","WorldCat Record")</f>
        <v/>
      </c>
      <c r="AU1347" t="inlineStr">
        <is>
          <t>13501028:eng</t>
        </is>
      </c>
      <c r="AV1347" t="inlineStr">
        <is>
          <t>16717595</t>
        </is>
      </c>
      <c r="AW1347" t="inlineStr">
        <is>
          <t>991001137259702656</t>
        </is>
      </c>
      <c r="AX1347" t="inlineStr">
        <is>
          <t>991001137259702656</t>
        </is>
      </c>
      <c r="AY1347" t="inlineStr">
        <is>
          <t>2256675780002656</t>
        </is>
      </c>
      <c r="AZ1347" t="inlineStr">
        <is>
          <t>BOOK</t>
        </is>
      </c>
      <c r="BB1347" t="inlineStr">
        <is>
          <t>9780393700473</t>
        </is>
      </c>
      <c r="BC1347" t="inlineStr">
        <is>
          <t>32285000156447</t>
        </is>
      </c>
      <c r="BD1347" t="inlineStr">
        <is>
          <t>893420102</t>
        </is>
      </c>
    </row>
    <row r="1348">
      <c r="A1348" t="inlineStr">
        <is>
          <t>No</t>
        </is>
      </c>
      <c r="B1348" t="inlineStr">
        <is>
          <t>RC569.5.B67 M67 1996</t>
        </is>
      </c>
      <c r="C1348" t="inlineStr">
        <is>
          <t>0                      RC 0569500B  67                 M  67          1996</t>
        </is>
      </c>
      <c r="D1348" t="inlineStr">
        <is>
          <t>Lost in the mirror : an inside look at borderline personality disorder / Richard A. Moskovitz.</t>
        </is>
      </c>
      <c r="F1348" t="inlineStr">
        <is>
          <t>No</t>
        </is>
      </c>
      <c r="G1348" t="inlineStr">
        <is>
          <t>1</t>
        </is>
      </c>
      <c r="H1348" t="inlineStr">
        <is>
          <t>No</t>
        </is>
      </c>
      <c r="I1348" t="inlineStr">
        <is>
          <t>No</t>
        </is>
      </c>
      <c r="J1348" t="inlineStr">
        <is>
          <t>0</t>
        </is>
      </c>
      <c r="K1348" t="inlineStr">
        <is>
          <t>Moskovitz, Richard A.</t>
        </is>
      </c>
      <c r="L1348" t="inlineStr">
        <is>
          <t>Dallas, Tex. : Taylor Pub. Co., c1996.</t>
        </is>
      </c>
      <c r="M1348" t="inlineStr">
        <is>
          <t>1996</t>
        </is>
      </c>
      <c r="O1348" t="inlineStr">
        <is>
          <t>eng</t>
        </is>
      </c>
      <c r="P1348" t="inlineStr">
        <is>
          <t>txu</t>
        </is>
      </c>
      <c r="R1348" t="inlineStr">
        <is>
          <t xml:space="preserve">RC </t>
        </is>
      </c>
      <c r="S1348" t="n">
        <v>15</v>
      </c>
      <c r="T1348" t="n">
        <v>15</v>
      </c>
      <c r="U1348" t="inlineStr">
        <is>
          <t>2007-03-09</t>
        </is>
      </c>
      <c r="V1348" t="inlineStr">
        <is>
          <t>2007-03-09</t>
        </is>
      </c>
      <c r="W1348" t="inlineStr">
        <is>
          <t>1996-12-14</t>
        </is>
      </c>
      <c r="X1348" t="inlineStr">
        <is>
          <t>1996-12-14</t>
        </is>
      </c>
      <c r="Y1348" t="n">
        <v>246</v>
      </c>
      <c r="Z1348" t="n">
        <v>229</v>
      </c>
      <c r="AA1348" t="n">
        <v>499</v>
      </c>
      <c r="AB1348" t="n">
        <v>2</v>
      </c>
      <c r="AC1348" t="n">
        <v>2</v>
      </c>
      <c r="AD1348" t="n">
        <v>1</v>
      </c>
      <c r="AE1348" t="n">
        <v>6</v>
      </c>
      <c r="AF1348" t="n">
        <v>0</v>
      </c>
      <c r="AG1348" t="n">
        <v>3</v>
      </c>
      <c r="AH1348" t="n">
        <v>0</v>
      </c>
      <c r="AI1348" t="n">
        <v>2</v>
      </c>
      <c r="AJ1348" t="n">
        <v>1</v>
      </c>
      <c r="AK1348" t="n">
        <v>3</v>
      </c>
      <c r="AL1348" t="n">
        <v>0</v>
      </c>
      <c r="AM1348" t="n">
        <v>0</v>
      </c>
      <c r="AN1348" t="n">
        <v>0</v>
      </c>
      <c r="AO1348" t="n">
        <v>0</v>
      </c>
      <c r="AP1348" t="inlineStr">
        <is>
          <t>No</t>
        </is>
      </c>
      <c r="AQ1348" t="inlineStr">
        <is>
          <t>Yes</t>
        </is>
      </c>
      <c r="AR1348">
        <f>HYPERLINK("http://catalog.hathitrust.org/Record/007050439","HathiTrust Record")</f>
        <v/>
      </c>
      <c r="AS1348">
        <f>HYPERLINK("https://creighton-primo.hosted.exlibrisgroup.com/primo-explore/search?tab=default_tab&amp;search_scope=EVERYTHING&amp;vid=01CRU&amp;lang=en_US&amp;offset=0&amp;query=any,contains,991002624909702656","Catalog Record")</f>
        <v/>
      </c>
      <c r="AT1348">
        <f>HYPERLINK("http://www.worldcat.org/oclc/34410811","WorldCat Record")</f>
        <v/>
      </c>
      <c r="AU1348" t="inlineStr">
        <is>
          <t>896030001:eng</t>
        </is>
      </c>
      <c r="AV1348" t="inlineStr">
        <is>
          <t>34410811</t>
        </is>
      </c>
      <c r="AW1348" t="inlineStr">
        <is>
          <t>991002624909702656</t>
        </is>
      </c>
      <c r="AX1348" t="inlineStr">
        <is>
          <t>991002624909702656</t>
        </is>
      </c>
      <c r="AY1348" t="inlineStr">
        <is>
          <t>2263600250002656</t>
        </is>
      </c>
      <c r="AZ1348" t="inlineStr">
        <is>
          <t>BOOK</t>
        </is>
      </c>
      <c r="BB1348" t="inlineStr">
        <is>
          <t>9780878339365</t>
        </is>
      </c>
      <c r="BC1348" t="inlineStr">
        <is>
          <t>32285002396744</t>
        </is>
      </c>
      <c r="BD1348" t="inlineStr">
        <is>
          <t>893685574</t>
        </is>
      </c>
    </row>
    <row r="1349">
      <c r="A1349" t="inlineStr">
        <is>
          <t>No</t>
        </is>
      </c>
      <c r="B1349" t="inlineStr">
        <is>
          <t>RC569.5.B67 P79 1989</t>
        </is>
      </c>
      <c r="C1349" t="inlineStr">
        <is>
          <t>0                      RC 0569500B  67                 P  79          1989</t>
        </is>
      </c>
      <c r="D1349" t="inlineStr">
        <is>
          <t>Psychodynamic psychotherapy of borderline patients / Otto F. Kernberg ... [et al.].</t>
        </is>
      </c>
      <c r="F1349" t="inlineStr">
        <is>
          <t>No</t>
        </is>
      </c>
      <c r="G1349" t="inlineStr">
        <is>
          <t>1</t>
        </is>
      </c>
      <c r="H1349" t="inlineStr">
        <is>
          <t>No</t>
        </is>
      </c>
      <c r="I1349" t="inlineStr">
        <is>
          <t>No</t>
        </is>
      </c>
      <c r="J1349" t="inlineStr">
        <is>
          <t>0</t>
        </is>
      </c>
      <c r="L1349" t="inlineStr">
        <is>
          <t>New York : Basic Books, c1989.</t>
        </is>
      </c>
      <c r="M1349" t="inlineStr">
        <is>
          <t>1989</t>
        </is>
      </c>
      <c r="O1349" t="inlineStr">
        <is>
          <t>eng</t>
        </is>
      </c>
      <c r="P1349" t="inlineStr">
        <is>
          <t>nyu</t>
        </is>
      </c>
      <c r="R1349" t="inlineStr">
        <is>
          <t xml:space="preserve">RC </t>
        </is>
      </c>
      <c r="S1349" t="n">
        <v>4</v>
      </c>
      <c r="T1349" t="n">
        <v>4</v>
      </c>
      <c r="U1349" t="inlineStr">
        <is>
          <t>1998-10-31</t>
        </is>
      </c>
      <c r="V1349" t="inlineStr">
        <is>
          <t>1998-10-31</t>
        </is>
      </c>
      <c r="W1349" t="inlineStr">
        <is>
          <t>1991-05-13</t>
        </is>
      </c>
      <c r="X1349" t="inlineStr">
        <is>
          <t>1991-05-13</t>
        </is>
      </c>
      <c r="Y1349" t="n">
        <v>381</v>
      </c>
      <c r="Z1349" t="n">
        <v>316</v>
      </c>
      <c r="AA1349" t="n">
        <v>318</v>
      </c>
      <c r="AB1349" t="n">
        <v>1</v>
      </c>
      <c r="AC1349" t="n">
        <v>1</v>
      </c>
      <c r="AD1349" t="n">
        <v>18</v>
      </c>
      <c r="AE1349" t="n">
        <v>18</v>
      </c>
      <c r="AF1349" t="n">
        <v>7</v>
      </c>
      <c r="AG1349" t="n">
        <v>7</v>
      </c>
      <c r="AH1349" t="n">
        <v>4</v>
      </c>
      <c r="AI1349" t="n">
        <v>4</v>
      </c>
      <c r="AJ1349" t="n">
        <v>13</v>
      </c>
      <c r="AK1349" t="n">
        <v>13</v>
      </c>
      <c r="AL1349" t="n">
        <v>0</v>
      </c>
      <c r="AM1349" t="n">
        <v>0</v>
      </c>
      <c r="AN1349" t="n">
        <v>0</v>
      </c>
      <c r="AO1349" t="n">
        <v>0</v>
      </c>
      <c r="AP1349" t="inlineStr">
        <is>
          <t>No</t>
        </is>
      </c>
      <c r="AQ1349" t="inlineStr">
        <is>
          <t>Yes</t>
        </is>
      </c>
      <c r="AR1349">
        <f>HYPERLINK("http://catalog.hathitrust.org/Record/001822816","HathiTrust Record")</f>
        <v/>
      </c>
      <c r="AS1349">
        <f>HYPERLINK("https://creighton-primo.hosted.exlibrisgroup.com/primo-explore/search?tab=default_tab&amp;search_scope=EVERYTHING&amp;vid=01CRU&amp;lang=en_US&amp;offset=0&amp;query=any,contains,991001475409702656","Catalog Record")</f>
        <v/>
      </c>
      <c r="AT1349">
        <f>HYPERLINK("http://www.worldcat.org/oclc/19556151","WorldCat Record")</f>
        <v/>
      </c>
      <c r="AU1349" t="inlineStr">
        <is>
          <t>21202775:eng</t>
        </is>
      </c>
      <c r="AV1349" t="inlineStr">
        <is>
          <t>19556151</t>
        </is>
      </c>
      <c r="AW1349" t="inlineStr">
        <is>
          <t>991001475409702656</t>
        </is>
      </c>
      <c r="AX1349" t="inlineStr">
        <is>
          <t>991001475409702656</t>
        </is>
      </c>
      <c r="AY1349" t="inlineStr">
        <is>
          <t>2271267100002656</t>
        </is>
      </c>
      <c r="AZ1349" t="inlineStr">
        <is>
          <t>BOOK</t>
        </is>
      </c>
      <c r="BB1349" t="inlineStr">
        <is>
          <t>9780465066438</t>
        </is>
      </c>
      <c r="BC1349" t="inlineStr">
        <is>
          <t>32285000572809</t>
        </is>
      </c>
      <c r="BD1349" t="inlineStr">
        <is>
          <t>893516219</t>
        </is>
      </c>
    </row>
    <row r="1350">
      <c r="A1350" t="inlineStr">
        <is>
          <t>No</t>
        </is>
      </c>
      <c r="B1350" t="inlineStr">
        <is>
          <t>RC569.5.B67 S76 1990</t>
        </is>
      </c>
      <c r="C1350" t="inlineStr">
        <is>
          <t>0                      RC 0569500B  67                 S  76          1990</t>
        </is>
      </c>
      <c r="D1350" t="inlineStr">
        <is>
          <t>The fate of borderline patients : successful outcome and psychiatric practice / Michael H. Stone ; foreword by Allen Frances.</t>
        </is>
      </c>
      <c r="F1350" t="inlineStr">
        <is>
          <t>No</t>
        </is>
      </c>
      <c r="G1350" t="inlineStr">
        <is>
          <t>1</t>
        </is>
      </c>
      <c r="H1350" t="inlineStr">
        <is>
          <t>No</t>
        </is>
      </c>
      <c r="I1350" t="inlineStr">
        <is>
          <t>No</t>
        </is>
      </c>
      <c r="J1350" t="inlineStr">
        <is>
          <t>0</t>
        </is>
      </c>
      <c r="K1350" t="inlineStr">
        <is>
          <t>Stone, Michael H., 1933-</t>
        </is>
      </c>
      <c r="L1350" t="inlineStr">
        <is>
          <t>New York : Guilford Press, c1990.</t>
        </is>
      </c>
      <c r="M1350" t="inlineStr">
        <is>
          <t>1990</t>
        </is>
      </c>
      <c r="O1350" t="inlineStr">
        <is>
          <t>eng</t>
        </is>
      </c>
      <c r="P1350" t="inlineStr">
        <is>
          <t>nyu</t>
        </is>
      </c>
      <c r="Q1350" t="inlineStr">
        <is>
          <t>Diagnosis and treatment of mental disorders</t>
        </is>
      </c>
      <c r="R1350" t="inlineStr">
        <is>
          <t xml:space="preserve">RC </t>
        </is>
      </c>
      <c r="S1350" t="n">
        <v>15</v>
      </c>
      <c r="T1350" t="n">
        <v>15</v>
      </c>
      <c r="U1350" t="inlineStr">
        <is>
          <t>2007-03-13</t>
        </is>
      </c>
      <c r="V1350" t="inlineStr">
        <is>
          <t>2007-03-13</t>
        </is>
      </c>
      <c r="W1350" t="inlineStr">
        <is>
          <t>1992-03-01</t>
        </is>
      </c>
      <c r="X1350" t="inlineStr">
        <is>
          <t>1992-03-01</t>
        </is>
      </c>
      <c r="Y1350" t="n">
        <v>282</v>
      </c>
      <c r="Z1350" t="n">
        <v>238</v>
      </c>
      <c r="AA1350" t="n">
        <v>239</v>
      </c>
      <c r="AB1350" t="n">
        <v>3</v>
      </c>
      <c r="AC1350" t="n">
        <v>3</v>
      </c>
      <c r="AD1350" t="n">
        <v>16</v>
      </c>
      <c r="AE1350" t="n">
        <v>16</v>
      </c>
      <c r="AF1350" t="n">
        <v>6</v>
      </c>
      <c r="AG1350" t="n">
        <v>6</v>
      </c>
      <c r="AH1350" t="n">
        <v>2</v>
      </c>
      <c r="AI1350" t="n">
        <v>2</v>
      </c>
      <c r="AJ1350" t="n">
        <v>10</v>
      </c>
      <c r="AK1350" t="n">
        <v>10</v>
      </c>
      <c r="AL1350" t="n">
        <v>2</v>
      </c>
      <c r="AM1350" t="n">
        <v>2</v>
      </c>
      <c r="AN1350" t="n">
        <v>0</v>
      </c>
      <c r="AO1350" t="n">
        <v>0</v>
      </c>
      <c r="AP1350" t="inlineStr">
        <is>
          <t>No</t>
        </is>
      </c>
      <c r="AQ1350" t="inlineStr">
        <is>
          <t>No</t>
        </is>
      </c>
      <c r="AS1350">
        <f>HYPERLINK("https://creighton-primo.hosted.exlibrisgroup.com/primo-explore/search?tab=default_tab&amp;search_scope=EVERYTHING&amp;vid=01CRU&amp;lang=en_US&amp;offset=0&amp;query=any,contains,991001671469702656","Catalog Record")</f>
        <v/>
      </c>
      <c r="AT1350">
        <f>HYPERLINK("http://www.worldcat.org/oclc/21294549","WorldCat Record")</f>
        <v/>
      </c>
      <c r="AU1350" t="inlineStr">
        <is>
          <t>433680818:eng</t>
        </is>
      </c>
      <c r="AV1350" t="inlineStr">
        <is>
          <t>21294549</t>
        </is>
      </c>
      <c r="AW1350" t="inlineStr">
        <is>
          <t>991001671469702656</t>
        </is>
      </c>
      <c r="AX1350" t="inlineStr">
        <is>
          <t>991001671469702656</t>
        </is>
      </c>
      <c r="AY1350" t="inlineStr">
        <is>
          <t>2265210110002656</t>
        </is>
      </c>
      <c r="AZ1350" t="inlineStr">
        <is>
          <t>BOOK</t>
        </is>
      </c>
      <c r="BB1350" t="inlineStr">
        <is>
          <t>9780898623994</t>
        </is>
      </c>
      <c r="BC1350" t="inlineStr">
        <is>
          <t>32285000937473</t>
        </is>
      </c>
      <c r="BD1350" t="inlineStr">
        <is>
          <t>893684515</t>
        </is>
      </c>
    </row>
    <row r="1351">
      <c r="A1351" t="inlineStr">
        <is>
          <t>No</t>
        </is>
      </c>
      <c r="B1351" t="inlineStr">
        <is>
          <t>RC569.5.C55 A44 2003</t>
        </is>
      </c>
      <c r="C1351" t="inlineStr">
        <is>
          <t>0                      RC 0569500C  55                 A  44          2003</t>
        </is>
      </c>
      <c r="D1351" t="inlineStr">
        <is>
          <t>Finding courage to speak : women's survival of child abuse / Paige Alisen.</t>
        </is>
      </c>
      <c r="F1351" t="inlineStr">
        <is>
          <t>No</t>
        </is>
      </c>
      <c r="G1351" t="inlineStr">
        <is>
          <t>1</t>
        </is>
      </c>
      <c r="H1351" t="inlineStr">
        <is>
          <t>No</t>
        </is>
      </c>
      <c r="I1351" t="inlineStr">
        <is>
          <t>No</t>
        </is>
      </c>
      <c r="J1351" t="inlineStr">
        <is>
          <t>0</t>
        </is>
      </c>
      <c r="K1351" t="inlineStr">
        <is>
          <t>Alisen, Paige, 1963-</t>
        </is>
      </c>
      <c r="L1351" t="inlineStr">
        <is>
          <t>Boston : Northeastern University Press, c2003.</t>
        </is>
      </c>
      <c r="M1351" t="inlineStr">
        <is>
          <t>2003</t>
        </is>
      </c>
      <c r="O1351" t="inlineStr">
        <is>
          <t>eng</t>
        </is>
      </c>
      <c r="P1351" t="inlineStr">
        <is>
          <t>mau</t>
        </is>
      </c>
      <c r="R1351" t="inlineStr">
        <is>
          <t xml:space="preserve">RC </t>
        </is>
      </c>
      <c r="S1351" t="n">
        <v>1</v>
      </c>
      <c r="T1351" t="n">
        <v>1</v>
      </c>
      <c r="U1351" t="inlineStr">
        <is>
          <t>2004-05-11</t>
        </is>
      </c>
      <c r="V1351" t="inlineStr">
        <is>
          <t>2004-05-11</t>
        </is>
      </c>
      <c r="W1351" t="inlineStr">
        <is>
          <t>2004-05-11</t>
        </is>
      </c>
      <c r="X1351" t="inlineStr">
        <is>
          <t>2004-05-11</t>
        </is>
      </c>
      <c r="Y1351" t="n">
        <v>585</v>
      </c>
      <c r="Z1351" t="n">
        <v>524</v>
      </c>
      <c r="AA1351" t="n">
        <v>530</v>
      </c>
      <c r="AB1351" t="n">
        <v>4</v>
      </c>
      <c r="AC1351" t="n">
        <v>4</v>
      </c>
      <c r="AD1351" t="n">
        <v>19</v>
      </c>
      <c r="AE1351" t="n">
        <v>19</v>
      </c>
      <c r="AF1351" t="n">
        <v>8</v>
      </c>
      <c r="AG1351" t="n">
        <v>8</v>
      </c>
      <c r="AH1351" t="n">
        <v>4</v>
      </c>
      <c r="AI1351" t="n">
        <v>4</v>
      </c>
      <c r="AJ1351" t="n">
        <v>8</v>
      </c>
      <c r="AK1351" t="n">
        <v>8</v>
      </c>
      <c r="AL1351" t="n">
        <v>3</v>
      </c>
      <c r="AM1351" t="n">
        <v>3</v>
      </c>
      <c r="AN1351" t="n">
        <v>1</v>
      </c>
      <c r="AO1351" t="n">
        <v>1</v>
      </c>
      <c r="AP1351" t="inlineStr">
        <is>
          <t>No</t>
        </is>
      </c>
      <c r="AQ1351" t="inlineStr">
        <is>
          <t>Yes</t>
        </is>
      </c>
      <c r="AR1351">
        <f>HYPERLINK("http://catalog.hathitrust.org/Record/003882860","HathiTrust Record")</f>
        <v/>
      </c>
      <c r="AS1351">
        <f>HYPERLINK("https://creighton-primo.hosted.exlibrisgroup.com/primo-explore/search?tab=default_tab&amp;search_scope=EVERYTHING&amp;vid=01CRU&amp;lang=en_US&amp;offset=0&amp;query=any,contains,991004284509702656","Catalog Record")</f>
        <v/>
      </c>
      <c r="AT1351">
        <f>HYPERLINK("http://www.worldcat.org/oclc/52127511","WorldCat Record")</f>
        <v/>
      </c>
      <c r="AU1351" t="inlineStr">
        <is>
          <t>772015:eng</t>
        </is>
      </c>
      <c r="AV1351" t="inlineStr">
        <is>
          <t>52127511</t>
        </is>
      </c>
      <c r="AW1351" t="inlineStr">
        <is>
          <t>991004284509702656</t>
        </is>
      </c>
      <c r="AX1351" t="inlineStr">
        <is>
          <t>991004284509702656</t>
        </is>
      </c>
      <c r="AY1351" t="inlineStr">
        <is>
          <t>2262745420002656</t>
        </is>
      </c>
      <c r="AZ1351" t="inlineStr">
        <is>
          <t>BOOK</t>
        </is>
      </c>
      <c r="BB1351" t="inlineStr">
        <is>
          <t>9781555535803</t>
        </is>
      </c>
      <c r="BC1351" t="inlineStr">
        <is>
          <t>32285004904677</t>
        </is>
      </c>
      <c r="BD1351" t="inlineStr">
        <is>
          <t>893693754</t>
        </is>
      </c>
    </row>
    <row r="1352">
      <c r="A1352" t="inlineStr">
        <is>
          <t>No</t>
        </is>
      </c>
      <c r="B1352" t="inlineStr">
        <is>
          <t>RC569.5.C55 B56 1997</t>
        </is>
      </c>
      <c r="C1352" t="inlineStr">
        <is>
          <t>0                      RC 0569500C  55                 B  56          1997</t>
        </is>
      </c>
      <c r="D1352" t="inlineStr">
        <is>
          <t>Creating sanctuary : toward the evolution of sane societies / Sandra L. Bloom.</t>
        </is>
      </c>
      <c r="F1352" t="inlineStr">
        <is>
          <t>No</t>
        </is>
      </c>
      <c r="G1352" t="inlineStr">
        <is>
          <t>1</t>
        </is>
      </c>
      <c r="H1352" t="inlineStr">
        <is>
          <t>No</t>
        </is>
      </c>
      <c r="I1352" t="inlineStr">
        <is>
          <t>No</t>
        </is>
      </c>
      <c r="J1352" t="inlineStr">
        <is>
          <t>0</t>
        </is>
      </c>
      <c r="K1352" t="inlineStr">
        <is>
          <t>Bloom, Sandra L., 1948-</t>
        </is>
      </c>
      <c r="L1352" t="inlineStr">
        <is>
          <t>New York : Routledge, 1997.</t>
        </is>
      </c>
      <c r="M1352" t="inlineStr">
        <is>
          <t>1997</t>
        </is>
      </c>
      <c r="O1352" t="inlineStr">
        <is>
          <t>eng</t>
        </is>
      </c>
      <c r="P1352" t="inlineStr">
        <is>
          <t>nyu</t>
        </is>
      </c>
      <c r="R1352" t="inlineStr">
        <is>
          <t xml:space="preserve">RC </t>
        </is>
      </c>
      <c r="S1352" t="n">
        <v>2</v>
      </c>
      <c r="T1352" t="n">
        <v>2</v>
      </c>
      <c r="U1352" t="inlineStr">
        <is>
          <t>2005-12-14</t>
        </is>
      </c>
      <c r="V1352" t="inlineStr">
        <is>
          <t>2005-12-14</t>
        </is>
      </c>
      <c r="W1352" t="inlineStr">
        <is>
          <t>1998-08-04</t>
        </is>
      </c>
      <c r="X1352" t="inlineStr">
        <is>
          <t>1998-08-04</t>
        </is>
      </c>
      <c r="Y1352" t="n">
        <v>372</v>
      </c>
      <c r="Z1352" t="n">
        <v>312</v>
      </c>
      <c r="AA1352" t="n">
        <v>673</v>
      </c>
      <c r="AB1352" t="n">
        <v>2</v>
      </c>
      <c r="AC1352" t="n">
        <v>6</v>
      </c>
      <c r="AD1352" t="n">
        <v>15</v>
      </c>
      <c r="AE1352" t="n">
        <v>32</v>
      </c>
      <c r="AF1352" t="n">
        <v>5</v>
      </c>
      <c r="AG1352" t="n">
        <v>12</v>
      </c>
      <c r="AH1352" t="n">
        <v>4</v>
      </c>
      <c r="AI1352" t="n">
        <v>7</v>
      </c>
      <c r="AJ1352" t="n">
        <v>10</v>
      </c>
      <c r="AK1352" t="n">
        <v>14</v>
      </c>
      <c r="AL1352" t="n">
        <v>1</v>
      </c>
      <c r="AM1352" t="n">
        <v>5</v>
      </c>
      <c r="AN1352" t="n">
        <v>0</v>
      </c>
      <c r="AO1352" t="n">
        <v>1</v>
      </c>
      <c r="AP1352" t="inlineStr">
        <is>
          <t>No</t>
        </is>
      </c>
      <c r="AQ1352" t="inlineStr">
        <is>
          <t>No</t>
        </is>
      </c>
      <c r="AS1352">
        <f>HYPERLINK("https://creighton-primo.hosted.exlibrisgroup.com/primo-explore/search?tab=default_tab&amp;search_scope=EVERYTHING&amp;vid=01CRU&amp;lang=en_US&amp;offset=0&amp;query=any,contains,991002737849702656","Catalog Record")</f>
        <v/>
      </c>
      <c r="AT1352">
        <f>HYPERLINK("http://www.worldcat.org/oclc/35955107","WorldCat Record")</f>
        <v/>
      </c>
      <c r="AU1352" t="inlineStr">
        <is>
          <t>837037580:eng</t>
        </is>
      </c>
      <c r="AV1352" t="inlineStr">
        <is>
          <t>35955107</t>
        </is>
      </c>
      <c r="AW1352" t="inlineStr">
        <is>
          <t>991002737849702656</t>
        </is>
      </c>
      <c r="AX1352" t="inlineStr">
        <is>
          <t>991002737849702656</t>
        </is>
      </c>
      <c r="AY1352" t="inlineStr">
        <is>
          <t>2271799210002656</t>
        </is>
      </c>
      <c r="AZ1352" t="inlineStr">
        <is>
          <t>BOOK</t>
        </is>
      </c>
      <c r="BB1352" t="inlineStr">
        <is>
          <t>9780415915687</t>
        </is>
      </c>
      <c r="BC1352" t="inlineStr">
        <is>
          <t>32285003448668</t>
        </is>
      </c>
      <c r="BD1352" t="inlineStr">
        <is>
          <t>893233360</t>
        </is>
      </c>
    </row>
    <row r="1353">
      <c r="A1353" t="inlineStr">
        <is>
          <t>No</t>
        </is>
      </c>
      <c r="B1353" t="inlineStr">
        <is>
          <t>RC569.5.C55 C46 1983</t>
        </is>
      </c>
      <c r="C1353" t="inlineStr">
        <is>
          <t>0                      RC 0569500C  55                 C  46          1983</t>
        </is>
      </c>
      <c r="D1353" t="inlineStr">
        <is>
          <t>Child abuse : the nonhuman primate data / editors, Martin Reite, Nancy G. Caine.</t>
        </is>
      </c>
      <c r="F1353" t="inlineStr">
        <is>
          <t>No</t>
        </is>
      </c>
      <c r="G1353" t="inlineStr">
        <is>
          <t>1</t>
        </is>
      </c>
      <c r="H1353" t="inlineStr">
        <is>
          <t>No</t>
        </is>
      </c>
      <c r="I1353" t="inlineStr">
        <is>
          <t>No</t>
        </is>
      </c>
      <c r="J1353" t="inlineStr">
        <is>
          <t>0</t>
        </is>
      </c>
      <c r="L1353" t="inlineStr">
        <is>
          <t>New York : A. Liss, c1983.</t>
        </is>
      </c>
      <c r="M1353" t="inlineStr">
        <is>
          <t>1983</t>
        </is>
      </c>
      <c r="O1353" t="inlineStr">
        <is>
          <t>eng</t>
        </is>
      </c>
      <c r="P1353" t="inlineStr">
        <is>
          <t>nyu</t>
        </is>
      </c>
      <c r="Q1353" t="inlineStr">
        <is>
          <t>Monographs in primatology ; v. 1</t>
        </is>
      </c>
      <c r="R1353" t="inlineStr">
        <is>
          <t xml:space="preserve">RC </t>
        </is>
      </c>
      <c r="S1353" t="n">
        <v>12</v>
      </c>
      <c r="T1353" t="n">
        <v>12</v>
      </c>
      <c r="U1353" t="inlineStr">
        <is>
          <t>2002-10-31</t>
        </is>
      </c>
      <c r="V1353" t="inlineStr">
        <is>
          <t>2002-10-31</t>
        </is>
      </c>
      <c r="W1353" t="inlineStr">
        <is>
          <t>1990-07-18</t>
        </is>
      </c>
      <c r="X1353" t="inlineStr">
        <is>
          <t>1990-07-18</t>
        </is>
      </c>
      <c r="Y1353" t="n">
        <v>239</v>
      </c>
      <c r="Z1353" t="n">
        <v>197</v>
      </c>
      <c r="AA1353" t="n">
        <v>204</v>
      </c>
      <c r="AB1353" t="n">
        <v>2</v>
      </c>
      <c r="AC1353" t="n">
        <v>2</v>
      </c>
      <c r="AD1353" t="n">
        <v>7</v>
      </c>
      <c r="AE1353" t="n">
        <v>7</v>
      </c>
      <c r="AF1353" t="n">
        <v>0</v>
      </c>
      <c r="AG1353" t="n">
        <v>0</v>
      </c>
      <c r="AH1353" t="n">
        <v>3</v>
      </c>
      <c r="AI1353" t="n">
        <v>3</v>
      </c>
      <c r="AJ1353" t="n">
        <v>4</v>
      </c>
      <c r="AK1353" t="n">
        <v>4</v>
      </c>
      <c r="AL1353" t="n">
        <v>1</v>
      </c>
      <c r="AM1353" t="n">
        <v>1</v>
      </c>
      <c r="AN1353" t="n">
        <v>0</v>
      </c>
      <c r="AO1353" t="n">
        <v>0</v>
      </c>
      <c r="AP1353" t="inlineStr">
        <is>
          <t>No</t>
        </is>
      </c>
      <c r="AQ1353" t="inlineStr">
        <is>
          <t>Yes</t>
        </is>
      </c>
      <c r="AR1353">
        <f>HYPERLINK("http://catalog.hathitrust.org/Record/000288074","HathiTrust Record")</f>
        <v/>
      </c>
      <c r="AS1353">
        <f>HYPERLINK("https://creighton-primo.hosted.exlibrisgroup.com/primo-explore/search?tab=default_tab&amp;search_scope=EVERYTHING&amp;vid=01CRU&amp;lang=en_US&amp;offset=0&amp;query=any,contains,991000157989702656","Catalog Record")</f>
        <v/>
      </c>
      <c r="AT1353">
        <f>HYPERLINK("http://www.worldcat.org/oclc/9254635","WorldCat Record")</f>
        <v/>
      </c>
      <c r="AU1353" t="inlineStr">
        <is>
          <t>796087320:eng</t>
        </is>
      </c>
      <c r="AV1353" t="inlineStr">
        <is>
          <t>9254635</t>
        </is>
      </c>
      <c r="AW1353" t="inlineStr">
        <is>
          <t>991000157989702656</t>
        </is>
      </c>
      <c r="AX1353" t="inlineStr">
        <is>
          <t>991000157989702656</t>
        </is>
      </c>
      <c r="AY1353" t="inlineStr">
        <is>
          <t>2259081410002656</t>
        </is>
      </c>
      <c r="AZ1353" t="inlineStr">
        <is>
          <t>BOOK</t>
        </is>
      </c>
      <c r="BB1353" t="inlineStr">
        <is>
          <t>9780845134009</t>
        </is>
      </c>
      <c r="BC1353" t="inlineStr">
        <is>
          <t>32285000239110</t>
        </is>
      </c>
      <c r="BD1353" t="inlineStr">
        <is>
          <t>893527859</t>
        </is>
      </c>
    </row>
    <row r="1354">
      <c r="A1354" t="inlineStr">
        <is>
          <t>No</t>
        </is>
      </c>
      <c r="B1354" t="inlineStr">
        <is>
          <t>RC569.5.C55 J44 1988</t>
        </is>
      </c>
      <c r="C1354" t="inlineStr">
        <is>
          <t>0                      RC 0569500C  55                 J  44          1988</t>
        </is>
      </c>
      <c r="D1354" t="inlineStr">
        <is>
          <t>Beyond sexual abuse : therapy with women who were childhood victims / Derek Jehu, in association with Marjorie Gazan and Carole Klassen.</t>
        </is>
      </c>
      <c r="F1354" t="inlineStr">
        <is>
          <t>No</t>
        </is>
      </c>
      <c r="G1354" t="inlineStr">
        <is>
          <t>1</t>
        </is>
      </c>
      <c r="H1354" t="inlineStr">
        <is>
          <t>No</t>
        </is>
      </c>
      <c r="I1354" t="inlineStr">
        <is>
          <t>No</t>
        </is>
      </c>
      <c r="J1354" t="inlineStr">
        <is>
          <t>0</t>
        </is>
      </c>
      <c r="K1354" t="inlineStr">
        <is>
          <t>Jehu, Derek.</t>
        </is>
      </c>
      <c r="L1354" t="inlineStr">
        <is>
          <t>Chichester [England] ; New York : Wiley, c1988.</t>
        </is>
      </c>
      <c r="M1354" t="inlineStr">
        <is>
          <t>1988</t>
        </is>
      </c>
      <c r="O1354" t="inlineStr">
        <is>
          <t>eng</t>
        </is>
      </c>
      <c r="P1354" t="inlineStr">
        <is>
          <t>enk</t>
        </is>
      </c>
      <c r="Q1354" t="inlineStr">
        <is>
          <t>Wiley series on psychotherapy and counselling</t>
        </is>
      </c>
      <c r="R1354" t="inlineStr">
        <is>
          <t xml:space="preserve">RC </t>
        </is>
      </c>
      <c r="S1354" t="n">
        <v>15</v>
      </c>
      <c r="T1354" t="n">
        <v>15</v>
      </c>
      <c r="U1354" t="inlineStr">
        <is>
          <t>1998-11-14</t>
        </is>
      </c>
      <c r="V1354" t="inlineStr">
        <is>
          <t>1998-11-14</t>
        </is>
      </c>
      <c r="W1354" t="inlineStr">
        <is>
          <t>1992-03-01</t>
        </is>
      </c>
      <c r="X1354" t="inlineStr">
        <is>
          <t>1992-03-01</t>
        </is>
      </c>
      <c r="Y1354" t="n">
        <v>490</v>
      </c>
      <c r="Z1354" t="n">
        <v>354</v>
      </c>
      <c r="AA1354" t="n">
        <v>356</v>
      </c>
      <c r="AB1354" t="n">
        <v>4</v>
      </c>
      <c r="AC1354" t="n">
        <v>4</v>
      </c>
      <c r="AD1354" t="n">
        <v>22</v>
      </c>
      <c r="AE1354" t="n">
        <v>22</v>
      </c>
      <c r="AF1354" t="n">
        <v>7</v>
      </c>
      <c r="AG1354" t="n">
        <v>7</v>
      </c>
      <c r="AH1354" t="n">
        <v>5</v>
      </c>
      <c r="AI1354" t="n">
        <v>5</v>
      </c>
      <c r="AJ1354" t="n">
        <v>14</v>
      </c>
      <c r="AK1354" t="n">
        <v>14</v>
      </c>
      <c r="AL1354" t="n">
        <v>3</v>
      </c>
      <c r="AM1354" t="n">
        <v>3</v>
      </c>
      <c r="AN1354" t="n">
        <v>0</v>
      </c>
      <c r="AO1354" t="n">
        <v>0</v>
      </c>
      <c r="AP1354" t="inlineStr">
        <is>
          <t>No</t>
        </is>
      </c>
      <c r="AQ1354" t="inlineStr">
        <is>
          <t>Yes</t>
        </is>
      </c>
      <c r="AR1354">
        <f>HYPERLINK("http://catalog.hathitrust.org/Record/001071253","HathiTrust Record")</f>
        <v/>
      </c>
      <c r="AS1354">
        <f>HYPERLINK("https://creighton-primo.hosted.exlibrisgroup.com/primo-explore/search?tab=default_tab&amp;search_scope=EVERYTHING&amp;vid=01CRU&amp;lang=en_US&amp;offset=0&amp;query=any,contains,991001289689702656","Catalog Record")</f>
        <v/>
      </c>
      <c r="AT1354">
        <f>HYPERLINK("http://www.worldcat.org/oclc/17982702","WorldCat Record")</f>
        <v/>
      </c>
      <c r="AU1354" t="inlineStr">
        <is>
          <t>347399767:eng</t>
        </is>
      </c>
      <c r="AV1354" t="inlineStr">
        <is>
          <t>17982702</t>
        </is>
      </c>
      <c r="AW1354" t="inlineStr">
        <is>
          <t>991001289689702656</t>
        </is>
      </c>
      <c r="AX1354" t="inlineStr">
        <is>
          <t>991001289689702656</t>
        </is>
      </c>
      <c r="AY1354" t="inlineStr">
        <is>
          <t>2259186640002656</t>
        </is>
      </c>
      <c r="AZ1354" t="inlineStr">
        <is>
          <t>BOOK</t>
        </is>
      </c>
      <c r="BB1354" t="inlineStr">
        <is>
          <t>9780471919131</t>
        </is>
      </c>
      <c r="BC1354" t="inlineStr">
        <is>
          <t>32285000937416</t>
        </is>
      </c>
      <c r="BD1354" t="inlineStr">
        <is>
          <t>893866131</t>
        </is>
      </c>
    </row>
    <row r="1355">
      <c r="A1355" t="inlineStr">
        <is>
          <t>No</t>
        </is>
      </c>
      <c r="B1355" t="inlineStr">
        <is>
          <t>RC569.5.C55 K44 1983</t>
        </is>
      </c>
      <c r="C1355" t="inlineStr">
        <is>
          <t>0                      RC 0569500C  55                 K  44          1983</t>
        </is>
      </c>
      <c r="D1355" t="inlineStr">
        <is>
          <t>Treating child-abusive families : intervention based on skills-training principles / Jeffrey A. Kelly.</t>
        </is>
      </c>
      <c r="F1355" t="inlineStr">
        <is>
          <t>No</t>
        </is>
      </c>
      <c r="G1355" t="inlineStr">
        <is>
          <t>1</t>
        </is>
      </c>
      <c r="H1355" t="inlineStr">
        <is>
          <t>No</t>
        </is>
      </c>
      <c r="I1355" t="inlineStr">
        <is>
          <t>No</t>
        </is>
      </c>
      <c r="J1355" t="inlineStr">
        <is>
          <t>0</t>
        </is>
      </c>
      <c r="K1355" t="inlineStr">
        <is>
          <t>Kelly, Jeffrey A.</t>
        </is>
      </c>
      <c r="L1355" t="inlineStr">
        <is>
          <t>New York : Plenum Press, c1983.</t>
        </is>
      </c>
      <c r="M1355" t="inlineStr">
        <is>
          <t>1983</t>
        </is>
      </c>
      <c r="O1355" t="inlineStr">
        <is>
          <t>eng</t>
        </is>
      </c>
      <c r="P1355" t="inlineStr">
        <is>
          <t>nyu</t>
        </is>
      </c>
      <c r="Q1355" t="inlineStr">
        <is>
          <t>Applied clinical psychology</t>
        </is>
      </c>
      <c r="R1355" t="inlineStr">
        <is>
          <t xml:space="preserve">RC </t>
        </is>
      </c>
      <c r="S1355" t="n">
        <v>16</v>
      </c>
      <c r="T1355" t="n">
        <v>16</v>
      </c>
      <c r="U1355" t="inlineStr">
        <is>
          <t>1996-10-31</t>
        </is>
      </c>
      <c r="V1355" t="inlineStr">
        <is>
          <t>1996-10-31</t>
        </is>
      </c>
      <c r="W1355" t="inlineStr">
        <is>
          <t>1990-07-18</t>
        </is>
      </c>
      <c r="X1355" t="inlineStr">
        <is>
          <t>1990-07-18</t>
        </is>
      </c>
      <c r="Y1355" t="n">
        <v>346</v>
      </c>
      <c r="Z1355" t="n">
        <v>265</v>
      </c>
      <c r="AA1355" t="n">
        <v>279</v>
      </c>
      <c r="AB1355" t="n">
        <v>2</v>
      </c>
      <c r="AC1355" t="n">
        <v>2</v>
      </c>
      <c r="AD1355" t="n">
        <v>8</v>
      </c>
      <c r="AE1355" t="n">
        <v>8</v>
      </c>
      <c r="AF1355" t="n">
        <v>3</v>
      </c>
      <c r="AG1355" t="n">
        <v>3</v>
      </c>
      <c r="AH1355" t="n">
        <v>1</v>
      </c>
      <c r="AI1355" t="n">
        <v>1</v>
      </c>
      <c r="AJ1355" t="n">
        <v>6</v>
      </c>
      <c r="AK1355" t="n">
        <v>6</v>
      </c>
      <c r="AL1355" t="n">
        <v>1</v>
      </c>
      <c r="AM1355" t="n">
        <v>1</v>
      </c>
      <c r="AN1355" t="n">
        <v>0</v>
      </c>
      <c r="AO1355" t="n">
        <v>0</v>
      </c>
      <c r="AP1355" t="inlineStr">
        <is>
          <t>No</t>
        </is>
      </c>
      <c r="AQ1355" t="inlineStr">
        <is>
          <t>No</t>
        </is>
      </c>
      <c r="AS1355">
        <f>HYPERLINK("https://creighton-primo.hosted.exlibrisgroup.com/primo-explore/search?tab=default_tab&amp;search_scope=EVERYTHING&amp;vid=01CRU&amp;lang=en_US&amp;offset=0&amp;query=any,contains,991000277159702656","Catalog Record")</f>
        <v/>
      </c>
      <c r="AT1355">
        <f>HYPERLINK("http://www.worldcat.org/oclc/9896291","WorldCat Record")</f>
        <v/>
      </c>
      <c r="AU1355" t="inlineStr">
        <is>
          <t>836628822:eng</t>
        </is>
      </c>
      <c r="AV1355" t="inlineStr">
        <is>
          <t>9896291</t>
        </is>
      </c>
      <c r="AW1355" t="inlineStr">
        <is>
          <t>991000277159702656</t>
        </is>
      </c>
      <c r="AX1355" t="inlineStr">
        <is>
          <t>991000277159702656</t>
        </is>
      </c>
      <c r="AY1355" t="inlineStr">
        <is>
          <t>2264351390002656</t>
        </is>
      </c>
      <c r="AZ1355" t="inlineStr">
        <is>
          <t>BOOK</t>
        </is>
      </c>
      <c r="BB1355" t="inlineStr">
        <is>
          <t>9780306414176</t>
        </is>
      </c>
      <c r="BC1355" t="inlineStr">
        <is>
          <t>32285000239128</t>
        </is>
      </c>
      <c r="BD1355" t="inlineStr">
        <is>
          <t>893689592</t>
        </is>
      </c>
    </row>
    <row r="1356">
      <c r="A1356" t="inlineStr">
        <is>
          <t>No</t>
        </is>
      </c>
      <c r="B1356" t="inlineStr">
        <is>
          <t>RC569.5.C55 L88 2002</t>
        </is>
      </c>
      <c r="C1356" t="inlineStr">
        <is>
          <t>0                      RC 0569500C  55                 L  88          2002</t>
        </is>
      </c>
      <c r="D1356" t="inlineStr">
        <is>
          <t>Reducing child maltreatment : a guidebook for parent services / John R. Lutzker, Kathryn M. Bigelow ; series editor's note by David H. Barlow ; foreword by David A. Wolfe.</t>
        </is>
      </c>
      <c r="F1356" t="inlineStr">
        <is>
          <t>No</t>
        </is>
      </c>
      <c r="G1356" t="inlineStr">
        <is>
          <t>1</t>
        </is>
      </c>
      <c r="H1356" t="inlineStr">
        <is>
          <t>No</t>
        </is>
      </c>
      <c r="I1356" t="inlineStr">
        <is>
          <t>No</t>
        </is>
      </c>
      <c r="J1356" t="inlineStr">
        <is>
          <t>0</t>
        </is>
      </c>
      <c r="K1356" t="inlineStr">
        <is>
          <t>Lutzker, John R., 1947-</t>
        </is>
      </c>
      <c r="L1356" t="inlineStr">
        <is>
          <t>New York : Guilford Press , c2002.</t>
        </is>
      </c>
      <c r="M1356" t="inlineStr">
        <is>
          <t>2002</t>
        </is>
      </c>
      <c r="O1356" t="inlineStr">
        <is>
          <t>eng</t>
        </is>
      </c>
      <c r="P1356" t="inlineStr">
        <is>
          <t>nyu</t>
        </is>
      </c>
      <c r="Q1356" t="inlineStr">
        <is>
          <t>Treatment manuals for practitioners</t>
        </is>
      </c>
      <c r="R1356" t="inlineStr">
        <is>
          <t xml:space="preserve">RC </t>
        </is>
      </c>
      <c r="S1356" t="n">
        <v>3</v>
      </c>
      <c r="T1356" t="n">
        <v>3</v>
      </c>
      <c r="U1356" t="inlineStr">
        <is>
          <t>2005-03-30</t>
        </is>
      </c>
      <c r="V1356" t="inlineStr">
        <is>
          <t>2005-03-30</t>
        </is>
      </c>
      <c r="W1356" t="inlineStr">
        <is>
          <t>2002-03-27</t>
        </is>
      </c>
      <c r="X1356" t="inlineStr">
        <is>
          <t>2002-03-27</t>
        </is>
      </c>
      <c r="Y1356" t="n">
        <v>219</v>
      </c>
      <c r="Z1356" t="n">
        <v>180</v>
      </c>
      <c r="AA1356" t="n">
        <v>186</v>
      </c>
      <c r="AB1356" t="n">
        <v>2</v>
      </c>
      <c r="AC1356" t="n">
        <v>2</v>
      </c>
      <c r="AD1356" t="n">
        <v>9</v>
      </c>
      <c r="AE1356" t="n">
        <v>9</v>
      </c>
      <c r="AF1356" t="n">
        <v>3</v>
      </c>
      <c r="AG1356" t="n">
        <v>3</v>
      </c>
      <c r="AH1356" t="n">
        <v>2</v>
      </c>
      <c r="AI1356" t="n">
        <v>2</v>
      </c>
      <c r="AJ1356" t="n">
        <v>6</v>
      </c>
      <c r="AK1356" t="n">
        <v>6</v>
      </c>
      <c r="AL1356" t="n">
        <v>1</v>
      </c>
      <c r="AM1356" t="n">
        <v>1</v>
      </c>
      <c r="AN1356" t="n">
        <v>0</v>
      </c>
      <c r="AO1356" t="n">
        <v>0</v>
      </c>
      <c r="AP1356" t="inlineStr">
        <is>
          <t>No</t>
        </is>
      </c>
      <c r="AQ1356" t="inlineStr">
        <is>
          <t>No</t>
        </is>
      </c>
      <c r="AS1356">
        <f>HYPERLINK("https://creighton-primo.hosted.exlibrisgroup.com/primo-explore/search?tab=default_tab&amp;search_scope=EVERYTHING&amp;vid=01CRU&amp;lang=en_US&amp;offset=0&amp;query=any,contains,991003741289702656","Catalog Record")</f>
        <v/>
      </c>
      <c r="AT1356">
        <f>HYPERLINK("http://www.worldcat.org/oclc/47837900","WorldCat Record")</f>
        <v/>
      </c>
      <c r="AU1356" t="inlineStr">
        <is>
          <t>937568:eng</t>
        </is>
      </c>
      <c r="AV1356" t="inlineStr">
        <is>
          <t>47837900</t>
        </is>
      </c>
      <c r="AW1356" t="inlineStr">
        <is>
          <t>991003741289702656</t>
        </is>
      </c>
      <c r="AX1356" t="inlineStr">
        <is>
          <t>991003741289702656</t>
        </is>
      </c>
      <c r="AY1356" t="inlineStr">
        <is>
          <t>2260870730002656</t>
        </is>
      </c>
      <c r="AZ1356" t="inlineStr">
        <is>
          <t>BOOK</t>
        </is>
      </c>
      <c r="BB1356" t="inlineStr">
        <is>
          <t>9781572307049</t>
        </is>
      </c>
      <c r="BC1356" t="inlineStr">
        <is>
          <t>32285004464078</t>
        </is>
      </c>
      <c r="BD1356" t="inlineStr">
        <is>
          <t>893894063</t>
        </is>
      </c>
    </row>
    <row r="1357">
      <c r="A1357" t="inlineStr">
        <is>
          <t>No</t>
        </is>
      </c>
      <c r="B1357" t="inlineStr">
        <is>
          <t>RC569.5.C55 N38 1994</t>
        </is>
      </c>
      <c r="C1357" t="inlineStr">
        <is>
          <t>0                      RC 0569500C  55                 N  38          1994</t>
        </is>
      </c>
      <c r="D1357" t="inlineStr">
        <is>
          <t>Getting through the day : strategies for adults hurt as children / Nancy J. Napier.</t>
        </is>
      </c>
      <c r="F1357" t="inlineStr">
        <is>
          <t>No</t>
        </is>
      </c>
      <c r="G1357" t="inlineStr">
        <is>
          <t>1</t>
        </is>
      </c>
      <c r="H1357" t="inlineStr">
        <is>
          <t>No</t>
        </is>
      </c>
      <c r="I1357" t="inlineStr">
        <is>
          <t>No</t>
        </is>
      </c>
      <c r="J1357" t="inlineStr">
        <is>
          <t>0</t>
        </is>
      </c>
      <c r="K1357" t="inlineStr">
        <is>
          <t>Napier, Nancy J.</t>
        </is>
      </c>
      <c r="L1357" t="inlineStr">
        <is>
          <t>New York : W.W. Norton, c1994.</t>
        </is>
      </c>
      <c r="M1357" t="inlineStr">
        <is>
          <t>1994</t>
        </is>
      </c>
      <c r="O1357" t="inlineStr">
        <is>
          <t>eng</t>
        </is>
      </c>
      <c r="P1357" t="inlineStr">
        <is>
          <t>nyu</t>
        </is>
      </c>
      <c r="R1357" t="inlineStr">
        <is>
          <t xml:space="preserve">RC </t>
        </is>
      </c>
      <c r="S1357" t="n">
        <v>12</v>
      </c>
      <c r="T1357" t="n">
        <v>12</v>
      </c>
      <c r="U1357" t="inlineStr">
        <is>
          <t>1998-11-14</t>
        </is>
      </c>
      <c r="V1357" t="inlineStr">
        <is>
          <t>1998-11-14</t>
        </is>
      </c>
      <c r="W1357" t="inlineStr">
        <is>
          <t>1994-12-05</t>
        </is>
      </c>
      <c r="X1357" t="inlineStr">
        <is>
          <t>1994-12-05</t>
        </is>
      </c>
      <c r="Y1357" t="n">
        <v>66</v>
      </c>
      <c r="Z1357" t="n">
        <v>57</v>
      </c>
      <c r="AA1357" t="n">
        <v>188</v>
      </c>
      <c r="AB1357" t="n">
        <v>2</v>
      </c>
      <c r="AC1357" t="n">
        <v>2</v>
      </c>
      <c r="AD1357" t="n">
        <v>2</v>
      </c>
      <c r="AE1357" t="n">
        <v>3</v>
      </c>
      <c r="AF1357" t="n">
        <v>1</v>
      </c>
      <c r="AG1357" t="n">
        <v>1</v>
      </c>
      <c r="AH1357" t="n">
        <v>0</v>
      </c>
      <c r="AI1357" t="n">
        <v>1</v>
      </c>
      <c r="AJ1357" t="n">
        <v>1</v>
      </c>
      <c r="AK1357" t="n">
        <v>2</v>
      </c>
      <c r="AL1357" t="n">
        <v>1</v>
      </c>
      <c r="AM1357" t="n">
        <v>1</v>
      </c>
      <c r="AN1357" t="n">
        <v>0</v>
      </c>
      <c r="AO1357" t="n">
        <v>0</v>
      </c>
      <c r="AP1357" t="inlineStr">
        <is>
          <t>No</t>
        </is>
      </c>
      <c r="AQ1357" t="inlineStr">
        <is>
          <t>No</t>
        </is>
      </c>
      <c r="AS1357">
        <f>HYPERLINK("https://creighton-primo.hosted.exlibrisgroup.com/primo-explore/search?tab=default_tab&amp;search_scope=EVERYTHING&amp;vid=01CRU&amp;lang=en_US&amp;offset=0&amp;query=any,contains,991002411899702656","Catalog Record")</f>
        <v/>
      </c>
      <c r="AT1357">
        <f>HYPERLINK("http://www.worldcat.org/oclc/31384807","WorldCat Record")</f>
        <v/>
      </c>
      <c r="AU1357" t="inlineStr">
        <is>
          <t>335659:eng</t>
        </is>
      </c>
      <c r="AV1357" t="inlineStr">
        <is>
          <t>31384807</t>
        </is>
      </c>
      <c r="AW1357" t="inlineStr">
        <is>
          <t>991002411899702656</t>
        </is>
      </c>
      <c r="AX1357" t="inlineStr">
        <is>
          <t>991002411899702656</t>
        </is>
      </c>
      <c r="AY1357" t="inlineStr">
        <is>
          <t>2271771060002656</t>
        </is>
      </c>
      <c r="AZ1357" t="inlineStr">
        <is>
          <t>BOOK</t>
        </is>
      </c>
      <c r="BB1357" t="inlineStr">
        <is>
          <t>9780393312423</t>
        </is>
      </c>
      <c r="BC1357" t="inlineStr">
        <is>
          <t>32285001975175</t>
        </is>
      </c>
      <c r="BD1357" t="inlineStr">
        <is>
          <t>893873486</t>
        </is>
      </c>
    </row>
    <row r="1358">
      <c r="A1358" t="inlineStr">
        <is>
          <t>No</t>
        </is>
      </c>
      <c r="B1358" t="inlineStr">
        <is>
          <t>RC569.5.C55 R414 1989</t>
        </is>
      </c>
      <c r="C1358" t="inlineStr">
        <is>
          <t>0                      RC 0569500C  55                 R  414         1989</t>
        </is>
      </c>
      <c r="D1358" t="inlineStr">
        <is>
          <t>Emotional abuse of the child / Dory Renn.</t>
        </is>
      </c>
      <c r="F1358" t="inlineStr">
        <is>
          <t>No</t>
        </is>
      </c>
      <c r="G1358" t="inlineStr">
        <is>
          <t>1</t>
        </is>
      </c>
      <c r="H1358" t="inlineStr">
        <is>
          <t>No</t>
        </is>
      </c>
      <c r="I1358" t="inlineStr">
        <is>
          <t>No</t>
        </is>
      </c>
      <c r="J1358" t="inlineStr">
        <is>
          <t>0</t>
        </is>
      </c>
      <c r="K1358" t="inlineStr">
        <is>
          <t>Renn, Dory.</t>
        </is>
      </c>
      <c r="L1358" t="inlineStr">
        <is>
          <t>San Diego, CA : Libra Publishers, 1989.</t>
        </is>
      </c>
      <c r="M1358" t="inlineStr">
        <is>
          <t>1989</t>
        </is>
      </c>
      <c r="N1358" t="inlineStr">
        <is>
          <t>1st ed.</t>
        </is>
      </c>
      <c r="O1358" t="inlineStr">
        <is>
          <t>eng</t>
        </is>
      </c>
      <c r="P1358" t="inlineStr">
        <is>
          <t>cau</t>
        </is>
      </c>
      <c r="R1358" t="inlineStr">
        <is>
          <t xml:space="preserve">RC </t>
        </is>
      </c>
      <c r="S1358" t="n">
        <v>15</v>
      </c>
      <c r="T1358" t="n">
        <v>15</v>
      </c>
      <c r="U1358" t="inlineStr">
        <is>
          <t>1998-11-14</t>
        </is>
      </c>
      <c r="V1358" t="inlineStr">
        <is>
          <t>1998-11-14</t>
        </is>
      </c>
      <c r="W1358" t="inlineStr">
        <is>
          <t>1992-03-11</t>
        </is>
      </c>
      <c r="X1358" t="inlineStr">
        <is>
          <t>1992-03-11</t>
        </is>
      </c>
      <c r="Y1358" t="n">
        <v>74</v>
      </c>
      <c r="Z1358" t="n">
        <v>43</v>
      </c>
      <c r="AA1358" t="n">
        <v>43</v>
      </c>
      <c r="AB1358" t="n">
        <v>1</v>
      </c>
      <c r="AC1358" t="n">
        <v>1</v>
      </c>
      <c r="AD1358" t="n">
        <v>0</v>
      </c>
      <c r="AE1358" t="n">
        <v>0</v>
      </c>
      <c r="AF1358" t="n">
        <v>0</v>
      </c>
      <c r="AG1358" t="n">
        <v>0</v>
      </c>
      <c r="AH1358" t="n">
        <v>0</v>
      </c>
      <c r="AI1358" t="n">
        <v>0</v>
      </c>
      <c r="AJ1358" t="n">
        <v>0</v>
      </c>
      <c r="AK1358" t="n">
        <v>0</v>
      </c>
      <c r="AL1358" t="n">
        <v>0</v>
      </c>
      <c r="AM1358" t="n">
        <v>0</v>
      </c>
      <c r="AN1358" t="n">
        <v>0</v>
      </c>
      <c r="AO1358" t="n">
        <v>0</v>
      </c>
      <c r="AP1358" t="inlineStr">
        <is>
          <t>No</t>
        </is>
      </c>
      <c r="AQ1358" t="inlineStr">
        <is>
          <t>No</t>
        </is>
      </c>
      <c r="AS1358">
        <f>HYPERLINK("https://creighton-primo.hosted.exlibrisgroup.com/primo-explore/search?tab=default_tab&amp;search_scope=EVERYTHING&amp;vid=01CRU&amp;lang=en_US&amp;offset=0&amp;query=any,contains,991001625509702656","Catalog Record")</f>
        <v/>
      </c>
      <c r="AT1358">
        <f>HYPERLINK("http://www.worldcat.org/oclc/20850440","WorldCat Record")</f>
        <v/>
      </c>
      <c r="AU1358" t="inlineStr">
        <is>
          <t>21984864:eng</t>
        </is>
      </c>
      <c r="AV1358" t="inlineStr">
        <is>
          <t>20850440</t>
        </is>
      </c>
      <c r="AW1358" t="inlineStr">
        <is>
          <t>991001625509702656</t>
        </is>
      </c>
      <c r="AX1358" t="inlineStr">
        <is>
          <t>991001625509702656</t>
        </is>
      </c>
      <c r="AY1358" t="inlineStr">
        <is>
          <t>2265883160002656</t>
        </is>
      </c>
      <c r="AZ1358" t="inlineStr">
        <is>
          <t>BOOK</t>
        </is>
      </c>
      <c r="BB1358" t="inlineStr">
        <is>
          <t>9780872122161</t>
        </is>
      </c>
      <c r="BC1358" t="inlineStr">
        <is>
          <t>32285000939297</t>
        </is>
      </c>
      <c r="BD1358" t="inlineStr">
        <is>
          <t>893791547</t>
        </is>
      </c>
    </row>
    <row r="1359">
      <c r="A1359" t="inlineStr">
        <is>
          <t>No</t>
        </is>
      </c>
      <c r="B1359" t="inlineStr">
        <is>
          <t>RC569.5.C55 W45 1995</t>
        </is>
      </c>
      <c r="C1359" t="inlineStr">
        <is>
          <t>0                      RC 0569500C  55                 W  45          1995</t>
        </is>
      </c>
      <c r="D1359" t="inlineStr">
        <is>
          <t>Memory and abuse : remembering and healing the effects of trauma / Charles L. Whitfield ; [foreword by Christine Courtois].</t>
        </is>
      </c>
      <c r="F1359" t="inlineStr">
        <is>
          <t>No</t>
        </is>
      </c>
      <c r="G1359" t="inlineStr">
        <is>
          <t>1</t>
        </is>
      </c>
      <c r="H1359" t="inlineStr">
        <is>
          <t>No</t>
        </is>
      </c>
      <c r="I1359" t="inlineStr">
        <is>
          <t>No</t>
        </is>
      </c>
      <c r="J1359" t="inlineStr">
        <is>
          <t>0</t>
        </is>
      </c>
      <c r="K1359" t="inlineStr">
        <is>
          <t>Whitfield, Charles L.</t>
        </is>
      </c>
      <c r="L1359" t="inlineStr">
        <is>
          <t>Deerfield Beach, Fla. : Health Communications, c1995.</t>
        </is>
      </c>
      <c r="M1359" t="inlineStr">
        <is>
          <t>1995</t>
        </is>
      </c>
      <c r="O1359" t="inlineStr">
        <is>
          <t>eng</t>
        </is>
      </c>
      <c r="P1359" t="inlineStr">
        <is>
          <t>flu</t>
        </is>
      </c>
      <c r="R1359" t="inlineStr">
        <is>
          <t xml:space="preserve">RC </t>
        </is>
      </c>
      <c r="S1359" t="n">
        <v>12</v>
      </c>
      <c r="T1359" t="n">
        <v>12</v>
      </c>
      <c r="U1359" t="inlineStr">
        <is>
          <t>1999-02-18</t>
        </is>
      </c>
      <c r="V1359" t="inlineStr">
        <is>
          <t>1999-02-18</t>
        </is>
      </c>
      <c r="W1359" t="inlineStr">
        <is>
          <t>1996-09-26</t>
        </is>
      </c>
      <c r="X1359" t="inlineStr">
        <is>
          <t>1996-09-26</t>
        </is>
      </c>
      <c r="Y1359" t="n">
        <v>202</v>
      </c>
      <c r="Z1359" t="n">
        <v>152</v>
      </c>
      <c r="AA1359" t="n">
        <v>895</v>
      </c>
      <c r="AB1359" t="n">
        <v>2</v>
      </c>
      <c r="AC1359" t="n">
        <v>4</v>
      </c>
      <c r="AD1359" t="n">
        <v>6</v>
      </c>
      <c r="AE1359" t="n">
        <v>12</v>
      </c>
      <c r="AF1359" t="n">
        <v>3</v>
      </c>
      <c r="AG1359" t="n">
        <v>6</v>
      </c>
      <c r="AH1359" t="n">
        <v>0</v>
      </c>
      <c r="AI1359" t="n">
        <v>2</v>
      </c>
      <c r="AJ1359" t="n">
        <v>3</v>
      </c>
      <c r="AK1359" t="n">
        <v>5</v>
      </c>
      <c r="AL1359" t="n">
        <v>0</v>
      </c>
      <c r="AM1359" t="n">
        <v>2</v>
      </c>
      <c r="AN1359" t="n">
        <v>1</v>
      </c>
      <c r="AO1359" t="n">
        <v>1</v>
      </c>
      <c r="AP1359" t="inlineStr">
        <is>
          <t>No</t>
        </is>
      </c>
      <c r="AQ1359" t="inlineStr">
        <is>
          <t>No</t>
        </is>
      </c>
      <c r="AS1359">
        <f>HYPERLINK("https://creighton-primo.hosted.exlibrisgroup.com/primo-explore/search?tab=default_tab&amp;search_scope=EVERYTHING&amp;vid=01CRU&amp;lang=en_US&amp;offset=0&amp;query=any,contains,991002384559702656","Catalog Record")</f>
        <v/>
      </c>
      <c r="AT1359">
        <f>HYPERLINK("http://www.worldcat.org/oclc/30978966","WorldCat Record")</f>
        <v/>
      </c>
      <c r="AU1359" t="inlineStr">
        <is>
          <t>33068176:eng</t>
        </is>
      </c>
      <c r="AV1359" t="inlineStr">
        <is>
          <t>30978966</t>
        </is>
      </c>
      <c r="AW1359" t="inlineStr">
        <is>
          <t>991002384559702656</t>
        </is>
      </c>
      <c r="AX1359" t="inlineStr">
        <is>
          <t>991002384559702656</t>
        </is>
      </c>
      <c r="AY1359" t="inlineStr">
        <is>
          <t>2266624910002656</t>
        </is>
      </c>
      <c r="AZ1359" t="inlineStr">
        <is>
          <t>BOOK</t>
        </is>
      </c>
      <c r="BB1359" t="inlineStr">
        <is>
          <t>9781558743205</t>
        </is>
      </c>
      <c r="BC1359" t="inlineStr">
        <is>
          <t>32285002320421</t>
        </is>
      </c>
      <c r="BD1359" t="inlineStr">
        <is>
          <t>893251147</t>
        </is>
      </c>
    </row>
    <row r="1360">
      <c r="A1360" t="inlineStr">
        <is>
          <t>No</t>
        </is>
      </c>
      <c r="B1360" t="inlineStr">
        <is>
          <t>RC569.5.C55 W64 1991</t>
        </is>
      </c>
      <c r="C1360" t="inlineStr">
        <is>
          <t>0                      RC 0569500C  55                 W  64          1991</t>
        </is>
      </c>
      <c r="D1360" t="inlineStr">
        <is>
          <t>Preventing physical and emotional abuse of children / David A. Wolfe ; editor's note by David H. Barlow.</t>
        </is>
      </c>
      <c r="F1360" t="inlineStr">
        <is>
          <t>No</t>
        </is>
      </c>
      <c r="G1360" t="inlineStr">
        <is>
          <t>1</t>
        </is>
      </c>
      <c r="H1360" t="inlineStr">
        <is>
          <t>No</t>
        </is>
      </c>
      <c r="I1360" t="inlineStr">
        <is>
          <t>No</t>
        </is>
      </c>
      <c r="J1360" t="inlineStr">
        <is>
          <t>0</t>
        </is>
      </c>
      <c r="K1360" t="inlineStr">
        <is>
          <t>Wolfe, David A. (David Allen), 1951-</t>
        </is>
      </c>
      <c r="L1360" t="inlineStr">
        <is>
          <t>New York : Guilford Press, 1991.</t>
        </is>
      </c>
      <c r="M1360" t="inlineStr">
        <is>
          <t>1991</t>
        </is>
      </c>
      <c r="O1360" t="inlineStr">
        <is>
          <t>eng</t>
        </is>
      </c>
      <c r="P1360" t="inlineStr">
        <is>
          <t>nyu</t>
        </is>
      </c>
      <c r="Q1360" t="inlineStr">
        <is>
          <t>Treatment manuals for practitioners</t>
        </is>
      </c>
      <c r="R1360" t="inlineStr">
        <is>
          <t xml:space="preserve">RC </t>
        </is>
      </c>
      <c r="S1360" t="n">
        <v>29</v>
      </c>
      <c r="T1360" t="n">
        <v>29</v>
      </c>
      <c r="U1360" t="inlineStr">
        <is>
          <t>1999-04-25</t>
        </is>
      </c>
      <c r="V1360" t="inlineStr">
        <is>
          <t>1999-04-25</t>
        </is>
      </c>
      <c r="W1360" t="inlineStr">
        <is>
          <t>1992-01-10</t>
        </is>
      </c>
      <c r="X1360" t="inlineStr">
        <is>
          <t>1992-01-10</t>
        </is>
      </c>
      <c r="Y1360" t="n">
        <v>455</v>
      </c>
      <c r="Z1360" t="n">
        <v>366</v>
      </c>
      <c r="AA1360" t="n">
        <v>366</v>
      </c>
      <c r="AB1360" t="n">
        <v>3</v>
      </c>
      <c r="AC1360" t="n">
        <v>3</v>
      </c>
      <c r="AD1360" t="n">
        <v>18</v>
      </c>
      <c r="AE1360" t="n">
        <v>18</v>
      </c>
      <c r="AF1360" t="n">
        <v>7</v>
      </c>
      <c r="AG1360" t="n">
        <v>7</v>
      </c>
      <c r="AH1360" t="n">
        <v>2</v>
      </c>
      <c r="AI1360" t="n">
        <v>2</v>
      </c>
      <c r="AJ1360" t="n">
        <v>10</v>
      </c>
      <c r="AK1360" t="n">
        <v>10</v>
      </c>
      <c r="AL1360" t="n">
        <v>2</v>
      </c>
      <c r="AM1360" t="n">
        <v>2</v>
      </c>
      <c r="AN1360" t="n">
        <v>0</v>
      </c>
      <c r="AO1360" t="n">
        <v>0</v>
      </c>
      <c r="AP1360" t="inlineStr">
        <is>
          <t>No</t>
        </is>
      </c>
      <c r="AQ1360" t="inlineStr">
        <is>
          <t>No</t>
        </is>
      </c>
      <c r="AS1360">
        <f>HYPERLINK("https://creighton-primo.hosted.exlibrisgroup.com/primo-explore/search?tab=default_tab&amp;search_scope=EVERYTHING&amp;vid=01CRU&amp;lang=en_US&amp;offset=0&amp;query=any,contains,991001904519702656","Catalog Record")</f>
        <v/>
      </c>
      <c r="AT1360">
        <f>HYPERLINK("http://www.worldcat.org/oclc/24066523","WorldCat Record")</f>
        <v/>
      </c>
      <c r="AU1360" t="inlineStr">
        <is>
          <t>143825484:eng</t>
        </is>
      </c>
      <c r="AV1360" t="inlineStr">
        <is>
          <t>24066523</t>
        </is>
      </c>
      <c r="AW1360" t="inlineStr">
        <is>
          <t>991001904519702656</t>
        </is>
      </c>
      <c r="AX1360" t="inlineStr">
        <is>
          <t>991001904519702656</t>
        </is>
      </c>
      <c r="AY1360" t="inlineStr">
        <is>
          <t>2261920330002656</t>
        </is>
      </c>
      <c r="AZ1360" t="inlineStr">
        <is>
          <t>BOOK</t>
        </is>
      </c>
      <c r="BB1360" t="inlineStr">
        <is>
          <t>9780898622195</t>
        </is>
      </c>
      <c r="BC1360" t="inlineStr">
        <is>
          <t>32285000863604</t>
        </is>
      </c>
      <c r="BD1360" t="inlineStr">
        <is>
          <t>893346878</t>
        </is>
      </c>
    </row>
    <row r="1361">
      <c r="A1361" t="inlineStr">
        <is>
          <t>No</t>
        </is>
      </c>
      <c r="B1361" t="inlineStr">
        <is>
          <t>RC569.5.C63 I78 1999</t>
        </is>
      </c>
      <c r="C1361" t="inlineStr">
        <is>
          <t>0                      RC 0569500C  63                 I  78          1999</t>
        </is>
      </c>
      <c r="D1361" t="inlineStr">
        <is>
          <t>Codependent forevermore : the invention of self in a twelve step group / Leslie Irvine.</t>
        </is>
      </c>
      <c r="F1361" t="inlineStr">
        <is>
          <t>No</t>
        </is>
      </c>
      <c r="G1361" t="inlineStr">
        <is>
          <t>1</t>
        </is>
      </c>
      <c r="H1361" t="inlineStr">
        <is>
          <t>No</t>
        </is>
      </c>
      <c r="I1361" t="inlineStr">
        <is>
          <t>No</t>
        </is>
      </c>
      <c r="J1361" t="inlineStr">
        <is>
          <t>0</t>
        </is>
      </c>
      <c r="K1361" t="inlineStr">
        <is>
          <t>Irvine, Leslie.</t>
        </is>
      </c>
      <c r="L1361" t="inlineStr">
        <is>
          <t>Chicago, Ill. : University of Chicago Press, c1999.</t>
        </is>
      </c>
      <c r="M1361" t="inlineStr">
        <is>
          <t>1999</t>
        </is>
      </c>
      <c r="O1361" t="inlineStr">
        <is>
          <t>eng</t>
        </is>
      </c>
      <c r="P1361" t="inlineStr">
        <is>
          <t>ilu</t>
        </is>
      </c>
      <c r="R1361" t="inlineStr">
        <is>
          <t xml:space="preserve">RC </t>
        </is>
      </c>
      <c r="S1361" t="n">
        <v>3</v>
      </c>
      <c r="T1361" t="n">
        <v>3</v>
      </c>
      <c r="U1361" t="inlineStr">
        <is>
          <t>2007-04-16</t>
        </is>
      </c>
      <c r="V1361" t="inlineStr">
        <is>
          <t>2007-04-16</t>
        </is>
      </c>
      <c r="W1361" t="inlineStr">
        <is>
          <t>2000-09-11</t>
        </is>
      </c>
      <c r="X1361" t="inlineStr">
        <is>
          <t>2000-09-11</t>
        </is>
      </c>
      <c r="Y1361" t="n">
        <v>512</v>
      </c>
      <c r="Z1361" t="n">
        <v>462</v>
      </c>
      <c r="AA1361" t="n">
        <v>462</v>
      </c>
      <c r="AB1361" t="n">
        <v>5</v>
      </c>
      <c r="AC1361" t="n">
        <v>5</v>
      </c>
      <c r="AD1361" t="n">
        <v>20</v>
      </c>
      <c r="AE1361" t="n">
        <v>20</v>
      </c>
      <c r="AF1361" t="n">
        <v>8</v>
      </c>
      <c r="AG1361" t="n">
        <v>8</v>
      </c>
      <c r="AH1361" t="n">
        <v>5</v>
      </c>
      <c r="AI1361" t="n">
        <v>5</v>
      </c>
      <c r="AJ1361" t="n">
        <v>12</v>
      </c>
      <c r="AK1361" t="n">
        <v>12</v>
      </c>
      <c r="AL1361" t="n">
        <v>1</v>
      </c>
      <c r="AM1361" t="n">
        <v>1</v>
      </c>
      <c r="AN1361" t="n">
        <v>0</v>
      </c>
      <c r="AO1361" t="n">
        <v>0</v>
      </c>
      <c r="AP1361" t="inlineStr">
        <is>
          <t>No</t>
        </is>
      </c>
      <c r="AQ1361" t="inlineStr">
        <is>
          <t>No</t>
        </is>
      </c>
      <c r="AS1361">
        <f>HYPERLINK("https://creighton-primo.hosted.exlibrisgroup.com/primo-explore/search?tab=default_tab&amp;search_scope=EVERYTHING&amp;vid=01CRU&amp;lang=en_US&amp;offset=0&amp;query=any,contains,991003240299702656","Catalog Record")</f>
        <v/>
      </c>
      <c r="AT1361">
        <f>HYPERLINK("http://www.worldcat.org/oclc/40654708","WorldCat Record")</f>
        <v/>
      </c>
      <c r="AU1361" t="inlineStr">
        <is>
          <t>1875404176:eng</t>
        </is>
      </c>
      <c r="AV1361" t="inlineStr">
        <is>
          <t>40654708</t>
        </is>
      </c>
      <c r="AW1361" t="inlineStr">
        <is>
          <t>991003240299702656</t>
        </is>
      </c>
      <c r="AX1361" t="inlineStr">
        <is>
          <t>991003240299702656</t>
        </is>
      </c>
      <c r="AY1361" t="inlineStr">
        <is>
          <t>2262143330002656</t>
        </is>
      </c>
      <c r="AZ1361" t="inlineStr">
        <is>
          <t>BOOK</t>
        </is>
      </c>
      <c r="BB1361" t="inlineStr">
        <is>
          <t>9780226384719</t>
        </is>
      </c>
      <c r="BC1361" t="inlineStr">
        <is>
          <t>32285003760781</t>
        </is>
      </c>
      <c r="BD1361" t="inlineStr">
        <is>
          <t>893887275</t>
        </is>
      </c>
    </row>
    <row r="1362">
      <c r="A1362" t="inlineStr">
        <is>
          <t>No</t>
        </is>
      </c>
      <c r="B1362" t="inlineStr">
        <is>
          <t>RC569.5.C63 M37 1998</t>
        </is>
      </c>
      <c r="C1362" t="inlineStr">
        <is>
          <t>0                      RC 0569500C  63                 M  37          1998</t>
        </is>
      </c>
      <c r="D1362" t="inlineStr">
        <is>
          <t>Superman doesn't live here anymore : drugs are a lie, Jesus is the truth / by Scott McPhillips.</t>
        </is>
      </c>
      <c r="F1362" t="inlineStr">
        <is>
          <t>No</t>
        </is>
      </c>
      <c r="G1362" t="inlineStr">
        <is>
          <t>1</t>
        </is>
      </c>
      <c r="H1362" t="inlineStr">
        <is>
          <t>No</t>
        </is>
      </c>
      <c r="I1362" t="inlineStr">
        <is>
          <t>No</t>
        </is>
      </c>
      <c r="J1362" t="inlineStr">
        <is>
          <t>0</t>
        </is>
      </c>
      <c r="K1362" t="inlineStr">
        <is>
          <t>McPhillips, Scott, 1968-</t>
        </is>
      </c>
      <c r="L1362" t="inlineStr">
        <is>
          <t>Honey Creek, Iowa : Mac on the Attack for Jesus, c1998.</t>
        </is>
      </c>
      <c r="M1362" t="inlineStr">
        <is>
          <t>1996</t>
        </is>
      </c>
      <c r="O1362" t="inlineStr">
        <is>
          <t>eng</t>
        </is>
      </c>
      <c r="P1362" t="inlineStr">
        <is>
          <t>iau</t>
        </is>
      </c>
      <c r="R1362" t="inlineStr">
        <is>
          <t xml:space="preserve">RC </t>
        </is>
      </c>
      <c r="S1362" t="n">
        <v>2</v>
      </c>
      <c r="T1362" t="n">
        <v>2</v>
      </c>
      <c r="U1362" t="inlineStr">
        <is>
          <t>2007-09-18</t>
        </is>
      </c>
      <c r="V1362" t="inlineStr">
        <is>
          <t>2007-09-18</t>
        </is>
      </c>
      <c r="W1362" t="inlineStr">
        <is>
          <t>2002-10-28</t>
        </is>
      </c>
      <c r="X1362" t="inlineStr">
        <is>
          <t>2002-10-28</t>
        </is>
      </c>
      <c r="Y1362" t="n">
        <v>4</v>
      </c>
      <c r="Z1362" t="n">
        <v>4</v>
      </c>
      <c r="AA1362" t="n">
        <v>6</v>
      </c>
      <c r="AB1362" t="n">
        <v>1</v>
      </c>
      <c r="AC1362" t="n">
        <v>1</v>
      </c>
      <c r="AD1362" t="n">
        <v>0</v>
      </c>
      <c r="AE1362" t="n">
        <v>0</v>
      </c>
      <c r="AF1362" t="n">
        <v>0</v>
      </c>
      <c r="AG1362" t="n">
        <v>0</v>
      </c>
      <c r="AH1362" t="n">
        <v>0</v>
      </c>
      <c r="AI1362" t="n">
        <v>0</v>
      </c>
      <c r="AJ1362" t="n">
        <v>0</v>
      </c>
      <c r="AK1362" t="n">
        <v>0</v>
      </c>
      <c r="AL1362" t="n">
        <v>0</v>
      </c>
      <c r="AM1362" t="n">
        <v>0</v>
      </c>
      <c r="AN1362" t="n">
        <v>0</v>
      </c>
      <c r="AO1362" t="n">
        <v>0</v>
      </c>
      <c r="AP1362" t="inlineStr">
        <is>
          <t>No</t>
        </is>
      </c>
      <c r="AQ1362" t="inlineStr">
        <is>
          <t>No</t>
        </is>
      </c>
      <c r="AS1362">
        <f>HYPERLINK("https://creighton-primo.hosted.exlibrisgroup.com/primo-explore/search?tab=default_tab&amp;search_scope=EVERYTHING&amp;vid=01CRU&amp;lang=en_US&amp;offset=0&amp;query=any,contains,991003927409702656","Catalog Record")</f>
        <v/>
      </c>
      <c r="AT1362">
        <f>HYPERLINK("http://www.worldcat.org/oclc/41237242","WorldCat Record")</f>
        <v/>
      </c>
      <c r="AU1362" t="inlineStr">
        <is>
          <t>933213437:eng</t>
        </is>
      </c>
      <c r="AV1362" t="inlineStr">
        <is>
          <t>41237242</t>
        </is>
      </c>
      <c r="AW1362" t="inlineStr">
        <is>
          <t>991003927409702656</t>
        </is>
      </c>
      <c r="AX1362" t="inlineStr">
        <is>
          <t>991003927409702656</t>
        </is>
      </c>
      <c r="AY1362" t="inlineStr">
        <is>
          <t>2258369250002656</t>
        </is>
      </c>
      <c r="AZ1362" t="inlineStr">
        <is>
          <t>BOOK</t>
        </is>
      </c>
      <c r="BB1362" t="inlineStr">
        <is>
          <t>9780966220544</t>
        </is>
      </c>
      <c r="BC1362" t="inlineStr">
        <is>
          <t>32285004643556</t>
        </is>
      </c>
      <c r="BD1362" t="inlineStr">
        <is>
          <t>893705790</t>
        </is>
      </c>
    </row>
    <row r="1363">
      <c r="A1363" t="inlineStr">
        <is>
          <t>No</t>
        </is>
      </c>
      <c r="B1363" t="inlineStr">
        <is>
          <t>RC569.5.C63 S33 1996</t>
        </is>
      </c>
      <c r="C1363" t="inlineStr">
        <is>
          <t>0                      RC 0569500C  63                 S  33          1996</t>
        </is>
      </c>
      <c r="D1363" t="inlineStr">
        <is>
          <t>Co-dependence : misunderstood-mistreated / Anne Wilson Schaef.</t>
        </is>
      </c>
      <c r="F1363" t="inlineStr">
        <is>
          <t>No</t>
        </is>
      </c>
      <c r="G1363" t="inlineStr">
        <is>
          <t>1</t>
        </is>
      </c>
      <c r="H1363" t="inlineStr">
        <is>
          <t>No</t>
        </is>
      </c>
      <c r="I1363" t="inlineStr">
        <is>
          <t>No</t>
        </is>
      </c>
      <c r="J1363" t="inlineStr">
        <is>
          <t>0</t>
        </is>
      </c>
      <c r="K1363" t="inlineStr">
        <is>
          <t>Schaef, Anne Wilson.</t>
        </is>
      </c>
      <c r="L1363" t="inlineStr">
        <is>
          <t>[San Francisco, Calif.] : HarperSanFrancisco, [1996?], c1986.</t>
        </is>
      </c>
      <c r="M1363" t="inlineStr">
        <is>
          <t>1996</t>
        </is>
      </c>
      <c r="N1363" t="inlineStr">
        <is>
          <t>[New ed.].</t>
        </is>
      </c>
      <c r="O1363" t="inlineStr">
        <is>
          <t>eng</t>
        </is>
      </c>
      <c r="P1363" t="inlineStr">
        <is>
          <t>cau</t>
        </is>
      </c>
      <c r="R1363" t="inlineStr">
        <is>
          <t xml:space="preserve">RC </t>
        </is>
      </c>
      <c r="S1363" t="n">
        <v>3</v>
      </c>
      <c r="T1363" t="n">
        <v>3</v>
      </c>
      <c r="U1363" t="inlineStr">
        <is>
          <t>2004-05-03</t>
        </is>
      </c>
      <c r="V1363" t="inlineStr">
        <is>
          <t>2004-05-03</t>
        </is>
      </c>
      <c r="W1363" t="inlineStr">
        <is>
          <t>2002-11-19</t>
        </is>
      </c>
      <c r="X1363" t="inlineStr">
        <is>
          <t>2002-11-19</t>
        </is>
      </c>
      <c r="Y1363" t="n">
        <v>260</v>
      </c>
      <c r="Z1363" t="n">
        <v>240</v>
      </c>
      <c r="AA1363" t="n">
        <v>942</v>
      </c>
      <c r="AB1363" t="n">
        <v>4</v>
      </c>
      <c r="AC1363" t="n">
        <v>11</v>
      </c>
      <c r="AD1363" t="n">
        <v>8</v>
      </c>
      <c r="AE1363" t="n">
        <v>25</v>
      </c>
      <c r="AF1363" t="n">
        <v>3</v>
      </c>
      <c r="AG1363" t="n">
        <v>8</v>
      </c>
      <c r="AH1363" t="n">
        <v>1</v>
      </c>
      <c r="AI1363" t="n">
        <v>5</v>
      </c>
      <c r="AJ1363" t="n">
        <v>5</v>
      </c>
      <c r="AK1363" t="n">
        <v>14</v>
      </c>
      <c r="AL1363" t="n">
        <v>2</v>
      </c>
      <c r="AM1363" t="n">
        <v>4</v>
      </c>
      <c r="AN1363" t="n">
        <v>0</v>
      </c>
      <c r="AO1363" t="n">
        <v>0</v>
      </c>
      <c r="AP1363" t="inlineStr">
        <is>
          <t>No</t>
        </is>
      </c>
      <c r="AQ1363" t="inlineStr">
        <is>
          <t>No</t>
        </is>
      </c>
      <c r="AS1363">
        <f>HYPERLINK("https://creighton-primo.hosted.exlibrisgroup.com/primo-explore/search?tab=default_tab&amp;search_scope=EVERYTHING&amp;vid=01CRU&amp;lang=en_US&amp;offset=0&amp;query=any,contains,991003931469702656","Catalog Record")</f>
        <v/>
      </c>
      <c r="AT1363">
        <f>HYPERLINK("http://www.worldcat.org/oclc/23383235","WorldCat Record")</f>
        <v/>
      </c>
      <c r="AU1363" t="inlineStr">
        <is>
          <t>1151342852:eng</t>
        </is>
      </c>
      <c r="AV1363" t="inlineStr">
        <is>
          <t>23383235</t>
        </is>
      </c>
      <c r="AW1363" t="inlineStr">
        <is>
          <t>991003931469702656</t>
        </is>
      </c>
      <c r="AX1363" t="inlineStr">
        <is>
          <t>991003931469702656</t>
        </is>
      </c>
      <c r="AY1363" t="inlineStr">
        <is>
          <t>2268341570002656</t>
        </is>
      </c>
      <c r="AZ1363" t="inlineStr">
        <is>
          <t>BOOK</t>
        </is>
      </c>
      <c r="BB1363" t="inlineStr">
        <is>
          <t>9780062507693</t>
        </is>
      </c>
      <c r="BC1363" t="inlineStr">
        <is>
          <t>32285004664644</t>
        </is>
      </c>
      <c r="BD1363" t="inlineStr">
        <is>
          <t>893611702</t>
        </is>
      </c>
    </row>
    <row r="1364">
      <c r="A1364" t="inlineStr">
        <is>
          <t>No</t>
        </is>
      </c>
      <c r="B1364" t="inlineStr">
        <is>
          <t>RC569.5.D47 W55 1998</t>
        </is>
      </c>
      <c r="C1364" t="inlineStr">
        <is>
          <t>0                      RC 0569500D  47                 W  55          1998</t>
        </is>
      </c>
      <c r="D1364" t="inlineStr">
        <is>
          <t>Wild hunger : the primal roots of modern addiction / Bruce Wilshire.</t>
        </is>
      </c>
      <c r="F1364" t="inlineStr">
        <is>
          <t>No</t>
        </is>
      </c>
      <c r="G1364" t="inlineStr">
        <is>
          <t>1</t>
        </is>
      </c>
      <c r="H1364" t="inlineStr">
        <is>
          <t>No</t>
        </is>
      </c>
      <c r="I1364" t="inlineStr">
        <is>
          <t>No</t>
        </is>
      </c>
      <c r="J1364" t="inlineStr">
        <is>
          <t>0</t>
        </is>
      </c>
      <c r="K1364" t="inlineStr">
        <is>
          <t>Wilshire, Bruce W., 1932-</t>
        </is>
      </c>
      <c r="L1364" t="inlineStr">
        <is>
          <t>Lanham : Rowman &amp; Littlefield Publishers, c1998.</t>
        </is>
      </c>
      <c r="M1364" t="inlineStr">
        <is>
          <t>1998</t>
        </is>
      </c>
      <c r="O1364" t="inlineStr">
        <is>
          <t>eng</t>
        </is>
      </c>
      <c r="P1364" t="inlineStr">
        <is>
          <t>mdu</t>
        </is>
      </c>
      <c r="R1364" t="inlineStr">
        <is>
          <t xml:space="preserve">RC </t>
        </is>
      </c>
      <c r="S1364" t="n">
        <v>2</v>
      </c>
      <c r="T1364" t="n">
        <v>2</v>
      </c>
      <c r="U1364" t="inlineStr">
        <is>
          <t>2003-02-25</t>
        </is>
      </c>
      <c r="V1364" t="inlineStr">
        <is>
          <t>2003-02-25</t>
        </is>
      </c>
      <c r="W1364" t="inlineStr">
        <is>
          <t>1999-05-05</t>
        </is>
      </c>
      <c r="X1364" t="inlineStr">
        <is>
          <t>1999-05-05</t>
        </is>
      </c>
      <c r="Y1364" t="n">
        <v>395</v>
      </c>
      <c r="Z1364" t="n">
        <v>350</v>
      </c>
      <c r="AA1364" t="n">
        <v>380</v>
      </c>
      <c r="AB1364" t="n">
        <v>1</v>
      </c>
      <c r="AC1364" t="n">
        <v>1</v>
      </c>
      <c r="AD1364" t="n">
        <v>18</v>
      </c>
      <c r="AE1364" t="n">
        <v>19</v>
      </c>
      <c r="AF1364" t="n">
        <v>6</v>
      </c>
      <c r="AG1364" t="n">
        <v>7</v>
      </c>
      <c r="AH1364" t="n">
        <v>4</v>
      </c>
      <c r="AI1364" t="n">
        <v>5</v>
      </c>
      <c r="AJ1364" t="n">
        <v>12</v>
      </c>
      <c r="AK1364" t="n">
        <v>12</v>
      </c>
      <c r="AL1364" t="n">
        <v>0</v>
      </c>
      <c r="AM1364" t="n">
        <v>0</v>
      </c>
      <c r="AN1364" t="n">
        <v>0</v>
      </c>
      <c r="AO1364" t="n">
        <v>0</v>
      </c>
      <c r="AP1364" t="inlineStr">
        <is>
          <t>No</t>
        </is>
      </c>
      <c r="AQ1364" t="inlineStr">
        <is>
          <t>Yes</t>
        </is>
      </c>
      <c r="AR1364">
        <f>HYPERLINK("http://catalog.hathitrust.org/Record/003982496","HathiTrust Record")</f>
        <v/>
      </c>
      <c r="AS1364">
        <f>HYPERLINK("https://creighton-primo.hosted.exlibrisgroup.com/primo-explore/search?tab=default_tab&amp;search_scope=EVERYTHING&amp;vid=01CRU&amp;lang=en_US&amp;offset=0&amp;query=any,contains,991002916149702656","Catalog Record")</f>
        <v/>
      </c>
      <c r="AT1364">
        <f>HYPERLINK("http://www.worldcat.org/oclc/38557217","WorldCat Record")</f>
        <v/>
      </c>
      <c r="AU1364" t="inlineStr">
        <is>
          <t>36922218:eng</t>
        </is>
      </c>
      <c r="AV1364" t="inlineStr">
        <is>
          <t>38557217</t>
        </is>
      </c>
      <c r="AW1364" t="inlineStr">
        <is>
          <t>991002916149702656</t>
        </is>
      </c>
      <c r="AX1364" t="inlineStr">
        <is>
          <t>991002916149702656</t>
        </is>
      </c>
      <c r="AY1364" t="inlineStr">
        <is>
          <t>2262266860002656</t>
        </is>
      </c>
      <c r="AZ1364" t="inlineStr">
        <is>
          <t>BOOK</t>
        </is>
      </c>
      <c r="BB1364" t="inlineStr">
        <is>
          <t>9780847689675</t>
        </is>
      </c>
      <c r="BC1364" t="inlineStr">
        <is>
          <t>32285003559019</t>
        </is>
      </c>
      <c r="BD1364" t="inlineStr">
        <is>
          <t>893886900</t>
        </is>
      </c>
    </row>
    <row r="1365">
      <c r="A1365" t="inlineStr">
        <is>
          <t>No</t>
        </is>
      </c>
      <c r="B1365" t="inlineStr">
        <is>
          <t>RC569.5.F27 F45 1994</t>
        </is>
      </c>
      <c r="C1365" t="inlineStr">
        <is>
          <t>0                      RC 0569500F  27                 F  45          1994</t>
        </is>
      </c>
      <c r="D1365" t="inlineStr">
        <is>
          <t>Patient or pretender : inside the strange world of factitious disorders / Marc D. Feldman, Charles V. Ford, with Toni Reinhold.</t>
        </is>
      </c>
      <c r="F1365" t="inlineStr">
        <is>
          <t>No</t>
        </is>
      </c>
      <c r="G1365" t="inlineStr">
        <is>
          <t>1</t>
        </is>
      </c>
      <c r="H1365" t="inlineStr">
        <is>
          <t>No</t>
        </is>
      </c>
      <c r="I1365" t="inlineStr">
        <is>
          <t>No</t>
        </is>
      </c>
      <c r="J1365" t="inlineStr">
        <is>
          <t>0</t>
        </is>
      </c>
      <c r="K1365" t="inlineStr">
        <is>
          <t>Feldman, Marc D., 1958-</t>
        </is>
      </c>
      <c r="L1365" t="inlineStr">
        <is>
          <t>New York : J. Wiley, c1994.</t>
        </is>
      </c>
      <c r="M1365" t="inlineStr">
        <is>
          <t>1994</t>
        </is>
      </c>
      <c r="O1365" t="inlineStr">
        <is>
          <t>eng</t>
        </is>
      </c>
      <c r="P1365" t="inlineStr">
        <is>
          <t>nyu</t>
        </is>
      </c>
      <c r="R1365" t="inlineStr">
        <is>
          <t xml:space="preserve">RC </t>
        </is>
      </c>
      <c r="S1365" t="n">
        <v>7</v>
      </c>
      <c r="T1365" t="n">
        <v>7</v>
      </c>
      <c r="U1365" t="inlineStr">
        <is>
          <t>2004-02-19</t>
        </is>
      </c>
      <c r="V1365" t="inlineStr">
        <is>
          <t>2004-02-19</t>
        </is>
      </c>
      <c r="W1365" t="inlineStr">
        <is>
          <t>1993-12-06</t>
        </is>
      </c>
      <c r="X1365" t="inlineStr">
        <is>
          <t>1993-12-06</t>
        </is>
      </c>
      <c r="Y1365" t="n">
        <v>696</v>
      </c>
      <c r="Z1365" t="n">
        <v>572</v>
      </c>
      <c r="AA1365" t="n">
        <v>579</v>
      </c>
      <c r="AB1365" t="n">
        <v>7</v>
      </c>
      <c r="AC1365" t="n">
        <v>7</v>
      </c>
      <c r="AD1365" t="n">
        <v>17</v>
      </c>
      <c r="AE1365" t="n">
        <v>17</v>
      </c>
      <c r="AF1365" t="n">
        <v>5</v>
      </c>
      <c r="AG1365" t="n">
        <v>5</v>
      </c>
      <c r="AH1365" t="n">
        <v>3</v>
      </c>
      <c r="AI1365" t="n">
        <v>3</v>
      </c>
      <c r="AJ1365" t="n">
        <v>10</v>
      </c>
      <c r="AK1365" t="n">
        <v>10</v>
      </c>
      <c r="AL1365" t="n">
        <v>5</v>
      </c>
      <c r="AM1365" t="n">
        <v>5</v>
      </c>
      <c r="AN1365" t="n">
        <v>0</v>
      </c>
      <c r="AO1365" t="n">
        <v>0</v>
      </c>
      <c r="AP1365" t="inlineStr">
        <is>
          <t>No</t>
        </is>
      </c>
      <c r="AQ1365" t="inlineStr">
        <is>
          <t>Yes</t>
        </is>
      </c>
      <c r="AR1365">
        <f>HYPERLINK("http://catalog.hathitrust.org/Record/002870958","HathiTrust Record")</f>
        <v/>
      </c>
      <c r="AS1365">
        <f>HYPERLINK("https://creighton-primo.hosted.exlibrisgroup.com/primo-explore/search?tab=default_tab&amp;search_scope=EVERYTHING&amp;vid=01CRU&amp;lang=en_US&amp;offset=0&amp;query=any,contains,991002176029702656","Catalog Record")</f>
        <v/>
      </c>
      <c r="AT1365">
        <f>HYPERLINK("http://www.worldcat.org/oclc/28018997","WorldCat Record")</f>
        <v/>
      </c>
      <c r="AU1365" t="inlineStr">
        <is>
          <t>47205520:eng</t>
        </is>
      </c>
      <c r="AV1365" t="inlineStr">
        <is>
          <t>28018997</t>
        </is>
      </c>
      <c r="AW1365" t="inlineStr">
        <is>
          <t>991002176029702656</t>
        </is>
      </c>
      <c r="AX1365" t="inlineStr">
        <is>
          <t>991002176029702656</t>
        </is>
      </c>
      <c r="AY1365" t="inlineStr">
        <is>
          <t>2255004640002656</t>
        </is>
      </c>
      <c r="AZ1365" t="inlineStr">
        <is>
          <t>BOOK</t>
        </is>
      </c>
      <c r="BB1365" t="inlineStr">
        <is>
          <t>9780471580805</t>
        </is>
      </c>
      <c r="BC1365" t="inlineStr">
        <is>
          <t>32285001814028</t>
        </is>
      </c>
      <c r="BD1365" t="inlineStr">
        <is>
          <t>893809338</t>
        </is>
      </c>
    </row>
    <row r="1366">
      <c r="A1366" t="inlineStr">
        <is>
          <t>No</t>
        </is>
      </c>
      <c r="B1366" t="inlineStr">
        <is>
          <t>RC569.5.F3 A28 1988</t>
        </is>
      </c>
      <c r="C1366" t="inlineStr">
        <is>
          <t>0                      RC 0569500F  3                  A  28          1988</t>
        </is>
      </c>
      <c r="D1366" t="inlineStr">
        <is>
          <t>Abuse and victimization across the life span / edited by Martha B. Straus.</t>
        </is>
      </c>
      <c r="F1366" t="inlineStr">
        <is>
          <t>No</t>
        </is>
      </c>
      <c r="G1366" t="inlineStr">
        <is>
          <t>1</t>
        </is>
      </c>
      <c r="H1366" t="inlineStr">
        <is>
          <t>No</t>
        </is>
      </c>
      <c r="I1366" t="inlineStr">
        <is>
          <t>No</t>
        </is>
      </c>
      <c r="J1366" t="inlineStr">
        <is>
          <t>0</t>
        </is>
      </c>
      <c r="L1366" t="inlineStr">
        <is>
          <t>Baltimore : Johns Hopkins University Press, c1988.</t>
        </is>
      </c>
      <c r="M1366" t="inlineStr">
        <is>
          <t>1988</t>
        </is>
      </c>
      <c r="O1366" t="inlineStr">
        <is>
          <t>eng</t>
        </is>
      </c>
      <c r="P1366" t="inlineStr">
        <is>
          <t>mdu</t>
        </is>
      </c>
      <c r="Q1366" t="inlineStr">
        <is>
          <t>The Johns Hopkins series in contemporary medicine and public health</t>
        </is>
      </c>
      <c r="R1366" t="inlineStr">
        <is>
          <t xml:space="preserve">RC </t>
        </is>
      </c>
      <c r="S1366" t="n">
        <v>16</v>
      </c>
      <c r="T1366" t="n">
        <v>16</v>
      </c>
      <c r="U1366" t="inlineStr">
        <is>
          <t>1999-06-24</t>
        </is>
      </c>
      <c r="V1366" t="inlineStr">
        <is>
          <t>1999-06-24</t>
        </is>
      </c>
      <c r="W1366" t="inlineStr">
        <is>
          <t>1990-07-18</t>
        </is>
      </c>
      <c r="X1366" t="inlineStr">
        <is>
          <t>1990-07-18</t>
        </is>
      </c>
      <c r="Y1366" t="n">
        <v>765</v>
      </c>
      <c r="Z1366" t="n">
        <v>667</v>
      </c>
      <c r="AA1366" t="n">
        <v>676</v>
      </c>
      <c r="AB1366" t="n">
        <v>7</v>
      </c>
      <c r="AC1366" t="n">
        <v>7</v>
      </c>
      <c r="AD1366" t="n">
        <v>33</v>
      </c>
      <c r="AE1366" t="n">
        <v>33</v>
      </c>
      <c r="AF1366" t="n">
        <v>11</v>
      </c>
      <c r="AG1366" t="n">
        <v>11</v>
      </c>
      <c r="AH1366" t="n">
        <v>7</v>
      </c>
      <c r="AI1366" t="n">
        <v>7</v>
      </c>
      <c r="AJ1366" t="n">
        <v>17</v>
      </c>
      <c r="AK1366" t="n">
        <v>17</v>
      </c>
      <c r="AL1366" t="n">
        <v>6</v>
      </c>
      <c r="AM1366" t="n">
        <v>6</v>
      </c>
      <c r="AN1366" t="n">
        <v>0</v>
      </c>
      <c r="AO1366" t="n">
        <v>0</v>
      </c>
      <c r="AP1366" t="inlineStr">
        <is>
          <t>No</t>
        </is>
      </c>
      <c r="AQ1366" t="inlineStr">
        <is>
          <t>Yes</t>
        </is>
      </c>
      <c r="AR1366">
        <f>HYPERLINK("http://catalog.hathitrust.org/Record/000922007","HathiTrust Record")</f>
        <v/>
      </c>
      <c r="AS1366">
        <f>HYPERLINK("https://creighton-primo.hosted.exlibrisgroup.com/primo-explore/search?tab=default_tab&amp;search_scope=EVERYTHING&amp;vid=01CRU&amp;lang=en_US&amp;offset=0&amp;query=any,contains,991001225779702656","Catalog Record")</f>
        <v/>
      </c>
      <c r="AT1366">
        <f>HYPERLINK("http://www.worldcat.org/oclc/17507178","WorldCat Record")</f>
        <v/>
      </c>
      <c r="AU1366" t="inlineStr">
        <is>
          <t>55063701:eng</t>
        </is>
      </c>
      <c r="AV1366" t="inlineStr">
        <is>
          <t>17507178</t>
        </is>
      </c>
      <c r="AW1366" t="inlineStr">
        <is>
          <t>991001225779702656</t>
        </is>
      </c>
      <c r="AX1366" t="inlineStr">
        <is>
          <t>991001225779702656</t>
        </is>
      </c>
      <c r="AY1366" t="inlineStr">
        <is>
          <t>2271059180002656</t>
        </is>
      </c>
      <c r="AZ1366" t="inlineStr">
        <is>
          <t>BOOK</t>
        </is>
      </c>
      <c r="BB1366" t="inlineStr">
        <is>
          <t>9780801836367</t>
        </is>
      </c>
      <c r="BC1366" t="inlineStr">
        <is>
          <t>32285000239144</t>
        </is>
      </c>
      <c r="BD1366" t="inlineStr">
        <is>
          <t>893414076</t>
        </is>
      </c>
    </row>
    <row r="1367">
      <c r="A1367" t="inlineStr">
        <is>
          <t>No</t>
        </is>
      </c>
      <c r="B1367" t="inlineStr">
        <is>
          <t>RC569.5.F3 B38 1993</t>
        </is>
      </c>
      <c r="C1367" t="inlineStr">
        <is>
          <t>0                      RC 0569500F  3                  B  38          1993</t>
        </is>
      </c>
      <c r="D1367" t="inlineStr">
        <is>
          <t>Battering and family therapy : a feminist perspective / Marsali Hansen &amp; Michèle Harway, editors.</t>
        </is>
      </c>
      <c r="F1367" t="inlineStr">
        <is>
          <t>No</t>
        </is>
      </c>
      <c r="G1367" t="inlineStr">
        <is>
          <t>1</t>
        </is>
      </c>
      <c r="H1367" t="inlineStr">
        <is>
          <t>No</t>
        </is>
      </c>
      <c r="I1367" t="inlineStr">
        <is>
          <t>No</t>
        </is>
      </c>
      <c r="J1367" t="inlineStr">
        <is>
          <t>0</t>
        </is>
      </c>
      <c r="L1367" t="inlineStr">
        <is>
          <t>Newbury Park : Sage Publications, c1993.</t>
        </is>
      </c>
      <c r="M1367" t="inlineStr">
        <is>
          <t>1993</t>
        </is>
      </c>
      <c r="O1367" t="inlineStr">
        <is>
          <t>eng</t>
        </is>
      </c>
      <c r="P1367" t="inlineStr">
        <is>
          <t>cau</t>
        </is>
      </c>
      <c r="R1367" t="inlineStr">
        <is>
          <t xml:space="preserve">RC </t>
        </is>
      </c>
      <c r="S1367" t="n">
        <v>8</v>
      </c>
      <c r="T1367" t="n">
        <v>8</v>
      </c>
      <c r="U1367" t="inlineStr">
        <is>
          <t>2001-09-21</t>
        </is>
      </c>
      <c r="V1367" t="inlineStr">
        <is>
          <t>2001-09-21</t>
        </is>
      </c>
      <c r="W1367" t="inlineStr">
        <is>
          <t>1993-09-14</t>
        </is>
      </c>
      <c r="X1367" t="inlineStr">
        <is>
          <t>1993-09-14</t>
        </is>
      </c>
      <c r="Y1367" t="n">
        <v>436</v>
      </c>
      <c r="Z1367" t="n">
        <v>312</v>
      </c>
      <c r="AA1367" t="n">
        <v>314</v>
      </c>
      <c r="AB1367" t="n">
        <v>3</v>
      </c>
      <c r="AC1367" t="n">
        <v>3</v>
      </c>
      <c r="AD1367" t="n">
        <v>23</v>
      </c>
      <c r="AE1367" t="n">
        <v>23</v>
      </c>
      <c r="AF1367" t="n">
        <v>9</v>
      </c>
      <c r="AG1367" t="n">
        <v>9</v>
      </c>
      <c r="AH1367" t="n">
        <v>4</v>
      </c>
      <c r="AI1367" t="n">
        <v>4</v>
      </c>
      <c r="AJ1367" t="n">
        <v>14</v>
      </c>
      <c r="AK1367" t="n">
        <v>14</v>
      </c>
      <c r="AL1367" t="n">
        <v>2</v>
      </c>
      <c r="AM1367" t="n">
        <v>2</v>
      </c>
      <c r="AN1367" t="n">
        <v>0</v>
      </c>
      <c r="AO1367" t="n">
        <v>0</v>
      </c>
      <c r="AP1367" t="inlineStr">
        <is>
          <t>No</t>
        </is>
      </c>
      <c r="AQ1367" t="inlineStr">
        <is>
          <t>Yes</t>
        </is>
      </c>
      <c r="AR1367">
        <f>HYPERLINK("http://catalog.hathitrust.org/Record/002700760","HathiTrust Record")</f>
        <v/>
      </c>
      <c r="AS1367">
        <f>HYPERLINK("https://creighton-primo.hosted.exlibrisgroup.com/primo-explore/search?tab=default_tab&amp;search_scope=EVERYTHING&amp;vid=01CRU&amp;lang=en_US&amp;offset=0&amp;query=any,contains,991002114789702656","Catalog Record")</f>
        <v/>
      </c>
      <c r="AT1367">
        <f>HYPERLINK("http://www.worldcat.org/oclc/27106033","WorldCat Record")</f>
        <v/>
      </c>
      <c r="AU1367" t="inlineStr">
        <is>
          <t>836887099:eng</t>
        </is>
      </c>
      <c r="AV1367" t="inlineStr">
        <is>
          <t>27106033</t>
        </is>
      </c>
      <c r="AW1367" t="inlineStr">
        <is>
          <t>991002114789702656</t>
        </is>
      </c>
      <c r="AX1367" t="inlineStr">
        <is>
          <t>991002114789702656</t>
        </is>
      </c>
      <c r="AY1367" t="inlineStr">
        <is>
          <t>2260200860002656</t>
        </is>
      </c>
      <c r="AZ1367" t="inlineStr">
        <is>
          <t>BOOK</t>
        </is>
      </c>
      <c r="BB1367" t="inlineStr">
        <is>
          <t>9780803943209</t>
        </is>
      </c>
      <c r="BC1367" t="inlineStr">
        <is>
          <t>32285001766590</t>
        </is>
      </c>
      <c r="BD1367" t="inlineStr">
        <is>
          <t>893414836</t>
        </is>
      </c>
    </row>
    <row r="1368">
      <c r="A1368" t="inlineStr">
        <is>
          <t>No</t>
        </is>
      </c>
      <c r="B1368" t="inlineStr">
        <is>
          <t>RC569.5.F3 I47 1996</t>
        </is>
      </c>
      <c r="C1368" t="inlineStr">
        <is>
          <t>0                      RC 0569500F  3                  I  47          1996</t>
        </is>
      </c>
      <c r="D1368" t="inlineStr">
        <is>
          <t>The impact of violence on the family : treatment approaches for therapists and other professionals / Dean M. Busby, editor.</t>
        </is>
      </c>
      <c r="F1368" t="inlineStr">
        <is>
          <t>No</t>
        </is>
      </c>
      <c r="G1368" t="inlineStr">
        <is>
          <t>1</t>
        </is>
      </c>
      <c r="H1368" t="inlineStr">
        <is>
          <t>No</t>
        </is>
      </c>
      <c r="I1368" t="inlineStr">
        <is>
          <t>No</t>
        </is>
      </c>
      <c r="J1368" t="inlineStr">
        <is>
          <t>0</t>
        </is>
      </c>
      <c r="L1368" t="inlineStr">
        <is>
          <t>Boston : Allyn and Bacon, c1996.</t>
        </is>
      </c>
      <c r="M1368" t="inlineStr">
        <is>
          <t>1996</t>
        </is>
      </c>
      <c r="O1368" t="inlineStr">
        <is>
          <t>eng</t>
        </is>
      </c>
      <c r="P1368" t="inlineStr">
        <is>
          <t>mau</t>
        </is>
      </c>
      <c r="R1368" t="inlineStr">
        <is>
          <t xml:space="preserve">RC </t>
        </is>
      </c>
      <c r="S1368" t="n">
        <v>15</v>
      </c>
      <c r="T1368" t="n">
        <v>15</v>
      </c>
      <c r="U1368" t="inlineStr">
        <is>
          <t>2004-02-16</t>
        </is>
      </c>
      <c r="V1368" t="inlineStr">
        <is>
          <t>2004-02-16</t>
        </is>
      </c>
      <c r="W1368" t="inlineStr">
        <is>
          <t>1996-06-11</t>
        </is>
      </c>
      <c r="X1368" t="inlineStr">
        <is>
          <t>1996-06-11</t>
        </is>
      </c>
      <c r="Y1368" t="n">
        <v>312</v>
      </c>
      <c r="Z1368" t="n">
        <v>240</v>
      </c>
      <c r="AA1368" t="n">
        <v>247</v>
      </c>
      <c r="AB1368" t="n">
        <v>2</v>
      </c>
      <c r="AC1368" t="n">
        <v>2</v>
      </c>
      <c r="AD1368" t="n">
        <v>14</v>
      </c>
      <c r="AE1368" t="n">
        <v>14</v>
      </c>
      <c r="AF1368" t="n">
        <v>6</v>
      </c>
      <c r="AG1368" t="n">
        <v>6</v>
      </c>
      <c r="AH1368" t="n">
        <v>5</v>
      </c>
      <c r="AI1368" t="n">
        <v>5</v>
      </c>
      <c r="AJ1368" t="n">
        <v>8</v>
      </c>
      <c r="AK1368" t="n">
        <v>8</v>
      </c>
      <c r="AL1368" t="n">
        <v>1</v>
      </c>
      <c r="AM1368" t="n">
        <v>1</v>
      </c>
      <c r="AN1368" t="n">
        <v>0</v>
      </c>
      <c r="AO1368" t="n">
        <v>0</v>
      </c>
      <c r="AP1368" t="inlineStr">
        <is>
          <t>No</t>
        </is>
      </c>
      <c r="AQ1368" t="inlineStr">
        <is>
          <t>Yes</t>
        </is>
      </c>
      <c r="AR1368">
        <f>HYPERLINK("http://catalog.hathitrust.org/Record/003065269","HathiTrust Record")</f>
        <v/>
      </c>
      <c r="AS1368">
        <f>HYPERLINK("https://creighton-primo.hosted.exlibrisgroup.com/primo-explore/search?tab=default_tab&amp;search_scope=EVERYTHING&amp;vid=01CRU&amp;lang=en_US&amp;offset=0&amp;query=any,contains,991002560769702656","Catalog Record")</f>
        <v/>
      </c>
      <c r="AT1368">
        <f>HYPERLINK("http://www.worldcat.org/oclc/33281020","WorldCat Record")</f>
        <v/>
      </c>
      <c r="AU1368" t="inlineStr">
        <is>
          <t>890326744:eng</t>
        </is>
      </c>
      <c r="AV1368" t="inlineStr">
        <is>
          <t>33281020</t>
        </is>
      </c>
      <c r="AW1368" t="inlineStr">
        <is>
          <t>991002560769702656</t>
        </is>
      </c>
      <c r="AX1368" t="inlineStr">
        <is>
          <t>991002560769702656</t>
        </is>
      </c>
      <c r="AY1368" t="inlineStr">
        <is>
          <t>2270336570002656</t>
        </is>
      </c>
      <c r="AZ1368" t="inlineStr">
        <is>
          <t>BOOK</t>
        </is>
      </c>
      <c r="BB1368" t="inlineStr">
        <is>
          <t>9780205175703</t>
        </is>
      </c>
      <c r="BC1368" t="inlineStr">
        <is>
          <t>32285002191228</t>
        </is>
      </c>
      <c r="BD1368" t="inlineStr">
        <is>
          <t>893257452</t>
        </is>
      </c>
    </row>
    <row r="1369">
      <c r="A1369" t="inlineStr">
        <is>
          <t>No</t>
        </is>
      </c>
      <c r="B1369" t="inlineStr">
        <is>
          <t>RC569.5.F3 I57 1989</t>
        </is>
      </c>
      <c r="C1369" t="inlineStr">
        <is>
          <t>0                      RC 0569500F  3                  I  57          1989</t>
        </is>
      </c>
      <c r="D1369" t="inlineStr">
        <is>
          <t>Intervening with assaulted women : current theory, research, and practice / edited by Barbara Pressman, Gary Cameron, Michael Rothery.</t>
        </is>
      </c>
      <c r="F1369" t="inlineStr">
        <is>
          <t>No</t>
        </is>
      </c>
      <c r="G1369" t="inlineStr">
        <is>
          <t>1</t>
        </is>
      </c>
      <c r="H1369" t="inlineStr">
        <is>
          <t>No</t>
        </is>
      </c>
      <c r="I1369" t="inlineStr">
        <is>
          <t>No</t>
        </is>
      </c>
      <c r="J1369" t="inlineStr">
        <is>
          <t>0</t>
        </is>
      </c>
      <c r="L1369" t="inlineStr">
        <is>
          <t>Hillsdale, N.J. : Erlbaum Associates, 1989.</t>
        </is>
      </c>
      <c r="M1369" t="inlineStr">
        <is>
          <t>1989</t>
        </is>
      </c>
      <c r="O1369" t="inlineStr">
        <is>
          <t>eng</t>
        </is>
      </c>
      <c r="P1369" t="inlineStr">
        <is>
          <t>nju</t>
        </is>
      </c>
      <c r="R1369" t="inlineStr">
        <is>
          <t xml:space="preserve">RC </t>
        </is>
      </c>
      <c r="S1369" t="n">
        <v>9</v>
      </c>
      <c r="T1369" t="n">
        <v>9</v>
      </c>
      <c r="U1369" t="inlineStr">
        <is>
          <t>1996-10-24</t>
        </is>
      </c>
      <c r="V1369" t="inlineStr">
        <is>
          <t>1996-10-24</t>
        </is>
      </c>
      <c r="W1369" t="inlineStr">
        <is>
          <t>1992-04-20</t>
        </is>
      </c>
      <c r="X1369" t="inlineStr">
        <is>
          <t>1992-04-20</t>
        </is>
      </c>
      <c r="Y1369" t="n">
        <v>274</v>
      </c>
      <c r="Z1369" t="n">
        <v>207</v>
      </c>
      <c r="AA1369" t="n">
        <v>236</v>
      </c>
      <c r="AB1369" t="n">
        <v>3</v>
      </c>
      <c r="AC1369" t="n">
        <v>3</v>
      </c>
      <c r="AD1369" t="n">
        <v>12</v>
      </c>
      <c r="AE1369" t="n">
        <v>12</v>
      </c>
      <c r="AF1369" t="n">
        <v>3</v>
      </c>
      <c r="AG1369" t="n">
        <v>3</v>
      </c>
      <c r="AH1369" t="n">
        <v>2</v>
      </c>
      <c r="AI1369" t="n">
        <v>2</v>
      </c>
      <c r="AJ1369" t="n">
        <v>8</v>
      </c>
      <c r="AK1369" t="n">
        <v>8</v>
      </c>
      <c r="AL1369" t="n">
        <v>2</v>
      </c>
      <c r="AM1369" t="n">
        <v>2</v>
      </c>
      <c r="AN1369" t="n">
        <v>0</v>
      </c>
      <c r="AO1369" t="n">
        <v>0</v>
      </c>
      <c r="AP1369" t="inlineStr">
        <is>
          <t>No</t>
        </is>
      </c>
      <c r="AQ1369" t="inlineStr">
        <is>
          <t>Yes</t>
        </is>
      </c>
      <c r="AR1369">
        <f>HYPERLINK("http://catalog.hathitrust.org/Record/001822689","HathiTrust Record")</f>
        <v/>
      </c>
      <c r="AS1369">
        <f>HYPERLINK("https://creighton-primo.hosted.exlibrisgroup.com/primo-explore/search?tab=default_tab&amp;search_scope=EVERYTHING&amp;vid=01CRU&amp;lang=en_US&amp;offset=0&amp;query=any,contains,991001403999702656","Catalog Record")</f>
        <v/>
      </c>
      <c r="AT1369">
        <f>HYPERLINK("http://www.worldcat.org/oclc/18834443","WorldCat Record")</f>
        <v/>
      </c>
      <c r="AU1369" t="inlineStr">
        <is>
          <t>18967646:eng</t>
        </is>
      </c>
      <c r="AV1369" t="inlineStr">
        <is>
          <t>18834443</t>
        </is>
      </c>
      <c r="AW1369" t="inlineStr">
        <is>
          <t>991001403999702656</t>
        </is>
      </c>
      <c r="AX1369" t="inlineStr">
        <is>
          <t>991001403999702656</t>
        </is>
      </c>
      <c r="AY1369" t="inlineStr">
        <is>
          <t>2257809940002656</t>
        </is>
      </c>
      <c r="AZ1369" t="inlineStr">
        <is>
          <t>BOOK</t>
        </is>
      </c>
      <c r="BB1369" t="inlineStr">
        <is>
          <t>9780805804560</t>
        </is>
      </c>
      <c r="BC1369" t="inlineStr">
        <is>
          <t>32285001035830</t>
        </is>
      </c>
      <c r="BD1369" t="inlineStr">
        <is>
          <t>893509603</t>
        </is>
      </c>
    </row>
    <row r="1370">
      <c r="A1370" t="inlineStr">
        <is>
          <t>No</t>
        </is>
      </c>
      <c r="B1370" t="inlineStr">
        <is>
          <t>RC569.5.F3 I58 2002</t>
        </is>
      </c>
      <c r="C1370" t="inlineStr">
        <is>
          <t>0                      RC 0569500F  3                  I  58          2002</t>
        </is>
      </c>
      <c r="D1370" t="inlineStr">
        <is>
          <t>Intimate violence : contemporary treatment innovations / Donald Dutton, Daniel J. Sonkin, editors.</t>
        </is>
      </c>
      <c r="F1370" t="inlineStr">
        <is>
          <t>No</t>
        </is>
      </c>
      <c r="G1370" t="inlineStr">
        <is>
          <t>1</t>
        </is>
      </c>
      <c r="H1370" t="inlineStr">
        <is>
          <t>No</t>
        </is>
      </c>
      <c r="I1370" t="inlineStr">
        <is>
          <t>No</t>
        </is>
      </c>
      <c r="J1370" t="inlineStr">
        <is>
          <t>0</t>
        </is>
      </c>
      <c r="L1370" t="inlineStr">
        <is>
          <t>Binghamton, N.Y. : Haworth Maltreatment &amp; Trauma Press, c2002.</t>
        </is>
      </c>
      <c r="M1370" t="inlineStr">
        <is>
          <t>2002</t>
        </is>
      </c>
      <c r="O1370" t="inlineStr">
        <is>
          <t>eng</t>
        </is>
      </c>
      <c r="P1370" t="inlineStr">
        <is>
          <t>nyu</t>
        </is>
      </c>
      <c r="R1370" t="inlineStr">
        <is>
          <t xml:space="preserve">RC </t>
        </is>
      </c>
      <c r="S1370" t="n">
        <v>3</v>
      </c>
      <c r="T1370" t="n">
        <v>3</v>
      </c>
      <c r="U1370" t="inlineStr">
        <is>
          <t>2005-05-25</t>
        </is>
      </c>
      <c r="V1370" t="inlineStr">
        <is>
          <t>2005-05-25</t>
        </is>
      </c>
      <c r="W1370" t="inlineStr">
        <is>
          <t>2005-03-31</t>
        </is>
      </c>
      <c r="X1370" t="inlineStr">
        <is>
          <t>2005-03-31</t>
        </is>
      </c>
      <c r="Y1370" t="n">
        <v>149</v>
      </c>
      <c r="Z1370" t="n">
        <v>115</v>
      </c>
      <c r="AA1370" t="n">
        <v>144</v>
      </c>
      <c r="AB1370" t="n">
        <v>3</v>
      </c>
      <c r="AC1370" t="n">
        <v>3</v>
      </c>
      <c r="AD1370" t="n">
        <v>4</v>
      </c>
      <c r="AE1370" t="n">
        <v>4</v>
      </c>
      <c r="AF1370" t="n">
        <v>0</v>
      </c>
      <c r="AG1370" t="n">
        <v>0</v>
      </c>
      <c r="AH1370" t="n">
        <v>0</v>
      </c>
      <c r="AI1370" t="n">
        <v>0</v>
      </c>
      <c r="AJ1370" t="n">
        <v>2</v>
      </c>
      <c r="AK1370" t="n">
        <v>2</v>
      </c>
      <c r="AL1370" t="n">
        <v>2</v>
      </c>
      <c r="AM1370" t="n">
        <v>2</v>
      </c>
      <c r="AN1370" t="n">
        <v>0</v>
      </c>
      <c r="AO1370" t="n">
        <v>0</v>
      </c>
      <c r="AP1370" t="inlineStr">
        <is>
          <t>No</t>
        </is>
      </c>
      <c r="AQ1370" t="inlineStr">
        <is>
          <t>Yes</t>
        </is>
      </c>
      <c r="AR1370">
        <f>HYPERLINK("http://catalog.hathitrust.org/Record/004348877","HathiTrust Record")</f>
        <v/>
      </c>
      <c r="AS1370">
        <f>HYPERLINK("https://creighton-primo.hosted.exlibrisgroup.com/primo-explore/search?tab=default_tab&amp;search_scope=EVERYTHING&amp;vid=01CRU&amp;lang=en_US&amp;offset=0&amp;query=any,contains,991004511039702656","Catalog Record")</f>
        <v/>
      </c>
      <c r="AT1370">
        <f>HYPERLINK("http://www.worldcat.org/oclc/51855509","WorldCat Record")</f>
        <v/>
      </c>
      <c r="AU1370" t="inlineStr">
        <is>
          <t>837889718:eng</t>
        </is>
      </c>
      <c r="AV1370" t="inlineStr">
        <is>
          <t>51855509</t>
        </is>
      </c>
      <c r="AW1370" t="inlineStr">
        <is>
          <t>991004511039702656</t>
        </is>
      </c>
      <c r="AX1370" t="inlineStr">
        <is>
          <t>991004511039702656</t>
        </is>
      </c>
      <c r="AY1370" t="inlineStr">
        <is>
          <t>2272781620002656</t>
        </is>
      </c>
      <c r="AZ1370" t="inlineStr">
        <is>
          <t>BOOK</t>
        </is>
      </c>
      <c r="BB1370" t="inlineStr">
        <is>
          <t>9780789020185</t>
        </is>
      </c>
      <c r="BC1370" t="inlineStr">
        <is>
          <t>32285005046585</t>
        </is>
      </c>
      <c r="BD1370" t="inlineStr">
        <is>
          <t>893337826</t>
        </is>
      </c>
    </row>
    <row r="1371">
      <c r="A1371" t="inlineStr">
        <is>
          <t>No</t>
        </is>
      </c>
      <c r="B1371" t="inlineStr">
        <is>
          <t>RC569.5.F3 P787 2001</t>
        </is>
      </c>
      <c r="C1371" t="inlineStr">
        <is>
          <t>0                      RC 0569500F  3                  P  787         2001</t>
        </is>
      </c>
      <c r="D1371" t="inlineStr">
        <is>
          <t>Psychological abuse in violent domestic relations / K. Daniel O'Leary and Roland D. Maiuro, editors.</t>
        </is>
      </c>
      <c r="F1371" t="inlineStr">
        <is>
          <t>No</t>
        </is>
      </c>
      <c r="G1371" t="inlineStr">
        <is>
          <t>1</t>
        </is>
      </c>
      <c r="H1371" t="inlineStr">
        <is>
          <t>No</t>
        </is>
      </c>
      <c r="I1371" t="inlineStr">
        <is>
          <t>No</t>
        </is>
      </c>
      <c r="J1371" t="inlineStr">
        <is>
          <t>0</t>
        </is>
      </c>
      <c r="L1371" t="inlineStr">
        <is>
          <t>New York : Spring Pub. Co., c2001.</t>
        </is>
      </c>
      <c r="M1371" t="inlineStr">
        <is>
          <t>2001</t>
        </is>
      </c>
      <c r="O1371" t="inlineStr">
        <is>
          <t>eng</t>
        </is>
      </c>
      <c r="P1371" t="inlineStr">
        <is>
          <t>nyu</t>
        </is>
      </c>
      <c r="R1371" t="inlineStr">
        <is>
          <t xml:space="preserve">RC </t>
        </is>
      </c>
      <c r="S1371" t="n">
        <v>1</v>
      </c>
      <c r="T1371" t="n">
        <v>1</v>
      </c>
      <c r="U1371" t="inlineStr">
        <is>
          <t>2010-04-08</t>
        </is>
      </c>
      <c r="V1371" t="inlineStr">
        <is>
          <t>2010-04-08</t>
        </is>
      </c>
      <c r="W1371" t="inlineStr">
        <is>
          <t>2008-04-02</t>
        </is>
      </c>
      <c r="X1371" t="inlineStr">
        <is>
          <t>2008-04-02</t>
        </is>
      </c>
      <c r="Y1371" t="n">
        <v>396</v>
      </c>
      <c r="Z1371" t="n">
        <v>348</v>
      </c>
      <c r="AA1371" t="n">
        <v>371</v>
      </c>
      <c r="AB1371" t="n">
        <v>3</v>
      </c>
      <c r="AC1371" t="n">
        <v>3</v>
      </c>
      <c r="AD1371" t="n">
        <v>17</v>
      </c>
      <c r="AE1371" t="n">
        <v>17</v>
      </c>
      <c r="AF1371" t="n">
        <v>7</v>
      </c>
      <c r="AG1371" t="n">
        <v>7</v>
      </c>
      <c r="AH1371" t="n">
        <v>2</v>
      </c>
      <c r="AI1371" t="n">
        <v>2</v>
      </c>
      <c r="AJ1371" t="n">
        <v>8</v>
      </c>
      <c r="AK1371" t="n">
        <v>8</v>
      </c>
      <c r="AL1371" t="n">
        <v>2</v>
      </c>
      <c r="AM1371" t="n">
        <v>2</v>
      </c>
      <c r="AN1371" t="n">
        <v>0</v>
      </c>
      <c r="AO1371" t="n">
        <v>0</v>
      </c>
      <c r="AP1371" t="inlineStr">
        <is>
          <t>No</t>
        </is>
      </c>
      <c r="AQ1371" t="inlineStr">
        <is>
          <t>Yes</t>
        </is>
      </c>
      <c r="AR1371">
        <f>HYPERLINK("http://catalog.hathitrust.org/Record/004073925","HathiTrust Record")</f>
        <v/>
      </c>
      <c r="AS1371">
        <f>HYPERLINK("https://creighton-primo.hosted.exlibrisgroup.com/primo-explore/search?tab=default_tab&amp;search_scope=EVERYTHING&amp;vid=01CRU&amp;lang=en_US&amp;offset=0&amp;query=any,contains,991005201619702656","Catalog Record")</f>
        <v/>
      </c>
      <c r="AT1371">
        <f>HYPERLINK("http://www.worldcat.org/oclc/43050066","WorldCat Record")</f>
        <v/>
      </c>
      <c r="AU1371" t="inlineStr">
        <is>
          <t>766244901:eng</t>
        </is>
      </c>
      <c r="AV1371" t="inlineStr">
        <is>
          <t>43050066</t>
        </is>
      </c>
      <c r="AW1371" t="inlineStr">
        <is>
          <t>991005201619702656</t>
        </is>
      </c>
      <c r="AX1371" t="inlineStr">
        <is>
          <t>991005201619702656</t>
        </is>
      </c>
      <c r="AY1371" t="inlineStr">
        <is>
          <t>2256330670002656</t>
        </is>
      </c>
      <c r="AZ1371" t="inlineStr">
        <is>
          <t>BOOK</t>
        </is>
      </c>
      <c r="BB1371" t="inlineStr">
        <is>
          <t>9780826113214</t>
        </is>
      </c>
      <c r="BC1371" t="inlineStr">
        <is>
          <t>32285005400428</t>
        </is>
      </c>
      <c r="BD1371" t="inlineStr">
        <is>
          <t>893431027</t>
        </is>
      </c>
    </row>
    <row r="1372">
      <c r="A1372" t="inlineStr">
        <is>
          <t>No</t>
        </is>
      </c>
      <c r="B1372" t="inlineStr">
        <is>
          <t>RC569.5.F3 T35 1995</t>
        </is>
      </c>
      <c r="C1372" t="inlineStr">
        <is>
          <t>0                      RC 0569500F  3                  T  35          1995</t>
        </is>
      </c>
      <c r="D1372" t="inlineStr">
        <is>
          <t>The physician's guide to domestic violence : how to ask the right questions and recognize abuse-- another way to save a life / Patricia R. Salber and Ellen Taliaferro.</t>
        </is>
      </c>
      <c r="F1372" t="inlineStr">
        <is>
          <t>No</t>
        </is>
      </c>
      <c r="G1372" t="inlineStr">
        <is>
          <t>1</t>
        </is>
      </c>
      <c r="H1372" t="inlineStr">
        <is>
          <t>No</t>
        </is>
      </c>
      <c r="I1372" t="inlineStr">
        <is>
          <t>No</t>
        </is>
      </c>
      <c r="J1372" t="inlineStr">
        <is>
          <t>0</t>
        </is>
      </c>
      <c r="K1372" t="inlineStr">
        <is>
          <t>Salber, Patricia R.</t>
        </is>
      </c>
      <c r="L1372" t="inlineStr">
        <is>
          <t>Volcano, Calif. : Volcano Press, c1995.</t>
        </is>
      </c>
      <c r="M1372" t="inlineStr">
        <is>
          <t>1995</t>
        </is>
      </c>
      <c r="O1372" t="inlineStr">
        <is>
          <t>eng</t>
        </is>
      </c>
      <c r="P1372" t="inlineStr">
        <is>
          <t>cau</t>
        </is>
      </c>
      <c r="R1372" t="inlineStr">
        <is>
          <t xml:space="preserve">RC </t>
        </is>
      </c>
      <c r="S1372" t="n">
        <v>4</v>
      </c>
      <c r="T1372" t="n">
        <v>4</v>
      </c>
      <c r="U1372" t="inlineStr">
        <is>
          <t>1997-11-18</t>
        </is>
      </c>
      <c r="V1372" t="inlineStr">
        <is>
          <t>1997-11-18</t>
        </is>
      </c>
      <c r="W1372" t="inlineStr">
        <is>
          <t>1996-12-18</t>
        </is>
      </c>
      <c r="X1372" t="inlineStr">
        <is>
          <t>1996-12-18</t>
        </is>
      </c>
      <c r="Y1372" t="n">
        <v>137</v>
      </c>
      <c r="Z1372" t="n">
        <v>127</v>
      </c>
      <c r="AA1372" t="n">
        <v>127</v>
      </c>
      <c r="AB1372" t="n">
        <v>1</v>
      </c>
      <c r="AC1372" t="n">
        <v>1</v>
      </c>
      <c r="AD1372" t="n">
        <v>3</v>
      </c>
      <c r="AE1372" t="n">
        <v>3</v>
      </c>
      <c r="AF1372" t="n">
        <v>1</v>
      </c>
      <c r="AG1372" t="n">
        <v>1</v>
      </c>
      <c r="AH1372" t="n">
        <v>1</v>
      </c>
      <c r="AI1372" t="n">
        <v>1</v>
      </c>
      <c r="AJ1372" t="n">
        <v>3</v>
      </c>
      <c r="AK1372" t="n">
        <v>3</v>
      </c>
      <c r="AL1372" t="n">
        <v>0</v>
      </c>
      <c r="AM1372" t="n">
        <v>0</v>
      </c>
      <c r="AN1372" t="n">
        <v>0</v>
      </c>
      <c r="AO1372" t="n">
        <v>0</v>
      </c>
      <c r="AP1372" t="inlineStr">
        <is>
          <t>No</t>
        </is>
      </c>
      <c r="AQ1372" t="inlineStr">
        <is>
          <t>No</t>
        </is>
      </c>
      <c r="AS1372">
        <f>HYPERLINK("https://creighton-primo.hosted.exlibrisgroup.com/primo-explore/search?tab=default_tab&amp;search_scope=EVERYTHING&amp;vid=01CRU&amp;lang=en_US&amp;offset=0&amp;query=any,contains,991002384459702656","Catalog Record")</f>
        <v/>
      </c>
      <c r="AT1372">
        <f>HYPERLINK("http://www.worldcat.org/oclc/30978944","WorldCat Record")</f>
        <v/>
      </c>
      <c r="AU1372" t="inlineStr">
        <is>
          <t>2290281373:eng</t>
        </is>
      </c>
      <c r="AV1372" t="inlineStr">
        <is>
          <t>30978944</t>
        </is>
      </c>
      <c r="AW1372" t="inlineStr">
        <is>
          <t>991002384459702656</t>
        </is>
      </c>
      <c r="AX1372" t="inlineStr">
        <is>
          <t>991002384459702656</t>
        </is>
      </c>
      <c r="AY1372" t="inlineStr">
        <is>
          <t>2266466730002656</t>
        </is>
      </c>
      <c r="AZ1372" t="inlineStr">
        <is>
          <t>BOOK</t>
        </is>
      </c>
      <c r="BB1372" t="inlineStr">
        <is>
          <t>9781884244049</t>
        </is>
      </c>
      <c r="BC1372" t="inlineStr">
        <is>
          <t>32285002400215</t>
        </is>
      </c>
      <c r="BD1372" t="inlineStr">
        <is>
          <t>893421279</t>
        </is>
      </c>
    </row>
    <row r="1373">
      <c r="A1373" t="inlineStr">
        <is>
          <t>No</t>
        </is>
      </c>
      <c r="B1373" t="inlineStr">
        <is>
          <t>RC569.5.G35 P48 2005</t>
        </is>
      </c>
      <c r="C1373" t="inlineStr">
        <is>
          <t>0                      RC 0569500G  35                 P  48          2005</t>
        </is>
      </c>
      <c r="D1373" t="inlineStr">
        <is>
          <t>Pathological gambling : etiology, comorbidity, and treatment / Nancy M. Petry.</t>
        </is>
      </c>
      <c r="F1373" t="inlineStr">
        <is>
          <t>No</t>
        </is>
      </c>
      <c r="G1373" t="inlineStr">
        <is>
          <t>1</t>
        </is>
      </c>
      <c r="H1373" t="inlineStr">
        <is>
          <t>No</t>
        </is>
      </c>
      <c r="I1373" t="inlineStr">
        <is>
          <t>No</t>
        </is>
      </c>
      <c r="J1373" t="inlineStr">
        <is>
          <t>0</t>
        </is>
      </c>
      <c r="K1373" t="inlineStr">
        <is>
          <t>Petry, Nancy M.</t>
        </is>
      </c>
      <c r="L1373" t="inlineStr">
        <is>
          <t>Washington, DC : American Psychological Association, c2005.</t>
        </is>
      </c>
      <c r="M1373" t="inlineStr">
        <is>
          <t>2005</t>
        </is>
      </c>
      <c r="N1373" t="inlineStr">
        <is>
          <t>1st ed.</t>
        </is>
      </c>
      <c r="O1373" t="inlineStr">
        <is>
          <t>eng</t>
        </is>
      </c>
      <c r="P1373" t="inlineStr">
        <is>
          <t>dcu</t>
        </is>
      </c>
      <c r="R1373" t="inlineStr">
        <is>
          <t xml:space="preserve">RC </t>
        </is>
      </c>
      <c r="S1373" t="n">
        <v>2</v>
      </c>
      <c r="T1373" t="n">
        <v>2</v>
      </c>
      <c r="U1373" t="inlineStr">
        <is>
          <t>2009-04-06</t>
        </is>
      </c>
      <c r="V1373" t="inlineStr">
        <is>
          <t>2009-04-06</t>
        </is>
      </c>
      <c r="W1373" t="inlineStr">
        <is>
          <t>2005-11-08</t>
        </is>
      </c>
      <c r="X1373" t="inlineStr">
        <is>
          <t>2005-11-08</t>
        </is>
      </c>
      <c r="Y1373" t="n">
        <v>877</v>
      </c>
      <c r="Z1373" t="n">
        <v>726</v>
      </c>
      <c r="AA1373" t="n">
        <v>783</v>
      </c>
      <c r="AB1373" t="n">
        <v>3</v>
      </c>
      <c r="AC1373" t="n">
        <v>4</v>
      </c>
      <c r="AD1373" t="n">
        <v>30</v>
      </c>
      <c r="AE1373" t="n">
        <v>36</v>
      </c>
      <c r="AF1373" t="n">
        <v>16</v>
      </c>
      <c r="AG1373" t="n">
        <v>18</v>
      </c>
      <c r="AH1373" t="n">
        <v>4</v>
      </c>
      <c r="AI1373" t="n">
        <v>4</v>
      </c>
      <c r="AJ1373" t="n">
        <v>14</v>
      </c>
      <c r="AK1373" t="n">
        <v>17</v>
      </c>
      <c r="AL1373" t="n">
        <v>2</v>
      </c>
      <c r="AM1373" t="n">
        <v>3</v>
      </c>
      <c r="AN1373" t="n">
        <v>0</v>
      </c>
      <c r="AO1373" t="n">
        <v>0</v>
      </c>
      <c r="AP1373" t="inlineStr">
        <is>
          <t>No</t>
        </is>
      </c>
      <c r="AQ1373" t="inlineStr">
        <is>
          <t>No</t>
        </is>
      </c>
      <c r="AS1373">
        <f>HYPERLINK("https://creighton-primo.hosted.exlibrisgroup.com/primo-explore/search?tab=default_tab&amp;search_scope=EVERYTHING&amp;vid=01CRU&amp;lang=en_US&amp;offset=0&amp;query=any,contains,991004653519702656","Catalog Record")</f>
        <v/>
      </c>
      <c r="AT1373">
        <f>HYPERLINK("http://www.worldcat.org/oclc/55679929","WorldCat Record")</f>
        <v/>
      </c>
      <c r="AU1373" t="inlineStr">
        <is>
          <t>1954201:eng</t>
        </is>
      </c>
      <c r="AV1373" t="inlineStr">
        <is>
          <t>55679929</t>
        </is>
      </c>
      <c r="AW1373" t="inlineStr">
        <is>
          <t>991004653519702656</t>
        </is>
      </c>
      <c r="AX1373" t="inlineStr">
        <is>
          <t>991004653519702656</t>
        </is>
      </c>
      <c r="AY1373" t="inlineStr">
        <is>
          <t>2258740960002656</t>
        </is>
      </c>
      <c r="AZ1373" t="inlineStr">
        <is>
          <t>BOOK</t>
        </is>
      </c>
      <c r="BB1373" t="inlineStr">
        <is>
          <t>9781591471738</t>
        </is>
      </c>
      <c r="BC1373" t="inlineStr">
        <is>
          <t>32285005145577</t>
        </is>
      </c>
      <c r="BD1373" t="inlineStr">
        <is>
          <t>893229664</t>
        </is>
      </c>
    </row>
    <row r="1374">
      <c r="A1374" t="inlineStr">
        <is>
          <t>No</t>
        </is>
      </c>
      <c r="B1374" t="inlineStr">
        <is>
          <t>RC569.5.H65 M35 2006</t>
        </is>
      </c>
      <c r="C1374" t="inlineStr">
        <is>
          <t>0                      RC 0569500H  65                 M  35          2006</t>
        </is>
      </c>
      <c r="D1374" t="inlineStr">
        <is>
          <t>Homicide : a psychiatric perspective / Carl P. Malmquist.</t>
        </is>
      </c>
      <c r="F1374" t="inlineStr">
        <is>
          <t>No</t>
        </is>
      </c>
      <c r="G1374" t="inlineStr">
        <is>
          <t>1</t>
        </is>
      </c>
      <c r="H1374" t="inlineStr">
        <is>
          <t>No</t>
        </is>
      </c>
      <c r="I1374" t="inlineStr">
        <is>
          <t>No</t>
        </is>
      </c>
      <c r="J1374" t="inlineStr">
        <is>
          <t>0</t>
        </is>
      </c>
      <c r="K1374" t="inlineStr">
        <is>
          <t>Malmquist, Carl P.</t>
        </is>
      </c>
      <c r="L1374" t="inlineStr">
        <is>
          <t>Washington, DC : American Psychiatric Pub., c2006.</t>
        </is>
      </c>
      <c r="M1374" t="inlineStr">
        <is>
          <t>2006</t>
        </is>
      </c>
      <c r="N1374" t="inlineStr">
        <is>
          <t>2nd ed.</t>
        </is>
      </c>
      <c r="O1374" t="inlineStr">
        <is>
          <t>eng</t>
        </is>
      </c>
      <c r="P1374" t="inlineStr">
        <is>
          <t>dcu</t>
        </is>
      </c>
      <c r="R1374" t="inlineStr">
        <is>
          <t xml:space="preserve">RC </t>
        </is>
      </c>
      <c r="S1374" t="n">
        <v>1</v>
      </c>
      <c r="T1374" t="n">
        <v>1</v>
      </c>
      <c r="U1374" t="inlineStr">
        <is>
          <t>2010-05-19</t>
        </is>
      </c>
      <c r="V1374" t="inlineStr">
        <is>
          <t>2010-05-19</t>
        </is>
      </c>
      <c r="W1374" t="inlineStr">
        <is>
          <t>2007-10-30</t>
        </is>
      </c>
      <c r="X1374" t="inlineStr">
        <is>
          <t>2007-10-30</t>
        </is>
      </c>
      <c r="Y1374" t="n">
        <v>230</v>
      </c>
      <c r="Z1374" t="n">
        <v>189</v>
      </c>
      <c r="AA1374" t="n">
        <v>539</v>
      </c>
      <c r="AB1374" t="n">
        <v>2</v>
      </c>
      <c r="AC1374" t="n">
        <v>2</v>
      </c>
      <c r="AD1374" t="n">
        <v>10</v>
      </c>
      <c r="AE1374" t="n">
        <v>25</v>
      </c>
      <c r="AF1374" t="n">
        <v>3</v>
      </c>
      <c r="AG1374" t="n">
        <v>8</v>
      </c>
      <c r="AH1374" t="n">
        <v>1</v>
      </c>
      <c r="AI1374" t="n">
        <v>4</v>
      </c>
      <c r="AJ1374" t="n">
        <v>6</v>
      </c>
      <c r="AK1374" t="n">
        <v>13</v>
      </c>
      <c r="AL1374" t="n">
        <v>1</v>
      </c>
      <c r="AM1374" t="n">
        <v>1</v>
      </c>
      <c r="AN1374" t="n">
        <v>2</v>
      </c>
      <c r="AO1374" t="n">
        <v>5</v>
      </c>
      <c r="AP1374" t="inlineStr">
        <is>
          <t>No</t>
        </is>
      </c>
      <c r="AQ1374" t="inlineStr">
        <is>
          <t>Yes</t>
        </is>
      </c>
      <c r="AR1374">
        <f>HYPERLINK("http://catalog.hathitrust.org/Record/005228678","HathiTrust Record")</f>
        <v/>
      </c>
      <c r="AS1374">
        <f>HYPERLINK("https://creighton-primo.hosted.exlibrisgroup.com/primo-explore/search?tab=default_tab&amp;search_scope=EVERYTHING&amp;vid=01CRU&amp;lang=en_US&amp;offset=0&amp;query=any,contains,991005131459702656","Catalog Record")</f>
        <v/>
      </c>
      <c r="AT1374">
        <f>HYPERLINK("http://www.worldcat.org/oclc/62326656","WorldCat Record")</f>
        <v/>
      </c>
      <c r="AU1374" t="inlineStr">
        <is>
          <t>33785825:eng</t>
        </is>
      </c>
      <c r="AV1374" t="inlineStr">
        <is>
          <t>62326656</t>
        </is>
      </c>
      <c r="AW1374" t="inlineStr">
        <is>
          <t>991005131459702656</t>
        </is>
      </c>
      <c r="AX1374" t="inlineStr">
        <is>
          <t>991005131459702656</t>
        </is>
      </c>
      <c r="AY1374" t="inlineStr">
        <is>
          <t>2272226740002656</t>
        </is>
      </c>
      <c r="AZ1374" t="inlineStr">
        <is>
          <t>BOOK</t>
        </is>
      </c>
      <c r="BB1374" t="inlineStr">
        <is>
          <t>9781585622047</t>
        </is>
      </c>
      <c r="BC1374" t="inlineStr">
        <is>
          <t>32285005363170</t>
        </is>
      </c>
      <c r="BD1374" t="inlineStr">
        <is>
          <t>893776878</t>
        </is>
      </c>
    </row>
    <row r="1375">
      <c r="A1375" t="inlineStr">
        <is>
          <t>No</t>
        </is>
      </c>
      <c r="B1375" t="inlineStr">
        <is>
          <t>RC569.5.I46 I49 1997</t>
        </is>
      </c>
      <c r="C1375" t="inlineStr">
        <is>
          <t>0                      RC 0569500I  46                 I  49          1997</t>
        </is>
      </c>
      <c r="D1375" t="inlineStr">
        <is>
          <t>Impulsivity : theory, assessment, and treatment / edited by Christopher D. Webster and Margaret A. Jackson ; foreword by John Monahan.</t>
        </is>
      </c>
      <c r="F1375" t="inlineStr">
        <is>
          <t>No</t>
        </is>
      </c>
      <c r="G1375" t="inlineStr">
        <is>
          <t>1</t>
        </is>
      </c>
      <c r="H1375" t="inlineStr">
        <is>
          <t>No</t>
        </is>
      </c>
      <c r="I1375" t="inlineStr">
        <is>
          <t>No</t>
        </is>
      </c>
      <c r="J1375" t="inlineStr">
        <is>
          <t>0</t>
        </is>
      </c>
      <c r="L1375" t="inlineStr">
        <is>
          <t>New York : Guilford Press, c1997.</t>
        </is>
      </c>
      <c r="M1375" t="inlineStr">
        <is>
          <t>1997</t>
        </is>
      </c>
      <c r="O1375" t="inlineStr">
        <is>
          <t>eng</t>
        </is>
      </c>
      <c r="P1375" t="inlineStr">
        <is>
          <t>nyu</t>
        </is>
      </c>
      <c r="R1375" t="inlineStr">
        <is>
          <t xml:space="preserve">RC </t>
        </is>
      </c>
      <c r="S1375" t="n">
        <v>10</v>
      </c>
      <c r="T1375" t="n">
        <v>10</v>
      </c>
      <c r="U1375" t="inlineStr">
        <is>
          <t>2006-04-24</t>
        </is>
      </c>
      <c r="V1375" t="inlineStr">
        <is>
          <t>2006-04-24</t>
        </is>
      </c>
      <c r="W1375" t="inlineStr">
        <is>
          <t>2000-10-26</t>
        </is>
      </c>
      <c r="X1375" t="inlineStr">
        <is>
          <t>2000-10-26</t>
        </is>
      </c>
      <c r="Y1375" t="n">
        <v>306</v>
      </c>
      <c r="Z1375" t="n">
        <v>241</v>
      </c>
      <c r="AA1375" t="n">
        <v>241</v>
      </c>
      <c r="AB1375" t="n">
        <v>2</v>
      </c>
      <c r="AC1375" t="n">
        <v>2</v>
      </c>
      <c r="AD1375" t="n">
        <v>14</v>
      </c>
      <c r="AE1375" t="n">
        <v>14</v>
      </c>
      <c r="AF1375" t="n">
        <v>4</v>
      </c>
      <c r="AG1375" t="n">
        <v>4</v>
      </c>
      <c r="AH1375" t="n">
        <v>1</v>
      </c>
      <c r="AI1375" t="n">
        <v>1</v>
      </c>
      <c r="AJ1375" t="n">
        <v>7</v>
      </c>
      <c r="AK1375" t="n">
        <v>7</v>
      </c>
      <c r="AL1375" t="n">
        <v>1</v>
      </c>
      <c r="AM1375" t="n">
        <v>1</v>
      </c>
      <c r="AN1375" t="n">
        <v>4</v>
      </c>
      <c r="AO1375" t="n">
        <v>4</v>
      </c>
      <c r="AP1375" t="inlineStr">
        <is>
          <t>No</t>
        </is>
      </c>
      <c r="AQ1375" t="inlineStr">
        <is>
          <t>No</t>
        </is>
      </c>
      <c r="AS1375">
        <f>HYPERLINK("https://creighton-primo.hosted.exlibrisgroup.com/primo-explore/search?tab=default_tab&amp;search_scope=EVERYTHING&amp;vid=01CRU&amp;lang=en_US&amp;offset=0&amp;query=any,contains,991003268799702656","Catalog Record")</f>
        <v/>
      </c>
      <c r="AT1375">
        <f>HYPERLINK("http://www.worldcat.org/oclc/36900983","WorldCat Record")</f>
        <v/>
      </c>
      <c r="AU1375" t="inlineStr">
        <is>
          <t>836954337:eng</t>
        </is>
      </c>
      <c r="AV1375" t="inlineStr">
        <is>
          <t>36900983</t>
        </is>
      </c>
      <c r="AW1375" t="inlineStr">
        <is>
          <t>991003268799702656</t>
        </is>
      </c>
      <c r="AX1375" t="inlineStr">
        <is>
          <t>991003268799702656</t>
        </is>
      </c>
      <c r="AY1375" t="inlineStr">
        <is>
          <t>2271960390002656</t>
        </is>
      </c>
      <c r="AZ1375" t="inlineStr">
        <is>
          <t>BOOK</t>
        </is>
      </c>
      <c r="BB1375" t="inlineStr">
        <is>
          <t>9781572302259</t>
        </is>
      </c>
      <c r="BC1375" t="inlineStr">
        <is>
          <t>32285004260856</t>
        </is>
      </c>
      <c r="BD1375" t="inlineStr">
        <is>
          <t>893330151</t>
        </is>
      </c>
    </row>
    <row r="1376">
      <c r="A1376" t="inlineStr">
        <is>
          <t>No</t>
        </is>
      </c>
      <c r="B1376" t="inlineStr">
        <is>
          <t>RC569.5.M8 A43 1989</t>
        </is>
      </c>
      <c r="C1376" t="inlineStr">
        <is>
          <t>0                      RC 0569500M  8                  A  43          1989</t>
        </is>
      </c>
      <c r="D1376" t="inlineStr">
        <is>
          <t>Multiple personality : an exercise in deception / Ray Aldridge-Morris.</t>
        </is>
      </c>
      <c r="F1376" t="inlineStr">
        <is>
          <t>No</t>
        </is>
      </c>
      <c r="G1376" t="inlineStr">
        <is>
          <t>1</t>
        </is>
      </c>
      <c r="H1376" t="inlineStr">
        <is>
          <t>No</t>
        </is>
      </c>
      <c r="I1376" t="inlineStr">
        <is>
          <t>No</t>
        </is>
      </c>
      <c r="J1376" t="inlineStr">
        <is>
          <t>0</t>
        </is>
      </c>
      <c r="K1376" t="inlineStr">
        <is>
          <t>Aldridge-Morris, Ray.</t>
        </is>
      </c>
      <c r="L1376" t="inlineStr">
        <is>
          <t>Hove, UK ; Hillsdale, USA : Lawrence Erlbaum Associates, c1989.</t>
        </is>
      </c>
      <c r="M1376" t="inlineStr">
        <is>
          <t>1989</t>
        </is>
      </c>
      <c r="O1376" t="inlineStr">
        <is>
          <t>eng</t>
        </is>
      </c>
      <c r="P1376" t="inlineStr">
        <is>
          <t>enk</t>
        </is>
      </c>
      <c r="R1376" t="inlineStr">
        <is>
          <t xml:space="preserve">RC </t>
        </is>
      </c>
      <c r="S1376" t="n">
        <v>29</v>
      </c>
      <c r="T1376" t="n">
        <v>29</v>
      </c>
      <c r="U1376" t="inlineStr">
        <is>
          <t>2008-10-22</t>
        </is>
      </c>
      <c r="V1376" t="inlineStr">
        <is>
          <t>2008-10-22</t>
        </is>
      </c>
      <c r="W1376" t="inlineStr">
        <is>
          <t>1992-02-21</t>
        </is>
      </c>
      <c r="X1376" t="inlineStr">
        <is>
          <t>1992-02-21</t>
        </is>
      </c>
      <c r="Y1376" t="n">
        <v>408</v>
      </c>
      <c r="Z1376" t="n">
        <v>330</v>
      </c>
      <c r="AA1376" t="n">
        <v>422</v>
      </c>
      <c r="AB1376" t="n">
        <v>4</v>
      </c>
      <c r="AC1376" t="n">
        <v>4</v>
      </c>
      <c r="AD1376" t="n">
        <v>15</v>
      </c>
      <c r="AE1376" t="n">
        <v>19</v>
      </c>
      <c r="AF1376" t="n">
        <v>6</v>
      </c>
      <c r="AG1376" t="n">
        <v>6</v>
      </c>
      <c r="AH1376" t="n">
        <v>2</v>
      </c>
      <c r="AI1376" t="n">
        <v>2</v>
      </c>
      <c r="AJ1376" t="n">
        <v>9</v>
      </c>
      <c r="AK1376" t="n">
        <v>13</v>
      </c>
      <c r="AL1376" t="n">
        <v>3</v>
      </c>
      <c r="AM1376" t="n">
        <v>3</v>
      </c>
      <c r="AN1376" t="n">
        <v>0</v>
      </c>
      <c r="AO1376" t="n">
        <v>0</v>
      </c>
      <c r="AP1376" t="inlineStr">
        <is>
          <t>No</t>
        </is>
      </c>
      <c r="AQ1376" t="inlineStr">
        <is>
          <t>No</t>
        </is>
      </c>
      <c r="AS1376">
        <f>HYPERLINK("https://creighton-primo.hosted.exlibrisgroup.com/primo-explore/search?tab=default_tab&amp;search_scope=EVERYTHING&amp;vid=01CRU&amp;lang=en_US&amp;offset=0&amp;query=any,contains,991001870799702656","Catalog Record")</f>
        <v/>
      </c>
      <c r="AT1376">
        <f>HYPERLINK("http://www.worldcat.org/oclc/23585032","WorldCat Record")</f>
        <v/>
      </c>
      <c r="AU1376" t="inlineStr">
        <is>
          <t>47259702:eng</t>
        </is>
      </c>
      <c r="AV1376" t="inlineStr">
        <is>
          <t>23585032</t>
        </is>
      </c>
      <c r="AW1376" t="inlineStr">
        <is>
          <t>991001870799702656</t>
        </is>
      </c>
      <c r="AX1376" t="inlineStr">
        <is>
          <t>991001870799702656</t>
        </is>
      </c>
      <c r="AY1376" t="inlineStr">
        <is>
          <t>2254750400002656</t>
        </is>
      </c>
      <c r="AZ1376" t="inlineStr">
        <is>
          <t>BOOK</t>
        </is>
      </c>
      <c r="BB1376" t="inlineStr">
        <is>
          <t>9780863771286</t>
        </is>
      </c>
      <c r="BC1376" t="inlineStr">
        <is>
          <t>32285000935139</t>
        </is>
      </c>
      <c r="BD1376" t="inlineStr">
        <is>
          <t>893244472</t>
        </is>
      </c>
    </row>
    <row r="1377">
      <c r="A1377" t="inlineStr">
        <is>
          <t>No</t>
        </is>
      </c>
      <c r="B1377" t="inlineStr">
        <is>
          <t>RC569.5.M8 B788 1996</t>
        </is>
      </c>
      <c r="C1377" t="inlineStr">
        <is>
          <t>0                      RC 0569500M  8                  B  788         1996</t>
        </is>
      </c>
      <c r="D1377" t="inlineStr">
        <is>
          <t>Beyond integration : one multiple's journey / Doris Bryant, Judy Kessler.</t>
        </is>
      </c>
      <c r="F1377" t="inlineStr">
        <is>
          <t>No</t>
        </is>
      </c>
      <c r="G1377" t="inlineStr">
        <is>
          <t>1</t>
        </is>
      </c>
      <c r="H1377" t="inlineStr">
        <is>
          <t>No</t>
        </is>
      </c>
      <c r="I1377" t="inlineStr">
        <is>
          <t>No</t>
        </is>
      </c>
      <c r="J1377" t="inlineStr">
        <is>
          <t>0</t>
        </is>
      </c>
      <c r="K1377" t="inlineStr">
        <is>
          <t>Bryant, Doris.</t>
        </is>
      </c>
      <c r="L1377" t="inlineStr">
        <is>
          <t>New York : W. W. Norton &amp; Co., 1996.</t>
        </is>
      </c>
      <c r="M1377" t="inlineStr">
        <is>
          <t>1996</t>
        </is>
      </c>
      <c r="O1377" t="inlineStr">
        <is>
          <t>eng</t>
        </is>
      </c>
      <c r="P1377" t="inlineStr">
        <is>
          <t>nyu</t>
        </is>
      </c>
      <c r="R1377" t="inlineStr">
        <is>
          <t xml:space="preserve">RC </t>
        </is>
      </c>
      <c r="S1377" t="n">
        <v>10</v>
      </c>
      <c r="T1377" t="n">
        <v>10</v>
      </c>
      <c r="U1377" t="inlineStr">
        <is>
          <t>2006-11-25</t>
        </is>
      </c>
      <c r="V1377" t="inlineStr">
        <is>
          <t>2006-11-25</t>
        </is>
      </c>
      <c r="W1377" t="inlineStr">
        <is>
          <t>1996-11-25</t>
        </is>
      </c>
      <c r="X1377" t="inlineStr">
        <is>
          <t>1996-11-25</t>
        </is>
      </c>
      <c r="Y1377" t="n">
        <v>141</v>
      </c>
      <c r="Z1377" t="n">
        <v>126</v>
      </c>
      <c r="AA1377" t="n">
        <v>126</v>
      </c>
      <c r="AB1377" t="n">
        <v>1</v>
      </c>
      <c r="AC1377" t="n">
        <v>1</v>
      </c>
      <c r="AD1377" t="n">
        <v>6</v>
      </c>
      <c r="AE1377" t="n">
        <v>6</v>
      </c>
      <c r="AF1377" t="n">
        <v>2</v>
      </c>
      <c r="AG1377" t="n">
        <v>2</v>
      </c>
      <c r="AH1377" t="n">
        <v>2</v>
      </c>
      <c r="AI1377" t="n">
        <v>2</v>
      </c>
      <c r="AJ1377" t="n">
        <v>3</v>
      </c>
      <c r="AK1377" t="n">
        <v>3</v>
      </c>
      <c r="AL1377" t="n">
        <v>0</v>
      </c>
      <c r="AM1377" t="n">
        <v>0</v>
      </c>
      <c r="AN1377" t="n">
        <v>0</v>
      </c>
      <c r="AO1377" t="n">
        <v>0</v>
      </c>
      <c r="AP1377" t="inlineStr">
        <is>
          <t>No</t>
        </is>
      </c>
      <c r="AQ1377" t="inlineStr">
        <is>
          <t>No</t>
        </is>
      </c>
      <c r="AS1377">
        <f>HYPERLINK("https://creighton-primo.hosted.exlibrisgroup.com/primo-explore/search?tab=default_tab&amp;search_scope=EVERYTHING&amp;vid=01CRU&amp;lang=en_US&amp;offset=0&amp;query=any,contains,991002532199702656","Catalog Record")</f>
        <v/>
      </c>
      <c r="AT1377">
        <f>HYPERLINK("http://www.worldcat.org/oclc/32894959","WorldCat Record")</f>
        <v/>
      </c>
      <c r="AU1377" t="inlineStr">
        <is>
          <t>836972608:eng</t>
        </is>
      </c>
      <c r="AV1377" t="inlineStr">
        <is>
          <t>32894959</t>
        </is>
      </c>
      <c r="AW1377" t="inlineStr">
        <is>
          <t>991002532199702656</t>
        </is>
      </c>
      <c r="AX1377" t="inlineStr">
        <is>
          <t>991002532199702656</t>
        </is>
      </c>
      <c r="AY1377" t="inlineStr">
        <is>
          <t>2257430680002656</t>
        </is>
      </c>
      <c r="AZ1377" t="inlineStr">
        <is>
          <t>BOOK</t>
        </is>
      </c>
      <c r="BB1377" t="inlineStr">
        <is>
          <t>9780393702064</t>
        </is>
      </c>
      <c r="BC1377" t="inlineStr">
        <is>
          <t>32285002395803</t>
        </is>
      </c>
      <c r="BD1377" t="inlineStr">
        <is>
          <t>893440250</t>
        </is>
      </c>
    </row>
    <row r="1378">
      <c r="A1378" t="inlineStr">
        <is>
          <t>No</t>
        </is>
      </c>
      <c r="B1378" t="inlineStr">
        <is>
          <t>RC569.5.M8 C66 1983</t>
        </is>
      </c>
      <c r="C1378" t="inlineStr">
        <is>
          <t>0                      RC 0569500M  8                  C  66          1983</t>
        </is>
      </c>
      <c r="D1378" t="inlineStr">
        <is>
          <t>Multiple personality : etiology, diagnosis, and treatment / William N. Confer, Billie S. Ables.</t>
        </is>
      </c>
      <c r="F1378" t="inlineStr">
        <is>
          <t>No</t>
        </is>
      </c>
      <c r="G1378" t="inlineStr">
        <is>
          <t>1</t>
        </is>
      </c>
      <c r="H1378" t="inlineStr">
        <is>
          <t>No</t>
        </is>
      </c>
      <c r="I1378" t="inlineStr">
        <is>
          <t>No</t>
        </is>
      </c>
      <c r="J1378" t="inlineStr">
        <is>
          <t>0</t>
        </is>
      </c>
      <c r="K1378" t="inlineStr">
        <is>
          <t>Confer, William N.</t>
        </is>
      </c>
      <c r="L1378" t="inlineStr">
        <is>
          <t>New York, N.Y. : Human Sciences Press, c1983.</t>
        </is>
      </c>
      <c r="M1378" t="inlineStr">
        <is>
          <t>1983</t>
        </is>
      </c>
      <c r="O1378" t="inlineStr">
        <is>
          <t>eng</t>
        </is>
      </c>
      <c r="P1378" t="inlineStr">
        <is>
          <t>nyu</t>
        </is>
      </c>
      <c r="R1378" t="inlineStr">
        <is>
          <t xml:space="preserve">RC </t>
        </is>
      </c>
      <c r="S1378" t="n">
        <v>43</v>
      </c>
      <c r="T1378" t="n">
        <v>43</v>
      </c>
      <c r="U1378" t="inlineStr">
        <is>
          <t>2007-02-19</t>
        </is>
      </c>
      <c r="V1378" t="inlineStr">
        <is>
          <t>2007-02-19</t>
        </is>
      </c>
      <c r="W1378" t="inlineStr">
        <is>
          <t>1992-03-10</t>
        </is>
      </c>
      <c r="X1378" t="inlineStr">
        <is>
          <t>1992-03-10</t>
        </is>
      </c>
      <c r="Y1378" t="n">
        <v>221</v>
      </c>
      <c r="Z1378" t="n">
        <v>184</v>
      </c>
      <c r="AA1378" t="n">
        <v>186</v>
      </c>
      <c r="AB1378" t="n">
        <v>3</v>
      </c>
      <c r="AC1378" t="n">
        <v>3</v>
      </c>
      <c r="AD1378" t="n">
        <v>5</v>
      </c>
      <c r="AE1378" t="n">
        <v>5</v>
      </c>
      <c r="AF1378" t="n">
        <v>2</v>
      </c>
      <c r="AG1378" t="n">
        <v>2</v>
      </c>
      <c r="AH1378" t="n">
        <v>0</v>
      </c>
      <c r="AI1378" t="n">
        <v>0</v>
      </c>
      <c r="AJ1378" t="n">
        <v>2</v>
      </c>
      <c r="AK1378" t="n">
        <v>2</v>
      </c>
      <c r="AL1378" t="n">
        <v>2</v>
      </c>
      <c r="AM1378" t="n">
        <v>2</v>
      </c>
      <c r="AN1378" t="n">
        <v>0</v>
      </c>
      <c r="AO1378" t="n">
        <v>0</v>
      </c>
      <c r="AP1378" t="inlineStr">
        <is>
          <t>No</t>
        </is>
      </c>
      <c r="AQ1378" t="inlineStr">
        <is>
          <t>Yes</t>
        </is>
      </c>
      <c r="AR1378">
        <f>HYPERLINK("http://catalog.hathitrust.org/Record/000279356","HathiTrust Record")</f>
        <v/>
      </c>
      <c r="AS1378">
        <f>HYPERLINK("https://creighton-primo.hosted.exlibrisgroup.com/primo-explore/search?tab=default_tab&amp;search_scope=EVERYTHING&amp;vid=01CRU&amp;lang=en_US&amp;offset=0&amp;query=any,contains,991005226849702656","Catalog Record")</f>
        <v/>
      </c>
      <c r="AT1378">
        <f>HYPERLINK("http://www.worldcat.org/oclc/8283367","WorldCat Record")</f>
        <v/>
      </c>
      <c r="AU1378" t="inlineStr">
        <is>
          <t>554999:eng</t>
        </is>
      </c>
      <c r="AV1378" t="inlineStr">
        <is>
          <t>8283367</t>
        </is>
      </c>
      <c r="AW1378" t="inlineStr">
        <is>
          <t>991005226849702656</t>
        </is>
      </c>
      <c r="AX1378" t="inlineStr">
        <is>
          <t>991005226849702656</t>
        </is>
      </c>
      <c r="AY1378" t="inlineStr">
        <is>
          <t>2268586260002656</t>
        </is>
      </c>
      <c r="AZ1378" t="inlineStr">
        <is>
          <t>BOOK</t>
        </is>
      </c>
      <c r="BB1378" t="inlineStr">
        <is>
          <t>9780898850819</t>
        </is>
      </c>
      <c r="BC1378" t="inlineStr">
        <is>
          <t>32285001000941</t>
        </is>
      </c>
      <c r="BD1378" t="inlineStr">
        <is>
          <t>893625661</t>
        </is>
      </c>
    </row>
    <row r="1379">
      <c r="A1379" t="inlineStr">
        <is>
          <t>No</t>
        </is>
      </c>
      <c r="B1379" t="inlineStr">
        <is>
          <t>RC569.5.M8 G58 1993</t>
        </is>
      </c>
      <c r="C1379" t="inlineStr">
        <is>
          <t>0                      RC 0569500M  8                  G  58          1993</t>
        </is>
      </c>
      <c r="D1379" t="inlineStr">
        <is>
          <t>Shattered selves : multiple personality in a postmodern world / James. M. Glass.</t>
        </is>
      </c>
      <c r="F1379" t="inlineStr">
        <is>
          <t>No</t>
        </is>
      </c>
      <c r="G1379" t="inlineStr">
        <is>
          <t>1</t>
        </is>
      </c>
      <c r="H1379" t="inlineStr">
        <is>
          <t>No</t>
        </is>
      </c>
      <c r="I1379" t="inlineStr">
        <is>
          <t>No</t>
        </is>
      </c>
      <c r="J1379" t="inlineStr">
        <is>
          <t>0</t>
        </is>
      </c>
      <c r="K1379" t="inlineStr">
        <is>
          <t>Glass, James M.</t>
        </is>
      </c>
      <c r="L1379" t="inlineStr">
        <is>
          <t>Ithaca : Cornell University Press, 1993.</t>
        </is>
      </c>
      <c r="M1379" t="inlineStr">
        <is>
          <t>1993</t>
        </is>
      </c>
      <c r="O1379" t="inlineStr">
        <is>
          <t>eng</t>
        </is>
      </c>
      <c r="P1379" t="inlineStr">
        <is>
          <t>nyu</t>
        </is>
      </c>
      <c r="R1379" t="inlineStr">
        <is>
          <t xml:space="preserve">RC </t>
        </is>
      </c>
      <c r="S1379" t="n">
        <v>23</v>
      </c>
      <c r="T1379" t="n">
        <v>23</v>
      </c>
      <c r="U1379" t="inlineStr">
        <is>
          <t>2008-09-12</t>
        </is>
      </c>
      <c r="V1379" t="inlineStr">
        <is>
          <t>2008-09-12</t>
        </is>
      </c>
      <c r="W1379" t="inlineStr">
        <is>
          <t>1994-02-14</t>
        </is>
      </c>
      <c r="X1379" t="inlineStr">
        <is>
          <t>1994-02-14</t>
        </is>
      </c>
      <c r="Y1379" t="n">
        <v>419</v>
      </c>
      <c r="Z1379" t="n">
        <v>344</v>
      </c>
      <c r="AA1379" t="n">
        <v>352</v>
      </c>
      <c r="AB1379" t="n">
        <v>2</v>
      </c>
      <c r="AC1379" t="n">
        <v>2</v>
      </c>
      <c r="AD1379" t="n">
        <v>20</v>
      </c>
      <c r="AE1379" t="n">
        <v>20</v>
      </c>
      <c r="AF1379" t="n">
        <v>5</v>
      </c>
      <c r="AG1379" t="n">
        <v>5</v>
      </c>
      <c r="AH1379" t="n">
        <v>4</v>
      </c>
      <c r="AI1379" t="n">
        <v>4</v>
      </c>
      <c r="AJ1379" t="n">
        <v>16</v>
      </c>
      <c r="AK1379" t="n">
        <v>16</v>
      </c>
      <c r="AL1379" t="n">
        <v>0</v>
      </c>
      <c r="AM1379" t="n">
        <v>0</v>
      </c>
      <c r="AN1379" t="n">
        <v>0</v>
      </c>
      <c r="AO1379" t="n">
        <v>0</v>
      </c>
      <c r="AP1379" t="inlineStr">
        <is>
          <t>No</t>
        </is>
      </c>
      <c r="AQ1379" t="inlineStr">
        <is>
          <t>No</t>
        </is>
      </c>
      <c r="AS1379">
        <f>HYPERLINK("https://creighton-primo.hosted.exlibrisgroup.com/primo-explore/search?tab=default_tab&amp;search_scope=EVERYTHING&amp;vid=01CRU&amp;lang=en_US&amp;offset=0&amp;query=any,contains,991002095879702656","Catalog Record")</f>
        <v/>
      </c>
      <c r="AT1379">
        <f>HYPERLINK("http://www.worldcat.org/oclc/26858343","WorldCat Record")</f>
        <v/>
      </c>
      <c r="AU1379" t="inlineStr">
        <is>
          <t>29307261:eng</t>
        </is>
      </c>
      <c r="AV1379" t="inlineStr">
        <is>
          <t>26858343</t>
        </is>
      </c>
      <c r="AW1379" t="inlineStr">
        <is>
          <t>991002095879702656</t>
        </is>
      </c>
      <c r="AX1379" t="inlineStr">
        <is>
          <t>991002095879702656</t>
        </is>
      </c>
      <c r="AY1379" t="inlineStr">
        <is>
          <t>2268345340002656</t>
        </is>
      </c>
      <c r="AZ1379" t="inlineStr">
        <is>
          <t>BOOK</t>
        </is>
      </c>
      <c r="BB1379" t="inlineStr">
        <is>
          <t>9780801428098</t>
        </is>
      </c>
      <c r="BC1379" t="inlineStr">
        <is>
          <t>32285001842011</t>
        </is>
      </c>
      <c r="BD1379" t="inlineStr">
        <is>
          <t>893773216</t>
        </is>
      </c>
    </row>
    <row r="1380">
      <c r="A1380" t="inlineStr">
        <is>
          <t>No</t>
        </is>
      </c>
      <c r="B1380" t="inlineStr">
        <is>
          <t>RC569.5.M8 P87 1989</t>
        </is>
      </c>
      <c r="C1380" t="inlineStr">
        <is>
          <t>0                      RC 0569500M  8                  P  87          1989</t>
        </is>
      </c>
      <c r="D1380" t="inlineStr">
        <is>
          <t>Diagnosis and treatment of multiple personality disorder / Frank W. Putnam.</t>
        </is>
      </c>
      <c r="F1380" t="inlineStr">
        <is>
          <t>No</t>
        </is>
      </c>
      <c r="G1380" t="inlineStr">
        <is>
          <t>1</t>
        </is>
      </c>
      <c r="H1380" t="inlineStr">
        <is>
          <t>No</t>
        </is>
      </c>
      <c r="I1380" t="inlineStr">
        <is>
          <t>No</t>
        </is>
      </c>
      <c r="J1380" t="inlineStr">
        <is>
          <t>0</t>
        </is>
      </c>
      <c r="K1380" t="inlineStr">
        <is>
          <t>Putnam, Frank W., 1947-</t>
        </is>
      </c>
      <c r="L1380" t="inlineStr">
        <is>
          <t>New York : Guilford Press, c1989.</t>
        </is>
      </c>
      <c r="M1380" t="inlineStr">
        <is>
          <t>1989</t>
        </is>
      </c>
      <c r="O1380" t="inlineStr">
        <is>
          <t>eng</t>
        </is>
      </c>
      <c r="P1380" t="inlineStr">
        <is>
          <t>nyu</t>
        </is>
      </c>
      <c r="Q1380" t="inlineStr">
        <is>
          <t>Foundations of modern psychiatry</t>
        </is>
      </c>
      <c r="R1380" t="inlineStr">
        <is>
          <t xml:space="preserve">RC </t>
        </is>
      </c>
      <c r="S1380" t="n">
        <v>57</v>
      </c>
      <c r="T1380" t="n">
        <v>57</v>
      </c>
      <c r="U1380" t="inlineStr">
        <is>
          <t>2008-10-24</t>
        </is>
      </c>
      <c r="V1380" t="inlineStr">
        <is>
          <t>2008-10-24</t>
        </is>
      </c>
      <c r="W1380" t="inlineStr">
        <is>
          <t>1992-12-08</t>
        </is>
      </c>
      <c r="X1380" t="inlineStr">
        <is>
          <t>1992-12-08</t>
        </is>
      </c>
      <c r="Y1380" t="n">
        <v>652</v>
      </c>
      <c r="Z1380" t="n">
        <v>528</v>
      </c>
      <c r="AA1380" t="n">
        <v>529</v>
      </c>
      <c r="AB1380" t="n">
        <v>2</v>
      </c>
      <c r="AC1380" t="n">
        <v>2</v>
      </c>
      <c r="AD1380" t="n">
        <v>15</v>
      </c>
      <c r="AE1380" t="n">
        <v>15</v>
      </c>
      <c r="AF1380" t="n">
        <v>5</v>
      </c>
      <c r="AG1380" t="n">
        <v>5</v>
      </c>
      <c r="AH1380" t="n">
        <v>3</v>
      </c>
      <c r="AI1380" t="n">
        <v>3</v>
      </c>
      <c r="AJ1380" t="n">
        <v>12</v>
      </c>
      <c r="AK1380" t="n">
        <v>12</v>
      </c>
      <c r="AL1380" t="n">
        <v>1</v>
      </c>
      <c r="AM1380" t="n">
        <v>1</v>
      </c>
      <c r="AN1380" t="n">
        <v>0</v>
      </c>
      <c r="AO1380" t="n">
        <v>0</v>
      </c>
      <c r="AP1380" t="inlineStr">
        <is>
          <t>No</t>
        </is>
      </c>
      <c r="AQ1380" t="inlineStr">
        <is>
          <t>No</t>
        </is>
      </c>
      <c r="AS1380">
        <f>HYPERLINK("https://creighton-primo.hosted.exlibrisgroup.com/primo-explore/search?tab=default_tab&amp;search_scope=EVERYTHING&amp;vid=01CRU&amp;lang=en_US&amp;offset=0&amp;query=any,contains,991001275689702656","Catalog Record")</f>
        <v/>
      </c>
      <c r="AT1380">
        <f>HYPERLINK("http://www.worldcat.org/oclc/17874005","WorldCat Record")</f>
        <v/>
      </c>
      <c r="AU1380" t="inlineStr">
        <is>
          <t>933090:eng</t>
        </is>
      </c>
      <c r="AV1380" t="inlineStr">
        <is>
          <t>17874005</t>
        </is>
      </c>
      <c r="AW1380" t="inlineStr">
        <is>
          <t>991001275689702656</t>
        </is>
      </c>
      <c r="AX1380" t="inlineStr">
        <is>
          <t>991001275689702656</t>
        </is>
      </c>
      <c r="AY1380" t="inlineStr">
        <is>
          <t>2267507020002656</t>
        </is>
      </c>
      <c r="AZ1380" t="inlineStr">
        <is>
          <t>BOOK</t>
        </is>
      </c>
      <c r="BB1380" t="inlineStr">
        <is>
          <t>9780898621778</t>
        </is>
      </c>
      <c r="BC1380" t="inlineStr">
        <is>
          <t>32285001401438</t>
        </is>
      </c>
      <c r="BD1380" t="inlineStr">
        <is>
          <t>893420220</t>
        </is>
      </c>
    </row>
    <row r="1381">
      <c r="A1381" t="inlineStr">
        <is>
          <t>No</t>
        </is>
      </c>
      <c r="B1381" t="inlineStr">
        <is>
          <t>RC569.5.R59 W75 1994</t>
        </is>
      </c>
      <c r="C1381" t="inlineStr">
        <is>
          <t>0                      RC 0569500R  59                 W  75          1994</t>
        </is>
      </c>
      <c r="D1381" t="inlineStr">
        <is>
          <t>Remembering Satan / by Lawrence Wright.</t>
        </is>
      </c>
      <c r="F1381" t="inlineStr">
        <is>
          <t>No</t>
        </is>
      </c>
      <c r="G1381" t="inlineStr">
        <is>
          <t>1</t>
        </is>
      </c>
      <c r="H1381" t="inlineStr">
        <is>
          <t>No</t>
        </is>
      </c>
      <c r="I1381" t="inlineStr">
        <is>
          <t>No</t>
        </is>
      </c>
      <c r="J1381" t="inlineStr">
        <is>
          <t>0</t>
        </is>
      </c>
      <c r="K1381" t="inlineStr">
        <is>
          <t>Wright, Lawrence, 1947-</t>
        </is>
      </c>
      <c r="L1381" t="inlineStr">
        <is>
          <t>New York : Knopf, 1994.</t>
        </is>
      </c>
      <c r="M1381" t="inlineStr">
        <is>
          <t>1994</t>
        </is>
      </c>
      <c r="N1381" t="inlineStr">
        <is>
          <t>1st ed.</t>
        </is>
      </c>
      <c r="O1381" t="inlineStr">
        <is>
          <t>eng</t>
        </is>
      </c>
      <c r="P1381" t="inlineStr">
        <is>
          <t>nyu</t>
        </is>
      </c>
      <c r="R1381" t="inlineStr">
        <is>
          <t xml:space="preserve">RC </t>
        </is>
      </c>
      <c r="S1381" t="n">
        <v>4</v>
      </c>
      <c r="T1381" t="n">
        <v>4</v>
      </c>
      <c r="U1381" t="inlineStr">
        <is>
          <t>2001-01-08</t>
        </is>
      </c>
      <c r="V1381" t="inlineStr">
        <is>
          <t>2001-01-08</t>
        </is>
      </c>
      <c r="W1381" t="inlineStr">
        <is>
          <t>1994-07-25</t>
        </is>
      </c>
      <c r="X1381" t="inlineStr">
        <is>
          <t>1994-07-25</t>
        </is>
      </c>
      <c r="Y1381" t="n">
        <v>679</v>
      </c>
      <c r="Z1381" t="n">
        <v>629</v>
      </c>
      <c r="AA1381" t="n">
        <v>735</v>
      </c>
      <c r="AB1381" t="n">
        <v>4</v>
      </c>
      <c r="AC1381" t="n">
        <v>4</v>
      </c>
      <c r="AD1381" t="n">
        <v>20</v>
      </c>
      <c r="AE1381" t="n">
        <v>21</v>
      </c>
      <c r="AF1381" t="n">
        <v>4</v>
      </c>
      <c r="AG1381" t="n">
        <v>5</v>
      </c>
      <c r="AH1381" t="n">
        <v>2</v>
      </c>
      <c r="AI1381" t="n">
        <v>2</v>
      </c>
      <c r="AJ1381" t="n">
        <v>12</v>
      </c>
      <c r="AK1381" t="n">
        <v>12</v>
      </c>
      <c r="AL1381" t="n">
        <v>2</v>
      </c>
      <c r="AM1381" t="n">
        <v>2</v>
      </c>
      <c r="AN1381" t="n">
        <v>2</v>
      </c>
      <c r="AO1381" t="n">
        <v>2</v>
      </c>
      <c r="AP1381" t="inlineStr">
        <is>
          <t>No</t>
        </is>
      </c>
      <c r="AQ1381" t="inlineStr">
        <is>
          <t>Yes</t>
        </is>
      </c>
      <c r="AR1381">
        <f>HYPERLINK("http://catalog.hathitrust.org/Record/002806449","HathiTrust Record")</f>
        <v/>
      </c>
      <c r="AS1381">
        <f>HYPERLINK("https://creighton-primo.hosted.exlibrisgroup.com/primo-explore/search?tab=default_tab&amp;search_scope=EVERYTHING&amp;vid=01CRU&amp;lang=en_US&amp;offset=0&amp;query=any,contains,991002241049702656","Catalog Record")</f>
        <v/>
      </c>
      <c r="AT1381">
        <f>HYPERLINK("http://www.worldcat.org/oclc/28892012","WorldCat Record")</f>
        <v/>
      </c>
      <c r="AU1381" t="inlineStr">
        <is>
          <t>31571615:eng</t>
        </is>
      </c>
      <c r="AV1381" t="inlineStr">
        <is>
          <t>28892012</t>
        </is>
      </c>
      <c r="AW1381" t="inlineStr">
        <is>
          <t>991002241049702656</t>
        </is>
      </c>
      <c r="AX1381" t="inlineStr">
        <is>
          <t>991002241049702656</t>
        </is>
      </c>
      <c r="AY1381" t="inlineStr">
        <is>
          <t>2265810130002656</t>
        </is>
      </c>
      <c r="AZ1381" t="inlineStr">
        <is>
          <t>BOOK</t>
        </is>
      </c>
      <c r="BB1381" t="inlineStr">
        <is>
          <t>9780679431558</t>
        </is>
      </c>
      <c r="BC1381" t="inlineStr">
        <is>
          <t>32285001933174</t>
        </is>
      </c>
      <c r="BD1381" t="inlineStr">
        <is>
          <t>893232724</t>
        </is>
      </c>
    </row>
    <row r="1382">
      <c r="A1382" t="inlineStr">
        <is>
          <t>No</t>
        </is>
      </c>
      <c r="B1382" t="inlineStr">
        <is>
          <t>RC569.5.S45 M36</t>
        </is>
      </c>
      <c r="C1382" t="inlineStr">
        <is>
          <t>0                      RC 0569500S  45                 M  36</t>
        </is>
      </c>
      <c r="D1382" t="inlineStr">
        <is>
          <t>The many faces of suicide : indirect self-destructive behavior / edited by Norman L. Farberow.</t>
        </is>
      </c>
      <c r="F1382" t="inlineStr">
        <is>
          <t>No</t>
        </is>
      </c>
      <c r="G1382" t="inlineStr">
        <is>
          <t>1</t>
        </is>
      </c>
      <c r="H1382" t="inlineStr">
        <is>
          <t>No</t>
        </is>
      </c>
      <c r="I1382" t="inlineStr">
        <is>
          <t>No</t>
        </is>
      </c>
      <c r="J1382" t="inlineStr">
        <is>
          <t>0</t>
        </is>
      </c>
      <c r="L1382" t="inlineStr">
        <is>
          <t>New York : McGraw-Hill, c1980.</t>
        </is>
      </c>
      <c r="M1382" t="inlineStr">
        <is>
          <t>1980</t>
        </is>
      </c>
      <c r="O1382" t="inlineStr">
        <is>
          <t>eng</t>
        </is>
      </c>
      <c r="P1382" t="inlineStr">
        <is>
          <t>nyu</t>
        </is>
      </c>
      <c r="R1382" t="inlineStr">
        <is>
          <t xml:space="preserve">RC </t>
        </is>
      </c>
      <c r="S1382" t="n">
        <v>11</v>
      </c>
      <c r="T1382" t="n">
        <v>11</v>
      </c>
      <c r="U1382" t="inlineStr">
        <is>
          <t>2006-10-17</t>
        </is>
      </c>
      <c r="V1382" t="inlineStr">
        <is>
          <t>2006-10-17</t>
        </is>
      </c>
      <c r="W1382" t="inlineStr">
        <is>
          <t>1990-06-01</t>
        </is>
      </c>
      <c r="X1382" t="inlineStr">
        <is>
          <t>1990-06-01</t>
        </is>
      </c>
      <c r="Y1382" t="n">
        <v>909</v>
      </c>
      <c r="Z1382" t="n">
        <v>787</v>
      </c>
      <c r="AA1382" t="n">
        <v>794</v>
      </c>
      <c r="AB1382" t="n">
        <v>6</v>
      </c>
      <c r="AC1382" t="n">
        <v>6</v>
      </c>
      <c r="AD1382" t="n">
        <v>27</v>
      </c>
      <c r="AE1382" t="n">
        <v>27</v>
      </c>
      <c r="AF1382" t="n">
        <v>10</v>
      </c>
      <c r="AG1382" t="n">
        <v>10</v>
      </c>
      <c r="AH1382" t="n">
        <v>4</v>
      </c>
      <c r="AI1382" t="n">
        <v>4</v>
      </c>
      <c r="AJ1382" t="n">
        <v>16</v>
      </c>
      <c r="AK1382" t="n">
        <v>16</v>
      </c>
      <c r="AL1382" t="n">
        <v>4</v>
      </c>
      <c r="AM1382" t="n">
        <v>4</v>
      </c>
      <c r="AN1382" t="n">
        <v>1</v>
      </c>
      <c r="AO1382" t="n">
        <v>1</v>
      </c>
      <c r="AP1382" t="inlineStr">
        <is>
          <t>No</t>
        </is>
      </c>
      <c r="AQ1382" t="inlineStr">
        <is>
          <t>Yes</t>
        </is>
      </c>
      <c r="AR1382">
        <f>HYPERLINK("http://catalog.hathitrust.org/Record/000707561","HathiTrust Record")</f>
        <v/>
      </c>
      <c r="AS1382">
        <f>HYPERLINK("https://creighton-primo.hosted.exlibrisgroup.com/primo-explore/search?tab=default_tab&amp;search_scope=EVERYTHING&amp;vid=01CRU&amp;lang=en_US&amp;offset=0&amp;query=any,contains,991004808089702656","Catalog Record")</f>
        <v/>
      </c>
      <c r="AT1382">
        <f>HYPERLINK("http://www.worldcat.org/oclc/5264296","WorldCat Record")</f>
        <v/>
      </c>
      <c r="AU1382" t="inlineStr">
        <is>
          <t>890517356:eng</t>
        </is>
      </c>
      <c r="AV1382" t="inlineStr">
        <is>
          <t>5264296</t>
        </is>
      </c>
      <c r="AW1382" t="inlineStr">
        <is>
          <t>991004808089702656</t>
        </is>
      </c>
      <c r="AX1382" t="inlineStr">
        <is>
          <t>991004808089702656</t>
        </is>
      </c>
      <c r="AY1382" t="inlineStr">
        <is>
          <t>2258593420002656</t>
        </is>
      </c>
      <c r="AZ1382" t="inlineStr">
        <is>
          <t>BOOK</t>
        </is>
      </c>
      <c r="BB1382" t="inlineStr">
        <is>
          <t>9780070199446</t>
        </is>
      </c>
      <c r="BC1382" t="inlineStr">
        <is>
          <t>32285000180199</t>
        </is>
      </c>
      <c r="BD1382" t="inlineStr">
        <is>
          <t>893612797</t>
        </is>
      </c>
    </row>
    <row r="1383">
      <c r="A1383" t="inlineStr">
        <is>
          <t>No</t>
        </is>
      </c>
      <c r="B1383" t="inlineStr">
        <is>
          <t>RC569.5.S74 S74 1996</t>
        </is>
      </c>
      <c r="C1383" t="inlineStr">
        <is>
          <t>0                      RC 0569500S  74                 S  74          1996</t>
        </is>
      </c>
      <c r="D1383" t="inlineStr">
        <is>
          <t>Stereotyped movements : brain and behavior relationships / Robert L. Sprague, Karl M. Newell, editors.</t>
        </is>
      </c>
      <c r="F1383" t="inlineStr">
        <is>
          <t>No</t>
        </is>
      </c>
      <c r="G1383" t="inlineStr">
        <is>
          <t>1</t>
        </is>
      </c>
      <c r="H1383" t="inlineStr">
        <is>
          <t>No</t>
        </is>
      </c>
      <c r="I1383" t="inlineStr">
        <is>
          <t>No</t>
        </is>
      </c>
      <c r="J1383" t="inlineStr">
        <is>
          <t>0</t>
        </is>
      </c>
      <c r="L1383" t="inlineStr">
        <is>
          <t>Washington, DC : American Psychological Association, c1996.</t>
        </is>
      </c>
      <c r="M1383" t="inlineStr">
        <is>
          <t>1996</t>
        </is>
      </c>
      <c r="N1383" t="inlineStr">
        <is>
          <t>1st ed.</t>
        </is>
      </c>
      <c r="O1383" t="inlineStr">
        <is>
          <t>eng</t>
        </is>
      </c>
      <c r="P1383" t="inlineStr">
        <is>
          <t>dcu</t>
        </is>
      </c>
      <c r="Q1383" t="inlineStr">
        <is>
          <t>APA science volumes</t>
        </is>
      </c>
      <c r="R1383" t="inlineStr">
        <is>
          <t xml:space="preserve">RC </t>
        </is>
      </c>
      <c r="S1383" t="n">
        <v>1</v>
      </c>
      <c r="T1383" t="n">
        <v>1</v>
      </c>
      <c r="U1383" t="inlineStr">
        <is>
          <t>2000-06-27</t>
        </is>
      </c>
      <c r="V1383" t="inlineStr">
        <is>
          <t>2000-06-27</t>
        </is>
      </c>
      <c r="W1383" t="inlineStr">
        <is>
          <t>1998-09-08</t>
        </is>
      </c>
      <c r="X1383" t="inlineStr">
        <is>
          <t>1998-09-08</t>
        </is>
      </c>
      <c r="Y1383" t="n">
        <v>271</v>
      </c>
      <c r="Z1383" t="n">
        <v>212</v>
      </c>
      <c r="AA1383" t="n">
        <v>293</v>
      </c>
      <c r="AB1383" t="n">
        <v>3</v>
      </c>
      <c r="AC1383" t="n">
        <v>4</v>
      </c>
      <c r="AD1383" t="n">
        <v>13</v>
      </c>
      <c r="AE1383" t="n">
        <v>18</v>
      </c>
      <c r="AF1383" t="n">
        <v>3</v>
      </c>
      <c r="AG1383" t="n">
        <v>5</v>
      </c>
      <c r="AH1383" t="n">
        <v>4</v>
      </c>
      <c r="AI1383" t="n">
        <v>4</v>
      </c>
      <c r="AJ1383" t="n">
        <v>8</v>
      </c>
      <c r="AK1383" t="n">
        <v>10</v>
      </c>
      <c r="AL1383" t="n">
        <v>2</v>
      </c>
      <c r="AM1383" t="n">
        <v>3</v>
      </c>
      <c r="AN1383" t="n">
        <v>0</v>
      </c>
      <c r="AO1383" t="n">
        <v>0</v>
      </c>
      <c r="AP1383" t="inlineStr">
        <is>
          <t>No</t>
        </is>
      </c>
      <c r="AQ1383" t="inlineStr">
        <is>
          <t>No</t>
        </is>
      </c>
      <c r="AS1383">
        <f>HYPERLINK("https://creighton-primo.hosted.exlibrisgroup.com/primo-explore/search?tab=default_tab&amp;search_scope=EVERYTHING&amp;vid=01CRU&amp;lang=en_US&amp;offset=0&amp;query=any,contains,991005423289702656","Catalog Record")</f>
        <v/>
      </c>
      <c r="AT1383">
        <f>HYPERLINK("http://www.worldcat.org/oclc/34283366","WorldCat Record")</f>
        <v/>
      </c>
      <c r="AU1383" t="inlineStr">
        <is>
          <t>1078121378:eng</t>
        </is>
      </c>
      <c r="AV1383" t="inlineStr">
        <is>
          <t>34283366</t>
        </is>
      </c>
      <c r="AW1383" t="inlineStr">
        <is>
          <t>991005423289702656</t>
        </is>
      </c>
      <c r="AX1383" t="inlineStr">
        <is>
          <t>991005423289702656</t>
        </is>
      </c>
      <c r="AY1383" t="inlineStr">
        <is>
          <t>2257614380002656</t>
        </is>
      </c>
      <c r="AZ1383" t="inlineStr">
        <is>
          <t>BOOK</t>
        </is>
      </c>
      <c r="BB1383" t="inlineStr">
        <is>
          <t>9781557983015</t>
        </is>
      </c>
      <c r="BC1383" t="inlineStr">
        <is>
          <t>32285003466082</t>
        </is>
      </c>
      <c r="BD1383" t="inlineStr">
        <is>
          <t>893236815</t>
        </is>
      </c>
    </row>
    <row r="1384">
      <c r="A1384" t="inlineStr">
        <is>
          <t>No</t>
        </is>
      </c>
      <c r="B1384" t="inlineStr">
        <is>
          <t>RC569.5.T47 M67 2009</t>
        </is>
      </c>
      <c r="C1384" t="inlineStr">
        <is>
          <t>0                      RC 0569500T  47                 M  67          2009</t>
        </is>
      </c>
      <c r="D1384" t="inlineStr">
        <is>
          <t>The solution of the fist : Dostoevsky and the roots of modern terrorism / John P. Moran.</t>
        </is>
      </c>
      <c r="F1384" t="inlineStr">
        <is>
          <t>No</t>
        </is>
      </c>
      <c r="G1384" t="inlineStr">
        <is>
          <t>1</t>
        </is>
      </c>
      <c r="H1384" t="inlineStr">
        <is>
          <t>No</t>
        </is>
      </c>
      <c r="I1384" t="inlineStr">
        <is>
          <t>No</t>
        </is>
      </c>
      <c r="J1384" t="inlineStr">
        <is>
          <t>0</t>
        </is>
      </c>
      <c r="K1384" t="inlineStr">
        <is>
          <t>Moran, John P.</t>
        </is>
      </c>
      <c r="L1384" t="inlineStr">
        <is>
          <t>Lanham, MD : Lexington Books, c2009.</t>
        </is>
      </c>
      <c r="M1384" t="inlineStr">
        <is>
          <t>2009</t>
        </is>
      </c>
      <c r="O1384" t="inlineStr">
        <is>
          <t>eng</t>
        </is>
      </c>
      <c r="P1384" t="inlineStr">
        <is>
          <t>mdu</t>
        </is>
      </c>
      <c r="R1384" t="inlineStr">
        <is>
          <t xml:space="preserve">RC </t>
        </is>
      </c>
      <c r="S1384" t="n">
        <v>1</v>
      </c>
      <c r="T1384" t="n">
        <v>1</v>
      </c>
      <c r="U1384" t="inlineStr">
        <is>
          <t>2010-03-25</t>
        </is>
      </c>
      <c r="V1384" t="inlineStr">
        <is>
          <t>2010-03-25</t>
        </is>
      </c>
      <c r="W1384" t="inlineStr">
        <is>
          <t>2010-03-25</t>
        </is>
      </c>
      <c r="X1384" t="inlineStr">
        <is>
          <t>2010-03-25</t>
        </is>
      </c>
      <c r="Y1384" t="n">
        <v>146</v>
      </c>
      <c r="Z1384" t="n">
        <v>117</v>
      </c>
      <c r="AA1384" t="n">
        <v>117</v>
      </c>
      <c r="AB1384" t="n">
        <v>1</v>
      </c>
      <c r="AC1384" t="n">
        <v>1</v>
      </c>
      <c r="AD1384" t="n">
        <v>9</v>
      </c>
      <c r="AE1384" t="n">
        <v>9</v>
      </c>
      <c r="AF1384" t="n">
        <v>4</v>
      </c>
      <c r="AG1384" t="n">
        <v>4</v>
      </c>
      <c r="AH1384" t="n">
        <v>3</v>
      </c>
      <c r="AI1384" t="n">
        <v>3</v>
      </c>
      <c r="AJ1384" t="n">
        <v>6</v>
      </c>
      <c r="AK1384" t="n">
        <v>6</v>
      </c>
      <c r="AL1384" t="n">
        <v>0</v>
      </c>
      <c r="AM1384" t="n">
        <v>0</v>
      </c>
      <c r="AN1384" t="n">
        <v>0</v>
      </c>
      <c r="AO1384" t="n">
        <v>0</v>
      </c>
      <c r="AP1384" t="inlineStr">
        <is>
          <t>No</t>
        </is>
      </c>
      <c r="AQ1384" t="inlineStr">
        <is>
          <t>No</t>
        </is>
      </c>
      <c r="AS1384">
        <f>HYPERLINK("https://creighton-primo.hosted.exlibrisgroup.com/primo-explore/search?tab=default_tab&amp;search_scope=EVERYTHING&amp;vid=01CRU&amp;lang=en_US&amp;offset=0&amp;query=any,contains,991005368059702656","Catalog Record")</f>
        <v/>
      </c>
      <c r="AT1384">
        <f>HYPERLINK("http://www.worldcat.org/oclc/316512850","WorldCat Record")</f>
        <v/>
      </c>
      <c r="AU1384" t="inlineStr">
        <is>
          <t>865151377:eng</t>
        </is>
      </c>
      <c r="AV1384" t="inlineStr">
        <is>
          <t>316512850</t>
        </is>
      </c>
      <c r="AW1384" t="inlineStr">
        <is>
          <t>991005368059702656</t>
        </is>
      </c>
      <c r="AX1384" t="inlineStr">
        <is>
          <t>991005368059702656</t>
        </is>
      </c>
      <c r="AY1384" t="inlineStr">
        <is>
          <t>2269151210002656</t>
        </is>
      </c>
      <c r="AZ1384" t="inlineStr">
        <is>
          <t>BOOK</t>
        </is>
      </c>
      <c r="BB1384" t="inlineStr">
        <is>
          <t>9780739129852</t>
        </is>
      </c>
      <c r="BC1384" t="inlineStr">
        <is>
          <t>32285005579536</t>
        </is>
      </c>
      <c r="BD1384" t="inlineStr">
        <is>
          <t>893332846</t>
        </is>
      </c>
    </row>
    <row r="1385">
      <c r="A1385" t="inlineStr">
        <is>
          <t>No</t>
        </is>
      </c>
      <c r="B1385" t="inlineStr">
        <is>
          <t>RC569.5.V55 A29 1992</t>
        </is>
      </c>
      <c r="C1385" t="inlineStr">
        <is>
          <t>0                      RC 0569500V  55                 A  29          1992</t>
        </is>
      </c>
      <c r="D1385" t="inlineStr">
        <is>
          <t>Aggression and violence throughout the life span / Ray DeV. Peters, Robert J. McMahon, Vernon L. Quinsey, editors.</t>
        </is>
      </c>
      <c r="F1385" t="inlineStr">
        <is>
          <t>No</t>
        </is>
      </c>
      <c r="G1385" t="inlineStr">
        <is>
          <t>1</t>
        </is>
      </c>
      <c r="H1385" t="inlineStr">
        <is>
          <t>No</t>
        </is>
      </c>
      <c r="I1385" t="inlineStr">
        <is>
          <t>No</t>
        </is>
      </c>
      <c r="J1385" t="inlineStr">
        <is>
          <t>0</t>
        </is>
      </c>
      <c r="L1385" t="inlineStr">
        <is>
          <t>Newbury Park, Calif. : Sage Publications, c1992.</t>
        </is>
      </c>
      <c r="M1385" t="inlineStr">
        <is>
          <t>1992</t>
        </is>
      </c>
      <c r="O1385" t="inlineStr">
        <is>
          <t>eng</t>
        </is>
      </c>
      <c r="P1385" t="inlineStr">
        <is>
          <t>cau</t>
        </is>
      </c>
      <c r="R1385" t="inlineStr">
        <is>
          <t xml:space="preserve">RC </t>
        </is>
      </c>
      <c r="S1385" t="n">
        <v>15</v>
      </c>
      <c r="T1385" t="n">
        <v>15</v>
      </c>
      <c r="U1385" t="inlineStr">
        <is>
          <t>2003-01-30</t>
        </is>
      </c>
      <c r="V1385" t="inlineStr">
        <is>
          <t>2003-01-30</t>
        </is>
      </c>
      <c r="W1385" t="inlineStr">
        <is>
          <t>1992-11-02</t>
        </is>
      </c>
      <c r="X1385" t="inlineStr">
        <is>
          <t>1992-11-02</t>
        </is>
      </c>
      <c r="Y1385" t="n">
        <v>395</v>
      </c>
      <c r="Z1385" t="n">
        <v>282</v>
      </c>
      <c r="AA1385" t="n">
        <v>284</v>
      </c>
      <c r="AB1385" t="n">
        <v>2</v>
      </c>
      <c r="AC1385" t="n">
        <v>2</v>
      </c>
      <c r="AD1385" t="n">
        <v>18</v>
      </c>
      <c r="AE1385" t="n">
        <v>18</v>
      </c>
      <c r="AF1385" t="n">
        <v>7</v>
      </c>
      <c r="AG1385" t="n">
        <v>7</v>
      </c>
      <c r="AH1385" t="n">
        <v>4</v>
      </c>
      <c r="AI1385" t="n">
        <v>4</v>
      </c>
      <c r="AJ1385" t="n">
        <v>10</v>
      </c>
      <c r="AK1385" t="n">
        <v>10</v>
      </c>
      <c r="AL1385" t="n">
        <v>1</v>
      </c>
      <c r="AM1385" t="n">
        <v>1</v>
      </c>
      <c r="AN1385" t="n">
        <v>0</v>
      </c>
      <c r="AO1385" t="n">
        <v>0</v>
      </c>
      <c r="AP1385" t="inlineStr">
        <is>
          <t>No</t>
        </is>
      </c>
      <c r="AQ1385" t="inlineStr">
        <is>
          <t>Yes</t>
        </is>
      </c>
      <c r="AR1385">
        <f>HYPERLINK("http://catalog.hathitrust.org/Record/002610235","HathiTrust Record")</f>
        <v/>
      </c>
      <c r="AS1385">
        <f>HYPERLINK("https://creighton-primo.hosted.exlibrisgroup.com/primo-explore/search?tab=default_tab&amp;search_scope=EVERYTHING&amp;vid=01CRU&amp;lang=en_US&amp;offset=0&amp;query=any,contains,991002061819702656","Catalog Record")</f>
        <v/>
      </c>
      <c r="AT1385">
        <f>HYPERLINK("http://www.worldcat.org/oclc/26396121","WorldCat Record")</f>
        <v/>
      </c>
      <c r="AU1385" t="inlineStr">
        <is>
          <t>351387775:eng</t>
        </is>
      </c>
      <c r="AV1385" t="inlineStr">
        <is>
          <t>26396121</t>
        </is>
      </c>
      <c r="AW1385" t="inlineStr">
        <is>
          <t>991002061819702656</t>
        </is>
      </c>
      <c r="AX1385" t="inlineStr">
        <is>
          <t>991002061819702656</t>
        </is>
      </c>
      <c r="AY1385" t="inlineStr">
        <is>
          <t>2256800790002656</t>
        </is>
      </c>
      <c r="AZ1385" t="inlineStr">
        <is>
          <t>BOOK</t>
        </is>
      </c>
      <c r="BB1385" t="inlineStr">
        <is>
          <t>9780803945500</t>
        </is>
      </c>
      <c r="BC1385" t="inlineStr">
        <is>
          <t>32285001360600</t>
        </is>
      </c>
      <c r="BD1385" t="inlineStr">
        <is>
          <t>893250770</t>
        </is>
      </c>
    </row>
    <row r="1386">
      <c r="A1386" t="inlineStr">
        <is>
          <t>No</t>
        </is>
      </c>
      <c r="B1386" t="inlineStr">
        <is>
          <t>RC569.5.V55 A84</t>
        </is>
      </c>
      <c r="C1386" t="inlineStr">
        <is>
          <t>0                      RC 0569500V  55                 A  84</t>
        </is>
      </c>
      <c r="D1386" t="inlineStr">
        <is>
          <t>Are we all Nazis? / By Hans Askenasy.</t>
        </is>
      </c>
      <c r="F1386" t="inlineStr">
        <is>
          <t>No</t>
        </is>
      </c>
      <c r="G1386" t="inlineStr">
        <is>
          <t>1</t>
        </is>
      </c>
      <c r="H1386" t="inlineStr">
        <is>
          <t>No</t>
        </is>
      </c>
      <c r="I1386" t="inlineStr">
        <is>
          <t>No</t>
        </is>
      </c>
      <c r="J1386" t="inlineStr">
        <is>
          <t>0</t>
        </is>
      </c>
      <c r="K1386" t="inlineStr">
        <is>
          <t>Askenasy, Hans, 1930-</t>
        </is>
      </c>
      <c r="L1386" t="inlineStr">
        <is>
          <t>Secaucus, N.J. : L. Stuart, c1978.</t>
        </is>
      </c>
      <c r="M1386" t="inlineStr">
        <is>
          <t>1978</t>
        </is>
      </c>
      <c r="N1386" t="inlineStr">
        <is>
          <t>1st ed.</t>
        </is>
      </c>
      <c r="O1386" t="inlineStr">
        <is>
          <t>eng</t>
        </is>
      </c>
      <c r="P1386" t="inlineStr">
        <is>
          <t>nju</t>
        </is>
      </c>
      <c r="R1386" t="inlineStr">
        <is>
          <t xml:space="preserve">RC </t>
        </is>
      </c>
      <c r="S1386" t="n">
        <v>2</v>
      </c>
      <c r="T1386" t="n">
        <v>2</v>
      </c>
      <c r="U1386" t="inlineStr">
        <is>
          <t>1997-11-20</t>
        </is>
      </c>
      <c r="V1386" t="inlineStr">
        <is>
          <t>1997-11-20</t>
        </is>
      </c>
      <c r="W1386" t="inlineStr">
        <is>
          <t>1997-08-12</t>
        </is>
      </c>
      <c r="X1386" t="inlineStr">
        <is>
          <t>1997-08-12</t>
        </is>
      </c>
      <c r="Y1386" t="n">
        <v>385</v>
      </c>
      <c r="Z1386" t="n">
        <v>351</v>
      </c>
      <c r="AA1386" t="n">
        <v>351</v>
      </c>
      <c r="AB1386" t="n">
        <v>4</v>
      </c>
      <c r="AC1386" t="n">
        <v>4</v>
      </c>
      <c r="AD1386" t="n">
        <v>7</v>
      </c>
      <c r="AE1386" t="n">
        <v>7</v>
      </c>
      <c r="AF1386" t="n">
        <v>3</v>
      </c>
      <c r="AG1386" t="n">
        <v>3</v>
      </c>
      <c r="AH1386" t="n">
        <v>0</v>
      </c>
      <c r="AI1386" t="n">
        <v>0</v>
      </c>
      <c r="AJ1386" t="n">
        <v>3</v>
      </c>
      <c r="AK1386" t="n">
        <v>3</v>
      </c>
      <c r="AL1386" t="n">
        <v>1</v>
      </c>
      <c r="AM1386" t="n">
        <v>1</v>
      </c>
      <c r="AN1386" t="n">
        <v>0</v>
      </c>
      <c r="AO1386" t="n">
        <v>0</v>
      </c>
      <c r="AP1386" t="inlineStr">
        <is>
          <t>No</t>
        </is>
      </c>
      <c r="AQ1386" t="inlineStr">
        <is>
          <t>No</t>
        </is>
      </c>
      <c r="AS1386">
        <f>HYPERLINK("https://creighton-primo.hosted.exlibrisgroup.com/primo-explore/search?tab=default_tab&amp;search_scope=EVERYTHING&amp;vid=01CRU&amp;lang=en_US&amp;offset=0&amp;query=any,contains,991004403079702656","Catalog Record")</f>
        <v/>
      </c>
      <c r="AT1386">
        <f>HYPERLINK("http://www.worldcat.org/oclc/3311072","WorldCat Record")</f>
        <v/>
      </c>
      <c r="AU1386" t="inlineStr">
        <is>
          <t>9438343:eng</t>
        </is>
      </c>
      <c r="AV1386" t="inlineStr">
        <is>
          <t>3311072</t>
        </is>
      </c>
      <c r="AW1386" t="inlineStr">
        <is>
          <t>991004403079702656</t>
        </is>
      </c>
      <c r="AX1386" t="inlineStr">
        <is>
          <t>991004403079702656</t>
        </is>
      </c>
      <c r="AY1386" t="inlineStr">
        <is>
          <t>2271526670002656</t>
        </is>
      </c>
      <c r="AZ1386" t="inlineStr">
        <is>
          <t>BOOK</t>
        </is>
      </c>
      <c r="BB1386" t="inlineStr">
        <is>
          <t>9780818402487</t>
        </is>
      </c>
      <c r="BC1386" t="inlineStr">
        <is>
          <t>32285003092599</t>
        </is>
      </c>
      <c r="BD1386" t="inlineStr">
        <is>
          <t>893706364</t>
        </is>
      </c>
    </row>
    <row r="1387">
      <c r="A1387" t="inlineStr">
        <is>
          <t>No</t>
        </is>
      </c>
      <c r="B1387" t="inlineStr">
        <is>
          <t>RC569.5.V55 A87 2007</t>
        </is>
      </c>
      <c r="C1387" t="inlineStr">
        <is>
          <t>0                      RC 0569500V  55                 A  87          2007</t>
        </is>
      </c>
      <c r="D1387" t="inlineStr">
        <is>
          <t>Assessing dangerousness : violence by batterers and child abusers / Jacquelyn C. Campbell, editor.</t>
        </is>
      </c>
      <c r="F1387" t="inlineStr">
        <is>
          <t>No</t>
        </is>
      </c>
      <c r="G1387" t="inlineStr">
        <is>
          <t>1</t>
        </is>
      </c>
      <c r="H1387" t="inlineStr">
        <is>
          <t>No</t>
        </is>
      </c>
      <c r="I1387" t="inlineStr">
        <is>
          <t>No</t>
        </is>
      </c>
      <c r="J1387" t="inlineStr">
        <is>
          <t>0</t>
        </is>
      </c>
      <c r="L1387" t="inlineStr">
        <is>
          <t>New York : Springer Pub., c2007.</t>
        </is>
      </c>
      <c r="M1387" t="inlineStr">
        <is>
          <t>2007</t>
        </is>
      </c>
      <c r="N1387" t="inlineStr">
        <is>
          <t>2nd ed.</t>
        </is>
      </c>
      <c r="O1387" t="inlineStr">
        <is>
          <t>eng</t>
        </is>
      </c>
      <c r="P1387" t="inlineStr">
        <is>
          <t>nyu</t>
        </is>
      </c>
      <c r="R1387" t="inlineStr">
        <is>
          <t xml:space="preserve">RC </t>
        </is>
      </c>
      <c r="S1387" t="n">
        <v>1</v>
      </c>
      <c r="T1387" t="n">
        <v>1</v>
      </c>
      <c r="U1387" t="inlineStr">
        <is>
          <t>2008-04-01</t>
        </is>
      </c>
      <c r="V1387" t="inlineStr">
        <is>
          <t>2008-04-01</t>
        </is>
      </c>
      <c r="W1387" t="inlineStr">
        <is>
          <t>2008-04-01</t>
        </is>
      </c>
      <c r="X1387" t="inlineStr">
        <is>
          <t>2008-04-01</t>
        </is>
      </c>
      <c r="Y1387" t="n">
        <v>208</v>
      </c>
      <c r="Z1387" t="n">
        <v>155</v>
      </c>
      <c r="AA1387" t="n">
        <v>575</v>
      </c>
      <c r="AB1387" t="n">
        <v>5</v>
      </c>
      <c r="AC1387" t="n">
        <v>8</v>
      </c>
      <c r="AD1387" t="n">
        <v>15</v>
      </c>
      <c r="AE1387" t="n">
        <v>33</v>
      </c>
      <c r="AF1387" t="n">
        <v>3</v>
      </c>
      <c r="AG1387" t="n">
        <v>10</v>
      </c>
      <c r="AH1387" t="n">
        <v>2</v>
      </c>
      <c r="AI1387" t="n">
        <v>7</v>
      </c>
      <c r="AJ1387" t="n">
        <v>10</v>
      </c>
      <c r="AK1387" t="n">
        <v>14</v>
      </c>
      <c r="AL1387" t="n">
        <v>4</v>
      </c>
      <c r="AM1387" t="n">
        <v>7</v>
      </c>
      <c r="AN1387" t="n">
        <v>0</v>
      </c>
      <c r="AO1387" t="n">
        <v>1</v>
      </c>
      <c r="AP1387" t="inlineStr">
        <is>
          <t>No</t>
        </is>
      </c>
      <c r="AQ1387" t="inlineStr">
        <is>
          <t>No</t>
        </is>
      </c>
      <c r="AS1387">
        <f>HYPERLINK("https://creighton-primo.hosted.exlibrisgroup.com/primo-explore/search?tab=default_tab&amp;search_scope=EVERYTHING&amp;vid=01CRU&amp;lang=en_US&amp;offset=0&amp;query=any,contains,991005199859702656","Catalog Record")</f>
        <v/>
      </c>
      <c r="AT1387">
        <f>HYPERLINK("http://www.worldcat.org/oclc/104835395","WorldCat Record")</f>
        <v/>
      </c>
      <c r="AU1387" t="inlineStr">
        <is>
          <t>802517082:eng</t>
        </is>
      </c>
      <c r="AV1387" t="inlineStr">
        <is>
          <t>104835395</t>
        </is>
      </c>
      <c r="AW1387" t="inlineStr">
        <is>
          <t>991005199859702656</t>
        </is>
      </c>
      <c r="AX1387" t="inlineStr">
        <is>
          <t>991005199859702656</t>
        </is>
      </c>
      <c r="AY1387" t="inlineStr">
        <is>
          <t>2267384430002656</t>
        </is>
      </c>
      <c r="AZ1387" t="inlineStr">
        <is>
          <t>BOOK</t>
        </is>
      </c>
      <c r="BB1387" t="inlineStr">
        <is>
          <t>9780826102980</t>
        </is>
      </c>
      <c r="BC1387" t="inlineStr">
        <is>
          <t>32285005400162</t>
        </is>
      </c>
      <c r="BD1387" t="inlineStr">
        <is>
          <t>893789603</t>
        </is>
      </c>
    </row>
    <row r="1388">
      <c r="A1388" t="inlineStr">
        <is>
          <t>No</t>
        </is>
      </c>
      <c r="B1388" t="inlineStr">
        <is>
          <t>RC569.5.V55 C47</t>
        </is>
      </c>
      <c r="C1388" t="inlineStr">
        <is>
          <t>0                      RC 0569500V  55                 C  47</t>
        </is>
      </c>
      <c r="D1388" t="inlineStr">
        <is>
          <t>The mind stealers : psychosurgery and mind control / Samuel Chavkin.</t>
        </is>
      </c>
      <c r="F1388" t="inlineStr">
        <is>
          <t>No</t>
        </is>
      </c>
      <c r="G1388" t="inlineStr">
        <is>
          <t>1</t>
        </is>
      </c>
      <c r="H1388" t="inlineStr">
        <is>
          <t>No</t>
        </is>
      </c>
      <c r="I1388" t="inlineStr">
        <is>
          <t>No</t>
        </is>
      </c>
      <c r="J1388" t="inlineStr">
        <is>
          <t>0</t>
        </is>
      </c>
      <c r="K1388" t="inlineStr">
        <is>
          <t>Chavkin, Samuel.</t>
        </is>
      </c>
      <c r="L1388" t="inlineStr">
        <is>
          <t>Boston : Houghton Mifflin, 1978.</t>
        </is>
      </c>
      <c r="M1388" t="inlineStr">
        <is>
          <t>1978</t>
        </is>
      </c>
      <c r="O1388" t="inlineStr">
        <is>
          <t>eng</t>
        </is>
      </c>
      <c r="P1388" t="inlineStr">
        <is>
          <t>mau</t>
        </is>
      </c>
      <c r="R1388" t="inlineStr">
        <is>
          <t xml:space="preserve">RC </t>
        </is>
      </c>
      <c r="S1388" t="n">
        <v>3</v>
      </c>
      <c r="T1388" t="n">
        <v>3</v>
      </c>
      <c r="U1388" t="inlineStr">
        <is>
          <t>2001-11-12</t>
        </is>
      </c>
      <c r="V1388" t="inlineStr">
        <is>
          <t>2001-11-12</t>
        </is>
      </c>
      <c r="W1388" t="inlineStr">
        <is>
          <t>1993-03-23</t>
        </is>
      </c>
      <c r="X1388" t="inlineStr">
        <is>
          <t>1993-03-23</t>
        </is>
      </c>
      <c r="Y1388" t="n">
        <v>499</v>
      </c>
      <c r="Z1388" t="n">
        <v>456</v>
      </c>
      <c r="AA1388" t="n">
        <v>474</v>
      </c>
      <c r="AB1388" t="n">
        <v>4</v>
      </c>
      <c r="AC1388" t="n">
        <v>4</v>
      </c>
      <c r="AD1388" t="n">
        <v>12</v>
      </c>
      <c r="AE1388" t="n">
        <v>12</v>
      </c>
      <c r="AF1388" t="n">
        <v>1</v>
      </c>
      <c r="AG1388" t="n">
        <v>1</v>
      </c>
      <c r="AH1388" t="n">
        <v>1</v>
      </c>
      <c r="AI1388" t="n">
        <v>1</v>
      </c>
      <c r="AJ1388" t="n">
        <v>5</v>
      </c>
      <c r="AK1388" t="n">
        <v>5</v>
      </c>
      <c r="AL1388" t="n">
        <v>2</v>
      </c>
      <c r="AM1388" t="n">
        <v>2</v>
      </c>
      <c r="AN1388" t="n">
        <v>3</v>
      </c>
      <c r="AO1388" t="n">
        <v>3</v>
      </c>
      <c r="AP1388" t="inlineStr">
        <is>
          <t>No</t>
        </is>
      </c>
      <c r="AQ1388" t="inlineStr">
        <is>
          <t>No</t>
        </is>
      </c>
      <c r="AS1388">
        <f>HYPERLINK("https://creighton-primo.hosted.exlibrisgroup.com/primo-explore/search?tab=default_tab&amp;search_scope=EVERYTHING&amp;vid=01CRU&amp;lang=en_US&amp;offset=0&amp;query=any,contains,991004483509702656","Catalog Record")</f>
        <v/>
      </c>
      <c r="AT1388">
        <f>HYPERLINK("http://www.worldcat.org/oclc/3631239","WorldCat Record")</f>
        <v/>
      </c>
      <c r="AU1388" t="inlineStr">
        <is>
          <t>468156:eng</t>
        </is>
      </c>
      <c r="AV1388" t="inlineStr">
        <is>
          <t>3631239</t>
        </is>
      </c>
      <c r="AW1388" t="inlineStr">
        <is>
          <t>991004483509702656</t>
        </is>
      </c>
      <c r="AX1388" t="inlineStr">
        <is>
          <t>991004483509702656</t>
        </is>
      </c>
      <c r="AY1388" t="inlineStr">
        <is>
          <t>2259507910002656</t>
        </is>
      </c>
      <c r="AZ1388" t="inlineStr">
        <is>
          <t>BOOK</t>
        </is>
      </c>
      <c r="BB1388" t="inlineStr">
        <is>
          <t>9780395263815</t>
        </is>
      </c>
      <c r="BC1388" t="inlineStr">
        <is>
          <t>32285001607547</t>
        </is>
      </c>
      <c r="BD1388" t="inlineStr">
        <is>
          <t>893593734</t>
        </is>
      </c>
    </row>
    <row r="1389">
      <c r="A1389" t="inlineStr">
        <is>
          <t>No</t>
        </is>
      </c>
      <c r="B1389" t="inlineStr">
        <is>
          <t>RC569.5.V55 I5 1981</t>
        </is>
      </c>
      <c r="C1389" t="inlineStr">
        <is>
          <t>0                      RC 0569500V  55                 I  5           1981</t>
        </is>
      </c>
      <c r="D1389" t="inlineStr">
        <is>
          <t>In response to aggression : methods of control and prosocial alternatives / by Arnold P. Goldstein ... [et al.].</t>
        </is>
      </c>
      <c r="F1389" t="inlineStr">
        <is>
          <t>No</t>
        </is>
      </c>
      <c r="G1389" t="inlineStr">
        <is>
          <t>1</t>
        </is>
      </c>
      <c r="H1389" t="inlineStr">
        <is>
          <t>No</t>
        </is>
      </c>
      <c r="I1389" t="inlineStr">
        <is>
          <t>No</t>
        </is>
      </c>
      <c r="J1389" t="inlineStr">
        <is>
          <t>0</t>
        </is>
      </c>
      <c r="L1389" t="inlineStr">
        <is>
          <t>New York : Pergamon Press, 1981.</t>
        </is>
      </c>
      <c r="M1389" t="inlineStr">
        <is>
          <t>1981</t>
        </is>
      </c>
      <c r="O1389" t="inlineStr">
        <is>
          <t>eng</t>
        </is>
      </c>
      <c r="P1389" t="inlineStr">
        <is>
          <t>nyu</t>
        </is>
      </c>
      <c r="Q1389" t="inlineStr">
        <is>
          <t>Pergamon general psychology series ; v. 98</t>
        </is>
      </c>
      <c r="R1389" t="inlineStr">
        <is>
          <t xml:space="preserve">RC </t>
        </is>
      </c>
      <c r="S1389" t="n">
        <v>2</v>
      </c>
      <c r="T1389" t="n">
        <v>2</v>
      </c>
      <c r="U1389" t="inlineStr">
        <is>
          <t>1994-10-12</t>
        </is>
      </c>
      <c r="V1389" t="inlineStr">
        <is>
          <t>1994-10-12</t>
        </is>
      </c>
      <c r="W1389" t="inlineStr">
        <is>
          <t>1992-12-16</t>
        </is>
      </c>
      <c r="X1389" t="inlineStr">
        <is>
          <t>1992-12-16</t>
        </is>
      </c>
      <c r="Y1389" t="n">
        <v>635</v>
      </c>
      <c r="Z1389" t="n">
        <v>500</v>
      </c>
      <c r="AA1389" t="n">
        <v>531</v>
      </c>
      <c r="AB1389" t="n">
        <v>6</v>
      </c>
      <c r="AC1389" t="n">
        <v>6</v>
      </c>
      <c r="AD1389" t="n">
        <v>20</v>
      </c>
      <c r="AE1389" t="n">
        <v>22</v>
      </c>
      <c r="AF1389" t="n">
        <v>6</v>
      </c>
      <c r="AG1389" t="n">
        <v>7</v>
      </c>
      <c r="AH1389" t="n">
        <v>5</v>
      </c>
      <c r="AI1389" t="n">
        <v>6</v>
      </c>
      <c r="AJ1389" t="n">
        <v>8</v>
      </c>
      <c r="AK1389" t="n">
        <v>8</v>
      </c>
      <c r="AL1389" t="n">
        <v>5</v>
      </c>
      <c r="AM1389" t="n">
        <v>5</v>
      </c>
      <c r="AN1389" t="n">
        <v>0</v>
      </c>
      <c r="AO1389" t="n">
        <v>0</v>
      </c>
      <c r="AP1389" t="inlineStr">
        <is>
          <t>No</t>
        </is>
      </c>
      <c r="AQ1389" t="inlineStr">
        <is>
          <t>Yes</t>
        </is>
      </c>
      <c r="AR1389">
        <f>HYPERLINK("http://catalog.hathitrust.org/Record/000225851","HathiTrust Record")</f>
        <v/>
      </c>
      <c r="AS1389">
        <f>HYPERLINK("https://creighton-primo.hosted.exlibrisgroup.com/primo-explore/search?tab=default_tab&amp;search_scope=EVERYTHING&amp;vid=01CRU&amp;lang=en_US&amp;offset=0&amp;query=any,contains,991005098329702656","Catalog Record")</f>
        <v/>
      </c>
      <c r="AT1389">
        <f>HYPERLINK("http://www.worldcat.org/oclc/7277651","WorldCat Record")</f>
        <v/>
      </c>
      <c r="AU1389" t="inlineStr">
        <is>
          <t>896287226:eng</t>
        </is>
      </c>
      <c r="AV1389" t="inlineStr">
        <is>
          <t>7277651</t>
        </is>
      </c>
      <c r="AW1389" t="inlineStr">
        <is>
          <t>991005098329702656</t>
        </is>
      </c>
      <c r="AX1389" t="inlineStr">
        <is>
          <t>991005098329702656</t>
        </is>
      </c>
      <c r="AY1389" t="inlineStr">
        <is>
          <t>2263830190002656</t>
        </is>
      </c>
      <c r="AZ1389" t="inlineStr">
        <is>
          <t>BOOK</t>
        </is>
      </c>
      <c r="BB1389" t="inlineStr">
        <is>
          <t>9780080255798</t>
        </is>
      </c>
      <c r="BC1389" t="inlineStr">
        <is>
          <t>32285001443307</t>
        </is>
      </c>
      <c r="BD1389" t="inlineStr">
        <is>
          <t>893807813</t>
        </is>
      </c>
    </row>
    <row r="1390">
      <c r="A1390" t="inlineStr">
        <is>
          <t>No</t>
        </is>
      </c>
      <c r="B1390" t="inlineStr">
        <is>
          <t>RC569.5.V55 W43 2007</t>
        </is>
      </c>
      <c r="C1390" t="inlineStr">
        <is>
          <t>0                      RC 0569500V  55                 W  43          2007</t>
        </is>
      </c>
      <c r="D1390" t="inlineStr">
        <is>
          <t>Violence risk : assessment and management / Christopher D. Webster, Stephen J. Hucker.</t>
        </is>
      </c>
      <c r="F1390" t="inlineStr">
        <is>
          <t>No</t>
        </is>
      </c>
      <c r="G1390" t="inlineStr">
        <is>
          <t>1</t>
        </is>
      </c>
      <c r="H1390" t="inlineStr">
        <is>
          <t>No</t>
        </is>
      </c>
      <c r="I1390" t="inlineStr">
        <is>
          <t>No</t>
        </is>
      </c>
      <c r="J1390" t="inlineStr">
        <is>
          <t>0</t>
        </is>
      </c>
      <c r="K1390" t="inlineStr">
        <is>
          <t>Webster, Christopher D., 1936-</t>
        </is>
      </c>
      <c r="L1390" t="inlineStr">
        <is>
          <t>Chichester, West Sussex, England ; Hoboken, NJ : Wiley, 2007.</t>
        </is>
      </c>
      <c r="M1390" t="inlineStr">
        <is>
          <t>2007</t>
        </is>
      </c>
      <c r="O1390" t="inlineStr">
        <is>
          <t>eng</t>
        </is>
      </c>
      <c r="P1390" t="inlineStr">
        <is>
          <t>enk</t>
        </is>
      </c>
      <c r="R1390" t="inlineStr">
        <is>
          <t xml:space="preserve">RC </t>
        </is>
      </c>
      <c r="S1390" t="n">
        <v>1</v>
      </c>
      <c r="T1390" t="n">
        <v>1</v>
      </c>
      <c r="U1390" t="inlineStr">
        <is>
          <t>2009-03-24</t>
        </is>
      </c>
      <c r="V1390" t="inlineStr">
        <is>
          <t>2009-03-24</t>
        </is>
      </c>
      <c r="W1390" t="inlineStr">
        <is>
          <t>2009-03-24</t>
        </is>
      </c>
      <c r="X1390" t="inlineStr">
        <is>
          <t>2009-03-24</t>
        </is>
      </c>
      <c r="Y1390" t="n">
        <v>163</v>
      </c>
      <c r="Z1390" t="n">
        <v>84</v>
      </c>
      <c r="AA1390" t="n">
        <v>105</v>
      </c>
      <c r="AB1390" t="n">
        <v>1</v>
      </c>
      <c r="AC1390" t="n">
        <v>1</v>
      </c>
      <c r="AD1390" t="n">
        <v>5</v>
      </c>
      <c r="AE1390" t="n">
        <v>5</v>
      </c>
      <c r="AF1390" t="n">
        <v>2</v>
      </c>
      <c r="AG1390" t="n">
        <v>2</v>
      </c>
      <c r="AH1390" t="n">
        <v>1</v>
      </c>
      <c r="AI1390" t="n">
        <v>1</v>
      </c>
      <c r="AJ1390" t="n">
        <v>3</v>
      </c>
      <c r="AK1390" t="n">
        <v>3</v>
      </c>
      <c r="AL1390" t="n">
        <v>0</v>
      </c>
      <c r="AM1390" t="n">
        <v>0</v>
      </c>
      <c r="AN1390" t="n">
        <v>0</v>
      </c>
      <c r="AO1390" t="n">
        <v>0</v>
      </c>
      <c r="AP1390" t="inlineStr">
        <is>
          <t>No</t>
        </is>
      </c>
      <c r="AQ1390" t="inlineStr">
        <is>
          <t>No</t>
        </is>
      </c>
      <c r="AS1390">
        <f>HYPERLINK("https://creighton-primo.hosted.exlibrisgroup.com/primo-explore/search?tab=default_tab&amp;search_scope=EVERYTHING&amp;vid=01CRU&amp;lang=en_US&amp;offset=0&amp;query=any,contains,991005301409702656","Catalog Record")</f>
        <v/>
      </c>
      <c r="AT1390">
        <f>HYPERLINK("http://www.worldcat.org/oclc/72774406","WorldCat Record")</f>
        <v/>
      </c>
      <c r="AU1390" t="inlineStr">
        <is>
          <t>3856123709:eng</t>
        </is>
      </c>
      <c r="AV1390" t="inlineStr">
        <is>
          <t>72774406</t>
        </is>
      </c>
      <c r="AW1390" t="inlineStr">
        <is>
          <t>991005301409702656</t>
        </is>
      </c>
      <c r="AX1390" t="inlineStr">
        <is>
          <t>991005301409702656</t>
        </is>
      </c>
      <c r="AY1390" t="inlineStr">
        <is>
          <t>2261834600002656</t>
        </is>
      </c>
      <c r="AZ1390" t="inlineStr">
        <is>
          <t>BOOK</t>
        </is>
      </c>
      <c r="BB1390" t="inlineStr">
        <is>
          <t>9780470027493</t>
        </is>
      </c>
      <c r="BC1390" t="inlineStr">
        <is>
          <t>32285005509871</t>
        </is>
      </c>
      <c r="BD1390" t="inlineStr">
        <is>
          <t>893883649</t>
        </is>
      </c>
    </row>
    <row r="1391">
      <c r="A1391" t="inlineStr">
        <is>
          <t>No</t>
        </is>
      </c>
      <c r="B1391" t="inlineStr">
        <is>
          <t>RC569.U53 M36 1988</t>
        </is>
      </c>
      <c r="C1391" t="inlineStr">
        <is>
          <t>0                      RC 0569000U  53                 M  36          1988</t>
        </is>
      </c>
      <c r="D1391" t="inlineStr">
        <is>
          <t>The psychology of underachievement : differential diagnosis and differential treatment / Harvey P. Mandel, Sander I. Marcus.</t>
        </is>
      </c>
      <c r="F1391" t="inlineStr">
        <is>
          <t>No</t>
        </is>
      </c>
      <c r="G1391" t="inlineStr">
        <is>
          <t>1</t>
        </is>
      </c>
      <c r="H1391" t="inlineStr">
        <is>
          <t>No</t>
        </is>
      </c>
      <c r="I1391" t="inlineStr">
        <is>
          <t>No</t>
        </is>
      </c>
      <c r="J1391" t="inlineStr">
        <is>
          <t>0</t>
        </is>
      </c>
      <c r="K1391" t="inlineStr">
        <is>
          <t>Mandel, Harvey P.</t>
        </is>
      </c>
      <c r="L1391" t="inlineStr">
        <is>
          <t>New York : Wiley, c1988.</t>
        </is>
      </c>
      <c r="M1391" t="inlineStr">
        <is>
          <t>1988</t>
        </is>
      </c>
      <c r="O1391" t="inlineStr">
        <is>
          <t>eng</t>
        </is>
      </c>
      <c r="P1391" t="inlineStr">
        <is>
          <t>nyu</t>
        </is>
      </c>
      <c r="Q1391" t="inlineStr">
        <is>
          <t>Wiley series on personality processes</t>
        </is>
      </c>
      <c r="R1391" t="inlineStr">
        <is>
          <t xml:space="preserve">RC </t>
        </is>
      </c>
      <c r="S1391" t="n">
        <v>2</v>
      </c>
      <c r="T1391" t="n">
        <v>2</v>
      </c>
      <c r="U1391" t="inlineStr">
        <is>
          <t>2006-08-01</t>
        </is>
      </c>
      <c r="V1391" t="inlineStr">
        <is>
          <t>2006-08-01</t>
        </is>
      </c>
      <c r="W1391" t="inlineStr">
        <is>
          <t>1990-04-17</t>
        </is>
      </c>
      <c r="X1391" t="inlineStr">
        <is>
          <t>1990-04-17</t>
        </is>
      </c>
      <c r="Y1391" t="n">
        <v>442</v>
      </c>
      <c r="Z1391" t="n">
        <v>343</v>
      </c>
      <c r="AA1391" t="n">
        <v>350</v>
      </c>
      <c r="AB1391" t="n">
        <v>4</v>
      </c>
      <c r="AC1391" t="n">
        <v>4</v>
      </c>
      <c r="AD1391" t="n">
        <v>16</v>
      </c>
      <c r="AE1391" t="n">
        <v>16</v>
      </c>
      <c r="AF1391" t="n">
        <v>6</v>
      </c>
      <c r="AG1391" t="n">
        <v>6</v>
      </c>
      <c r="AH1391" t="n">
        <v>3</v>
      </c>
      <c r="AI1391" t="n">
        <v>3</v>
      </c>
      <c r="AJ1391" t="n">
        <v>11</v>
      </c>
      <c r="AK1391" t="n">
        <v>11</v>
      </c>
      <c r="AL1391" t="n">
        <v>3</v>
      </c>
      <c r="AM1391" t="n">
        <v>3</v>
      </c>
      <c r="AN1391" t="n">
        <v>0</v>
      </c>
      <c r="AO1391" t="n">
        <v>0</v>
      </c>
      <c r="AP1391" t="inlineStr">
        <is>
          <t>No</t>
        </is>
      </c>
      <c r="AQ1391" t="inlineStr">
        <is>
          <t>Yes</t>
        </is>
      </c>
      <c r="AR1391">
        <f>HYPERLINK("http://catalog.hathitrust.org/Record/000910896","HathiTrust Record")</f>
        <v/>
      </c>
      <c r="AS1391">
        <f>HYPERLINK("https://creighton-primo.hosted.exlibrisgroup.com/primo-explore/search?tab=default_tab&amp;search_scope=EVERYTHING&amp;vid=01CRU&amp;lang=en_US&amp;offset=0&amp;query=any,contains,991001199529702656","Catalog Record")</f>
        <v/>
      </c>
      <c r="AT1391">
        <f>HYPERLINK("http://www.worldcat.org/oclc/17300410","WorldCat Record")</f>
        <v/>
      </c>
      <c r="AU1391" t="inlineStr">
        <is>
          <t>181030:eng</t>
        </is>
      </c>
      <c r="AV1391" t="inlineStr">
        <is>
          <t>17300410</t>
        </is>
      </c>
      <c r="AW1391" t="inlineStr">
        <is>
          <t>991001199529702656</t>
        </is>
      </c>
      <c r="AX1391" t="inlineStr">
        <is>
          <t>991001199529702656</t>
        </is>
      </c>
      <c r="AY1391" t="inlineStr">
        <is>
          <t>2265429870002656</t>
        </is>
      </c>
      <c r="AZ1391" t="inlineStr">
        <is>
          <t>BOOK</t>
        </is>
      </c>
      <c r="BB1391" t="inlineStr">
        <is>
          <t>9780471848554</t>
        </is>
      </c>
      <c r="BC1391" t="inlineStr">
        <is>
          <t>32285000103274</t>
        </is>
      </c>
      <c r="BD1391" t="inlineStr">
        <is>
          <t>893261768</t>
        </is>
      </c>
    </row>
    <row r="1392">
      <c r="A1392" t="inlineStr">
        <is>
          <t>No</t>
        </is>
      </c>
      <c r="B1392" t="inlineStr">
        <is>
          <t>RC570 .B23</t>
        </is>
      </c>
      <c r="C1392" t="inlineStr">
        <is>
          <t>0                      RC 0570000B  23</t>
        </is>
      </c>
      <c r="D1392" t="inlineStr">
        <is>
          <t>The emotionally disturbed, mentally retarded: a historical and contemporary perspective [by] Earl E. Balthazar [and] Harvey A. Stevens.</t>
        </is>
      </c>
      <c r="F1392" t="inlineStr">
        <is>
          <t>No</t>
        </is>
      </c>
      <c r="G1392" t="inlineStr">
        <is>
          <t>1</t>
        </is>
      </c>
      <c r="H1392" t="inlineStr">
        <is>
          <t>No</t>
        </is>
      </c>
      <c r="I1392" t="inlineStr">
        <is>
          <t>No</t>
        </is>
      </c>
      <c r="J1392" t="inlineStr">
        <is>
          <t>0</t>
        </is>
      </c>
      <c r="K1392" t="inlineStr">
        <is>
          <t>Balthazar, Earl Edward, 1918-</t>
        </is>
      </c>
      <c r="L1392" t="inlineStr">
        <is>
          <t>Englewood Cliffs, N.J., Prentice-Hall [1974, c1975]</t>
        </is>
      </c>
      <c r="M1392" t="inlineStr">
        <is>
          <t>1974</t>
        </is>
      </c>
      <c r="O1392" t="inlineStr">
        <is>
          <t>eng</t>
        </is>
      </c>
      <c r="P1392" t="inlineStr">
        <is>
          <t>nju</t>
        </is>
      </c>
      <c r="Q1392" t="inlineStr">
        <is>
          <t>Prentice-Hall series in special education</t>
        </is>
      </c>
      <c r="R1392" t="inlineStr">
        <is>
          <t xml:space="preserve">RC </t>
        </is>
      </c>
      <c r="S1392" t="n">
        <v>2</v>
      </c>
      <c r="T1392" t="n">
        <v>2</v>
      </c>
      <c r="U1392" t="inlineStr">
        <is>
          <t>1998-04-08</t>
        </is>
      </c>
      <c r="V1392" t="inlineStr">
        <is>
          <t>1998-04-08</t>
        </is>
      </c>
      <c r="W1392" t="inlineStr">
        <is>
          <t>1992-02-21</t>
        </is>
      </c>
      <c r="X1392" t="inlineStr">
        <is>
          <t>1992-02-21</t>
        </is>
      </c>
      <c r="Y1392" t="n">
        <v>402</v>
      </c>
      <c r="Z1392" t="n">
        <v>325</v>
      </c>
      <c r="AA1392" t="n">
        <v>331</v>
      </c>
      <c r="AB1392" t="n">
        <v>5</v>
      </c>
      <c r="AC1392" t="n">
        <v>5</v>
      </c>
      <c r="AD1392" t="n">
        <v>19</v>
      </c>
      <c r="AE1392" t="n">
        <v>19</v>
      </c>
      <c r="AF1392" t="n">
        <v>5</v>
      </c>
      <c r="AG1392" t="n">
        <v>5</v>
      </c>
      <c r="AH1392" t="n">
        <v>5</v>
      </c>
      <c r="AI1392" t="n">
        <v>5</v>
      </c>
      <c r="AJ1392" t="n">
        <v>10</v>
      </c>
      <c r="AK1392" t="n">
        <v>10</v>
      </c>
      <c r="AL1392" t="n">
        <v>4</v>
      </c>
      <c r="AM1392" t="n">
        <v>4</v>
      </c>
      <c r="AN1392" t="n">
        <v>0</v>
      </c>
      <c r="AO1392" t="n">
        <v>0</v>
      </c>
      <c r="AP1392" t="inlineStr">
        <is>
          <t>No</t>
        </is>
      </c>
      <c r="AQ1392" t="inlineStr">
        <is>
          <t>Yes</t>
        </is>
      </c>
      <c r="AR1392">
        <f>HYPERLINK("http://catalog.hathitrust.org/Record/001578295","HathiTrust Record")</f>
        <v/>
      </c>
      <c r="AS1392">
        <f>HYPERLINK("https://creighton-primo.hosted.exlibrisgroup.com/primo-explore/search?tab=default_tab&amp;search_scope=EVERYTHING&amp;vid=01CRU&amp;lang=en_US&amp;offset=0&amp;query=any,contains,991003378619702656","Catalog Record")</f>
        <v/>
      </c>
      <c r="AT1392">
        <f>HYPERLINK("http://www.worldcat.org/oclc/914856","WorldCat Record")</f>
        <v/>
      </c>
      <c r="AU1392" t="inlineStr">
        <is>
          <t>796604524:eng</t>
        </is>
      </c>
      <c r="AV1392" t="inlineStr">
        <is>
          <t>914856</t>
        </is>
      </c>
      <c r="AW1392" t="inlineStr">
        <is>
          <t>991003378619702656</t>
        </is>
      </c>
      <c r="AX1392" t="inlineStr">
        <is>
          <t>991003378619702656</t>
        </is>
      </c>
      <c r="AY1392" t="inlineStr">
        <is>
          <t>2262711020002656</t>
        </is>
      </c>
      <c r="AZ1392" t="inlineStr">
        <is>
          <t>BOOK</t>
        </is>
      </c>
      <c r="BB1392" t="inlineStr">
        <is>
          <t>9780132749695</t>
        </is>
      </c>
      <c r="BC1392" t="inlineStr">
        <is>
          <t>32285000948512</t>
        </is>
      </c>
      <c r="BD1392" t="inlineStr">
        <is>
          <t>893330257</t>
        </is>
      </c>
    </row>
    <row r="1393">
      <c r="A1393" t="inlineStr">
        <is>
          <t>No</t>
        </is>
      </c>
      <c r="B1393" t="inlineStr">
        <is>
          <t>RC570 .C28 1975</t>
        </is>
      </c>
      <c r="C1393" t="inlineStr">
        <is>
          <t>0                      RC 0570000C  28          1975</t>
        </is>
      </c>
      <c r="D1393" t="inlineStr">
        <is>
          <t>Handbook of mental retardation syndromes / by Charles H. Carter.</t>
        </is>
      </c>
      <c r="F1393" t="inlineStr">
        <is>
          <t>No</t>
        </is>
      </c>
      <c r="G1393" t="inlineStr">
        <is>
          <t>1</t>
        </is>
      </c>
      <c r="H1393" t="inlineStr">
        <is>
          <t>No</t>
        </is>
      </c>
      <c r="I1393" t="inlineStr">
        <is>
          <t>No</t>
        </is>
      </c>
      <c r="J1393" t="inlineStr">
        <is>
          <t>0</t>
        </is>
      </c>
      <c r="K1393" t="inlineStr">
        <is>
          <t>Carter, Charles H.</t>
        </is>
      </c>
      <c r="L1393" t="inlineStr">
        <is>
          <t>Springfield, Ill. : Thomas, [1975]</t>
        </is>
      </c>
      <c r="M1393" t="inlineStr">
        <is>
          <t>1975</t>
        </is>
      </c>
      <c r="N1393" t="inlineStr">
        <is>
          <t>3d ed.</t>
        </is>
      </c>
      <c r="O1393" t="inlineStr">
        <is>
          <t>eng</t>
        </is>
      </c>
      <c r="P1393" t="inlineStr">
        <is>
          <t>ilu</t>
        </is>
      </c>
      <c r="R1393" t="inlineStr">
        <is>
          <t xml:space="preserve">RC </t>
        </is>
      </c>
      <c r="S1393" t="n">
        <v>7</v>
      </c>
      <c r="T1393" t="n">
        <v>7</v>
      </c>
      <c r="U1393" t="inlineStr">
        <is>
          <t>2004-11-06</t>
        </is>
      </c>
      <c r="V1393" t="inlineStr">
        <is>
          <t>2004-11-06</t>
        </is>
      </c>
      <c r="W1393" t="inlineStr">
        <is>
          <t>1991-10-21</t>
        </is>
      </c>
      <c r="X1393" t="inlineStr">
        <is>
          <t>1991-10-21</t>
        </is>
      </c>
      <c r="Y1393" t="n">
        <v>358</v>
      </c>
      <c r="Z1393" t="n">
        <v>314</v>
      </c>
      <c r="AA1393" t="n">
        <v>484</v>
      </c>
      <c r="AB1393" t="n">
        <v>2</v>
      </c>
      <c r="AC1393" t="n">
        <v>4</v>
      </c>
      <c r="AD1393" t="n">
        <v>13</v>
      </c>
      <c r="AE1393" t="n">
        <v>23</v>
      </c>
      <c r="AF1393" t="n">
        <v>8</v>
      </c>
      <c r="AG1393" t="n">
        <v>11</v>
      </c>
      <c r="AH1393" t="n">
        <v>3</v>
      </c>
      <c r="AI1393" t="n">
        <v>6</v>
      </c>
      <c r="AJ1393" t="n">
        <v>7</v>
      </c>
      <c r="AK1393" t="n">
        <v>11</v>
      </c>
      <c r="AL1393" t="n">
        <v>1</v>
      </c>
      <c r="AM1393" t="n">
        <v>3</v>
      </c>
      <c r="AN1393" t="n">
        <v>0</v>
      </c>
      <c r="AO1393" t="n">
        <v>0</v>
      </c>
      <c r="AP1393" t="inlineStr">
        <is>
          <t>No</t>
        </is>
      </c>
      <c r="AQ1393" t="inlineStr">
        <is>
          <t>Yes</t>
        </is>
      </c>
      <c r="AR1393">
        <f>HYPERLINK("http://catalog.hathitrust.org/Record/001565330","HathiTrust Record")</f>
        <v/>
      </c>
      <c r="AS1393">
        <f>HYPERLINK("https://creighton-primo.hosted.exlibrisgroup.com/primo-explore/search?tab=default_tab&amp;search_scope=EVERYTHING&amp;vid=01CRU&amp;lang=en_US&amp;offset=0&amp;query=any,contains,991003643419702656","Catalog Record")</f>
        <v/>
      </c>
      <c r="AT1393">
        <f>HYPERLINK("http://www.worldcat.org/oclc/1242029","WorldCat Record")</f>
        <v/>
      </c>
      <c r="AU1393" t="inlineStr">
        <is>
          <t>308773982:eng</t>
        </is>
      </c>
      <c r="AV1393" t="inlineStr">
        <is>
          <t>1242029</t>
        </is>
      </c>
      <c r="AW1393" t="inlineStr">
        <is>
          <t>991003643419702656</t>
        </is>
      </c>
      <c r="AX1393" t="inlineStr">
        <is>
          <t>991003643419702656</t>
        </is>
      </c>
      <c r="AY1393" t="inlineStr">
        <is>
          <t>2258407600002656</t>
        </is>
      </c>
      <c r="AZ1393" t="inlineStr">
        <is>
          <t>BOOK</t>
        </is>
      </c>
      <c r="BB1393" t="inlineStr">
        <is>
          <t>9780398030902</t>
        </is>
      </c>
      <c r="BC1393" t="inlineStr">
        <is>
          <t>32285000775402</t>
        </is>
      </c>
      <c r="BD1393" t="inlineStr">
        <is>
          <t>893893947</t>
        </is>
      </c>
    </row>
    <row r="1394">
      <c r="A1394" t="inlineStr">
        <is>
          <t>No</t>
        </is>
      </c>
      <c r="B1394" t="inlineStr">
        <is>
          <t>RC570 .E84 1984</t>
        </is>
      </c>
      <c r="C1394" t="inlineStr">
        <is>
          <t>0                      RC 0570000E  84          1984</t>
        </is>
      </c>
      <c r="D1394" t="inlineStr">
        <is>
          <t>Ethics and mental retardation / edited by Loretta Kopelman and John C. Moskop.</t>
        </is>
      </c>
      <c r="F1394" t="inlineStr">
        <is>
          <t>No</t>
        </is>
      </c>
      <c r="G1394" t="inlineStr">
        <is>
          <t>1</t>
        </is>
      </c>
      <c r="H1394" t="inlineStr">
        <is>
          <t>Yes</t>
        </is>
      </c>
      <c r="I1394" t="inlineStr">
        <is>
          <t>No</t>
        </is>
      </c>
      <c r="J1394" t="inlineStr">
        <is>
          <t>0</t>
        </is>
      </c>
      <c r="L1394" t="inlineStr">
        <is>
          <t>Dordrecht, Holland ; Boston : D. Reidel ; Hingham, MA : Sold and distributed in the U.S.A. and Canada by Kluwer Academic Publishers, c1984.</t>
        </is>
      </c>
      <c r="M1394" t="inlineStr">
        <is>
          <t>1984</t>
        </is>
      </c>
      <c r="O1394" t="inlineStr">
        <is>
          <t>eng</t>
        </is>
      </c>
      <c r="P1394" t="inlineStr">
        <is>
          <t xml:space="preserve">ne </t>
        </is>
      </c>
      <c r="Q1394" t="inlineStr">
        <is>
          <t>Philosophy and medicine ; v. 15</t>
        </is>
      </c>
      <c r="R1394" t="inlineStr">
        <is>
          <t xml:space="preserve">RC </t>
        </is>
      </c>
      <c r="S1394" t="n">
        <v>4</v>
      </c>
      <c r="T1394" t="n">
        <v>4</v>
      </c>
      <c r="U1394" t="inlineStr">
        <is>
          <t>1996-04-02</t>
        </is>
      </c>
      <c r="V1394" t="inlineStr">
        <is>
          <t>1996-04-02</t>
        </is>
      </c>
      <c r="W1394" t="inlineStr">
        <is>
          <t>1993-03-23</t>
        </is>
      </c>
      <c r="X1394" t="inlineStr">
        <is>
          <t>1993-03-23</t>
        </is>
      </c>
      <c r="Y1394" t="n">
        <v>427</v>
      </c>
      <c r="Z1394" t="n">
        <v>324</v>
      </c>
      <c r="AA1394" t="n">
        <v>341</v>
      </c>
      <c r="AB1394" t="n">
        <v>3</v>
      </c>
      <c r="AC1394" t="n">
        <v>3</v>
      </c>
      <c r="AD1394" t="n">
        <v>26</v>
      </c>
      <c r="AE1394" t="n">
        <v>28</v>
      </c>
      <c r="AF1394" t="n">
        <v>7</v>
      </c>
      <c r="AG1394" t="n">
        <v>9</v>
      </c>
      <c r="AH1394" t="n">
        <v>7</v>
      </c>
      <c r="AI1394" t="n">
        <v>8</v>
      </c>
      <c r="AJ1394" t="n">
        <v>16</v>
      </c>
      <c r="AK1394" t="n">
        <v>17</v>
      </c>
      <c r="AL1394" t="n">
        <v>1</v>
      </c>
      <c r="AM1394" t="n">
        <v>1</v>
      </c>
      <c r="AN1394" t="n">
        <v>4</v>
      </c>
      <c r="AO1394" t="n">
        <v>4</v>
      </c>
      <c r="AP1394" t="inlineStr">
        <is>
          <t>No</t>
        </is>
      </c>
      <c r="AQ1394" t="inlineStr">
        <is>
          <t>No</t>
        </is>
      </c>
      <c r="AS1394">
        <f>HYPERLINK("https://creighton-primo.hosted.exlibrisgroup.com/primo-explore/search?tab=default_tab&amp;search_scope=EVERYTHING&amp;vid=01CRU&amp;lang=en_US&amp;offset=0&amp;query=any,contains,991000329389702656","Catalog Record")</f>
        <v/>
      </c>
      <c r="AT1394">
        <f>HYPERLINK("http://www.worldcat.org/oclc/10185543","WorldCat Record")</f>
        <v/>
      </c>
      <c r="AU1394" t="inlineStr">
        <is>
          <t>353275747:eng</t>
        </is>
      </c>
      <c r="AV1394" t="inlineStr">
        <is>
          <t>10185543</t>
        </is>
      </c>
      <c r="AW1394" t="inlineStr">
        <is>
          <t>991000329389702656</t>
        </is>
      </c>
      <c r="AX1394" t="inlineStr">
        <is>
          <t>991000329389702656</t>
        </is>
      </c>
      <c r="AY1394" t="inlineStr">
        <is>
          <t>2265401920002656</t>
        </is>
      </c>
      <c r="AZ1394" t="inlineStr">
        <is>
          <t>BOOK</t>
        </is>
      </c>
      <c r="BB1394" t="inlineStr">
        <is>
          <t>9789027716309</t>
        </is>
      </c>
      <c r="BC1394" t="inlineStr">
        <is>
          <t>32285001607604</t>
        </is>
      </c>
      <c r="BD1394" t="inlineStr">
        <is>
          <t>893790414</t>
        </is>
      </c>
    </row>
    <row r="1395">
      <c r="A1395" t="inlineStr">
        <is>
          <t>No</t>
        </is>
      </c>
      <c r="B1395" t="inlineStr">
        <is>
          <t>RC570 .F69 1982</t>
        </is>
      </c>
      <c r="C1395" t="inlineStr">
        <is>
          <t>0                      RC 0570000F  69          1982</t>
        </is>
      </c>
      <c r="D1395" t="inlineStr">
        <is>
          <t>Increasing behaviors of severely retarded and autistic persons / Richard M. Foxx.</t>
        </is>
      </c>
      <c r="F1395" t="inlineStr">
        <is>
          <t>No</t>
        </is>
      </c>
      <c r="G1395" t="inlineStr">
        <is>
          <t>1</t>
        </is>
      </c>
      <c r="H1395" t="inlineStr">
        <is>
          <t>No</t>
        </is>
      </c>
      <c r="I1395" t="inlineStr">
        <is>
          <t>No</t>
        </is>
      </c>
      <c r="J1395" t="inlineStr">
        <is>
          <t>0</t>
        </is>
      </c>
      <c r="K1395" t="inlineStr">
        <is>
          <t>Foxx, Richard M.</t>
        </is>
      </c>
      <c r="L1395" t="inlineStr">
        <is>
          <t>Champaign, Ill. : Research Press, c1982.</t>
        </is>
      </c>
      <c r="M1395" t="inlineStr">
        <is>
          <t>1982</t>
        </is>
      </c>
      <c r="O1395" t="inlineStr">
        <is>
          <t>eng</t>
        </is>
      </c>
      <c r="P1395" t="inlineStr">
        <is>
          <t>ilu</t>
        </is>
      </c>
      <c r="R1395" t="inlineStr">
        <is>
          <t xml:space="preserve">RC </t>
        </is>
      </c>
      <c r="S1395" t="n">
        <v>2</v>
      </c>
      <c r="T1395" t="n">
        <v>2</v>
      </c>
      <c r="U1395" t="inlineStr">
        <is>
          <t>1993-06-08</t>
        </is>
      </c>
      <c r="V1395" t="inlineStr">
        <is>
          <t>1993-06-08</t>
        </is>
      </c>
      <c r="W1395" t="inlineStr">
        <is>
          <t>1993-03-23</t>
        </is>
      </c>
      <c r="X1395" t="inlineStr">
        <is>
          <t>1993-03-23</t>
        </is>
      </c>
      <c r="Y1395" t="n">
        <v>306</v>
      </c>
      <c r="Z1395" t="n">
        <v>251</v>
      </c>
      <c r="AA1395" t="n">
        <v>309</v>
      </c>
      <c r="AB1395" t="n">
        <v>2</v>
      </c>
      <c r="AC1395" t="n">
        <v>3</v>
      </c>
      <c r="AD1395" t="n">
        <v>10</v>
      </c>
      <c r="AE1395" t="n">
        <v>13</v>
      </c>
      <c r="AF1395" t="n">
        <v>5</v>
      </c>
      <c r="AG1395" t="n">
        <v>7</v>
      </c>
      <c r="AH1395" t="n">
        <v>0</v>
      </c>
      <c r="AI1395" t="n">
        <v>0</v>
      </c>
      <c r="AJ1395" t="n">
        <v>6</v>
      </c>
      <c r="AK1395" t="n">
        <v>7</v>
      </c>
      <c r="AL1395" t="n">
        <v>1</v>
      </c>
      <c r="AM1395" t="n">
        <v>2</v>
      </c>
      <c r="AN1395" t="n">
        <v>0</v>
      </c>
      <c r="AO1395" t="n">
        <v>0</v>
      </c>
      <c r="AP1395" t="inlineStr">
        <is>
          <t>No</t>
        </is>
      </c>
      <c r="AQ1395" t="inlineStr">
        <is>
          <t>No</t>
        </is>
      </c>
      <c r="AS1395">
        <f>HYPERLINK("https://creighton-primo.hosted.exlibrisgroup.com/primo-explore/search?tab=default_tab&amp;search_scope=EVERYTHING&amp;vid=01CRU&amp;lang=en_US&amp;offset=0&amp;query=any,contains,991000334239702656","Catalog Record")</f>
        <v/>
      </c>
      <c r="AT1395">
        <f>HYPERLINK("http://www.worldcat.org/oclc/10223349","WorldCat Record")</f>
        <v/>
      </c>
      <c r="AU1395" t="inlineStr">
        <is>
          <t>4494924126:eng</t>
        </is>
      </c>
      <c r="AV1395" t="inlineStr">
        <is>
          <t>10223349</t>
        </is>
      </c>
      <c r="AW1395" t="inlineStr">
        <is>
          <t>991000334239702656</t>
        </is>
      </c>
      <c r="AX1395" t="inlineStr">
        <is>
          <t>991000334239702656</t>
        </is>
      </c>
      <c r="AY1395" t="inlineStr">
        <is>
          <t>2259125640002656</t>
        </is>
      </c>
      <c r="AZ1395" t="inlineStr">
        <is>
          <t>BOOK</t>
        </is>
      </c>
      <c r="BB1395" t="inlineStr">
        <is>
          <t>9780878222636</t>
        </is>
      </c>
      <c r="BC1395" t="inlineStr">
        <is>
          <t>32285001607612</t>
        </is>
      </c>
      <c r="BD1395" t="inlineStr">
        <is>
          <t>893777853</t>
        </is>
      </c>
    </row>
    <row r="1396">
      <c r="A1396" t="inlineStr">
        <is>
          <t>No</t>
        </is>
      </c>
      <c r="B1396" t="inlineStr">
        <is>
          <t>RC570 .G44</t>
        </is>
      </c>
      <c r="C1396" t="inlineStr">
        <is>
          <t>0                      RC 0570000G  44</t>
        </is>
      </c>
      <c r="D1396" t="inlineStr">
        <is>
          <t>The Genetic, metabolic and developmental aspects of mental retardation / edited by Robert F. Murray and Pearl Lockhart Rosser. With a foreword by Roland B. Scott.</t>
        </is>
      </c>
      <c r="F1396" t="inlineStr">
        <is>
          <t>No</t>
        </is>
      </c>
      <c r="G1396" t="inlineStr">
        <is>
          <t>1</t>
        </is>
      </c>
      <c r="H1396" t="inlineStr">
        <is>
          <t>No</t>
        </is>
      </c>
      <c r="I1396" t="inlineStr">
        <is>
          <t>No</t>
        </is>
      </c>
      <c r="J1396" t="inlineStr">
        <is>
          <t>0</t>
        </is>
      </c>
      <c r="L1396" t="inlineStr">
        <is>
          <t>Springfield, Ill. : Thomas, [1972]</t>
        </is>
      </c>
      <c r="M1396" t="inlineStr">
        <is>
          <t>1972</t>
        </is>
      </c>
      <c r="O1396" t="inlineStr">
        <is>
          <t>eng</t>
        </is>
      </c>
      <c r="P1396" t="inlineStr">
        <is>
          <t>ilu</t>
        </is>
      </c>
      <c r="R1396" t="inlineStr">
        <is>
          <t xml:space="preserve">RC </t>
        </is>
      </c>
      <c r="S1396" t="n">
        <v>3</v>
      </c>
      <c r="T1396" t="n">
        <v>3</v>
      </c>
      <c r="U1396" t="inlineStr">
        <is>
          <t>1996-10-21</t>
        </is>
      </c>
      <c r="V1396" t="inlineStr">
        <is>
          <t>1996-10-21</t>
        </is>
      </c>
      <c r="W1396" t="inlineStr">
        <is>
          <t>1992-02-20</t>
        </is>
      </c>
      <c r="X1396" t="inlineStr">
        <is>
          <t>1992-02-20</t>
        </is>
      </c>
      <c r="Y1396" t="n">
        <v>286</v>
      </c>
      <c r="Z1396" t="n">
        <v>249</v>
      </c>
      <c r="AA1396" t="n">
        <v>256</v>
      </c>
      <c r="AB1396" t="n">
        <v>3</v>
      </c>
      <c r="AC1396" t="n">
        <v>3</v>
      </c>
      <c r="AD1396" t="n">
        <v>8</v>
      </c>
      <c r="AE1396" t="n">
        <v>8</v>
      </c>
      <c r="AF1396" t="n">
        <v>1</v>
      </c>
      <c r="AG1396" t="n">
        <v>1</v>
      </c>
      <c r="AH1396" t="n">
        <v>2</v>
      </c>
      <c r="AI1396" t="n">
        <v>2</v>
      </c>
      <c r="AJ1396" t="n">
        <v>5</v>
      </c>
      <c r="AK1396" t="n">
        <v>5</v>
      </c>
      <c r="AL1396" t="n">
        <v>2</v>
      </c>
      <c r="AM1396" t="n">
        <v>2</v>
      </c>
      <c r="AN1396" t="n">
        <v>0</v>
      </c>
      <c r="AO1396" t="n">
        <v>0</v>
      </c>
      <c r="AP1396" t="inlineStr">
        <is>
          <t>No</t>
        </is>
      </c>
      <c r="AQ1396" t="inlineStr">
        <is>
          <t>Yes</t>
        </is>
      </c>
      <c r="AR1396">
        <f>HYPERLINK("http://catalog.hathitrust.org/Record/000007237","HathiTrust Record")</f>
        <v/>
      </c>
      <c r="AS1396">
        <f>HYPERLINK("https://creighton-primo.hosted.exlibrisgroup.com/primo-explore/search?tab=default_tab&amp;search_scope=EVERYTHING&amp;vid=01CRU&amp;lang=en_US&amp;offset=0&amp;query=any,contains,991002936979702656","Catalog Record")</f>
        <v/>
      </c>
      <c r="AT1396">
        <f>HYPERLINK("http://www.worldcat.org/oclc/533670","WorldCat Record")</f>
        <v/>
      </c>
      <c r="AU1396" t="inlineStr">
        <is>
          <t>366682828:eng</t>
        </is>
      </c>
      <c r="AV1396" t="inlineStr">
        <is>
          <t>533670</t>
        </is>
      </c>
      <c r="AW1396" t="inlineStr">
        <is>
          <t>991002936979702656</t>
        </is>
      </c>
      <c r="AX1396" t="inlineStr">
        <is>
          <t>991002936979702656</t>
        </is>
      </c>
      <c r="AY1396" t="inlineStr">
        <is>
          <t>2264387700002656</t>
        </is>
      </c>
      <c r="AZ1396" t="inlineStr">
        <is>
          <t>BOOK</t>
        </is>
      </c>
      <c r="BB1396" t="inlineStr">
        <is>
          <t>9780398025311</t>
        </is>
      </c>
      <c r="BC1396" t="inlineStr">
        <is>
          <t>32285000971985</t>
        </is>
      </c>
      <c r="BD1396" t="inlineStr">
        <is>
          <t>893874208</t>
        </is>
      </c>
    </row>
    <row r="1397">
      <c r="A1397" t="inlineStr">
        <is>
          <t>No</t>
        </is>
      </c>
      <c r="B1397" t="inlineStr">
        <is>
          <t>RC570 .G67</t>
        </is>
      </c>
      <c r="C1397" t="inlineStr">
        <is>
          <t>0                      RC 0570000G  67</t>
        </is>
      </c>
      <c r="D1397" t="inlineStr">
        <is>
          <t>Public awareness about mental retardation.</t>
        </is>
      </c>
      <c r="F1397" t="inlineStr">
        <is>
          <t>No</t>
        </is>
      </c>
      <c r="G1397" t="inlineStr">
        <is>
          <t>1</t>
        </is>
      </c>
      <c r="H1397" t="inlineStr">
        <is>
          <t>No</t>
        </is>
      </c>
      <c r="I1397" t="inlineStr">
        <is>
          <t>No</t>
        </is>
      </c>
      <c r="J1397" t="inlineStr">
        <is>
          <t>0</t>
        </is>
      </c>
      <c r="K1397" t="inlineStr">
        <is>
          <t>Gottwald, Henry.</t>
        </is>
      </c>
      <c r="L1397" t="inlineStr">
        <is>
          <t>Arlington, Va. : Council for Exceptional Children, [1970]</t>
        </is>
      </c>
      <c r="M1397" t="inlineStr">
        <is>
          <t>1970</t>
        </is>
      </c>
      <c r="O1397" t="inlineStr">
        <is>
          <t>eng</t>
        </is>
      </c>
      <c r="P1397" t="inlineStr">
        <is>
          <t>vau</t>
        </is>
      </c>
      <c r="Q1397" t="inlineStr">
        <is>
          <t>CEC research monograph</t>
        </is>
      </c>
      <c r="R1397" t="inlineStr">
        <is>
          <t xml:space="preserve">RC </t>
        </is>
      </c>
      <c r="S1397" t="n">
        <v>7</v>
      </c>
      <c r="T1397" t="n">
        <v>7</v>
      </c>
      <c r="U1397" t="inlineStr">
        <is>
          <t>1996-12-05</t>
        </is>
      </c>
      <c r="V1397" t="inlineStr">
        <is>
          <t>1996-12-05</t>
        </is>
      </c>
      <c r="W1397" t="inlineStr">
        <is>
          <t>1992-04-15</t>
        </is>
      </c>
      <c r="X1397" t="inlineStr">
        <is>
          <t>1992-04-15</t>
        </is>
      </c>
      <c r="Y1397" t="n">
        <v>159</v>
      </c>
      <c r="Z1397" t="n">
        <v>131</v>
      </c>
      <c r="AA1397" t="n">
        <v>136</v>
      </c>
      <c r="AB1397" t="n">
        <v>2</v>
      </c>
      <c r="AC1397" t="n">
        <v>2</v>
      </c>
      <c r="AD1397" t="n">
        <v>1</v>
      </c>
      <c r="AE1397" t="n">
        <v>1</v>
      </c>
      <c r="AF1397" t="n">
        <v>0</v>
      </c>
      <c r="AG1397" t="n">
        <v>0</v>
      </c>
      <c r="AH1397" t="n">
        <v>0</v>
      </c>
      <c r="AI1397" t="n">
        <v>0</v>
      </c>
      <c r="AJ1397" t="n">
        <v>0</v>
      </c>
      <c r="AK1397" t="n">
        <v>0</v>
      </c>
      <c r="AL1397" t="n">
        <v>1</v>
      </c>
      <c r="AM1397" t="n">
        <v>1</v>
      </c>
      <c r="AN1397" t="n">
        <v>0</v>
      </c>
      <c r="AO1397" t="n">
        <v>0</v>
      </c>
      <c r="AP1397" t="inlineStr">
        <is>
          <t>No</t>
        </is>
      </c>
      <c r="AQ1397" t="inlineStr">
        <is>
          <t>Yes</t>
        </is>
      </c>
      <c r="AR1397">
        <f>HYPERLINK("http://catalog.hathitrust.org/Record/001565341","HathiTrust Record")</f>
        <v/>
      </c>
      <c r="AS1397">
        <f>HYPERLINK("https://creighton-primo.hosted.exlibrisgroup.com/primo-explore/search?tab=default_tab&amp;search_scope=EVERYTHING&amp;vid=01CRU&amp;lang=en_US&amp;offset=0&amp;query=any,contains,991000720349702656","Catalog Record")</f>
        <v/>
      </c>
      <c r="AT1397">
        <f>HYPERLINK("http://www.worldcat.org/oclc/126572","WorldCat Record")</f>
        <v/>
      </c>
      <c r="AU1397" t="inlineStr">
        <is>
          <t>1253059:eng</t>
        </is>
      </c>
      <c r="AV1397" t="inlineStr">
        <is>
          <t>126572</t>
        </is>
      </c>
      <c r="AW1397" t="inlineStr">
        <is>
          <t>991000720349702656</t>
        </is>
      </c>
      <c r="AX1397" t="inlineStr">
        <is>
          <t>991000720349702656</t>
        </is>
      </c>
      <c r="AY1397" t="inlineStr">
        <is>
          <t>2258430380002656</t>
        </is>
      </c>
      <c r="AZ1397" t="inlineStr">
        <is>
          <t>BOOK</t>
        </is>
      </c>
      <c r="BC1397" t="inlineStr">
        <is>
          <t>32285001060580</t>
        </is>
      </c>
      <c r="BD1397" t="inlineStr">
        <is>
          <t>893327522</t>
        </is>
      </c>
    </row>
    <row r="1398">
      <c r="A1398" t="inlineStr">
        <is>
          <t>No</t>
        </is>
      </c>
      <c r="B1398" t="inlineStr">
        <is>
          <t>RC570 .J6 1976</t>
        </is>
      </c>
      <c r="C1398" t="inlineStr">
        <is>
          <t>0                      RC 0570000J  6           1976</t>
        </is>
      </c>
      <c r="D1398" t="inlineStr">
        <is>
          <t>The mentally retarded / Thomas E. Jordan.</t>
        </is>
      </c>
      <c r="F1398" t="inlineStr">
        <is>
          <t>No</t>
        </is>
      </c>
      <c r="G1398" t="inlineStr">
        <is>
          <t>1</t>
        </is>
      </c>
      <c r="H1398" t="inlineStr">
        <is>
          <t>No</t>
        </is>
      </c>
      <c r="I1398" t="inlineStr">
        <is>
          <t>No</t>
        </is>
      </c>
      <c r="J1398" t="inlineStr">
        <is>
          <t>0</t>
        </is>
      </c>
      <c r="K1398" t="inlineStr">
        <is>
          <t>Jordan, Thomas E. (Thomas Edward)</t>
        </is>
      </c>
      <c r="L1398" t="inlineStr">
        <is>
          <t>Columbus, Ohio : Merrill, c1976.</t>
        </is>
      </c>
      <c r="M1398" t="inlineStr">
        <is>
          <t>1976</t>
        </is>
      </c>
      <c r="N1398" t="inlineStr">
        <is>
          <t>4th ed.</t>
        </is>
      </c>
      <c r="O1398" t="inlineStr">
        <is>
          <t>eng</t>
        </is>
      </c>
      <c r="P1398" t="inlineStr">
        <is>
          <t>ohu</t>
        </is>
      </c>
      <c r="R1398" t="inlineStr">
        <is>
          <t xml:space="preserve">RC </t>
        </is>
      </c>
      <c r="S1398" t="n">
        <v>2</v>
      </c>
      <c r="T1398" t="n">
        <v>2</v>
      </c>
      <c r="U1398" t="inlineStr">
        <is>
          <t>1994-04-29</t>
        </is>
      </c>
      <c r="V1398" t="inlineStr">
        <is>
          <t>1994-04-29</t>
        </is>
      </c>
      <c r="W1398" t="inlineStr">
        <is>
          <t>1994-02-16</t>
        </is>
      </c>
      <c r="X1398" t="inlineStr">
        <is>
          <t>1994-02-16</t>
        </is>
      </c>
      <c r="Y1398" t="n">
        <v>216</v>
      </c>
      <c r="Z1398" t="n">
        <v>186</v>
      </c>
      <c r="AA1398" t="n">
        <v>588</v>
      </c>
      <c r="AB1398" t="n">
        <v>2</v>
      </c>
      <c r="AC1398" t="n">
        <v>6</v>
      </c>
      <c r="AD1398" t="n">
        <v>8</v>
      </c>
      <c r="AE1398" t="n">
        <v>27</v>
      </c>
      <c r="AF1398" t="n">
        <v>2</v>
      </c>
      <c r="AG1398" t="n">
        <v>9</v>
      </c>
      <c r="AH1398" t="n">
        <v>2</v>
      </c>
      <c r="AI1398" t="n">
        <v>5</v>
      </c>
      <c r="AJ1398" t="n">
        <v>4</v>
      </c>
      <c r="AK1398" t="n">
        <v>15</v>
      </c>
      <c r="AL1398" t="n">
        <v>1</v>
      </c>
      <c r="AM1398" t="n">
        <v>4</v>
      </c>
      <c r="AN1398" t="n">
        <v>0</v>
      </c>
      <c r="AO1398" t="n">
        <v>0</v>
      </c>
      <c r="AP1398" t="inlineStr">
        <is>
          <t>No</t>
        </is>
      </c>
      <c r="AQ1398" t="inlineStr">
        <is>
          <t>Yes</t>
        </is>
      </c>
      <c r="AR1398">
        <f>HYPERLINK("http://catalog.hathitrust.org/Record/010093736","HathiTrust Record")</f>
        <v/>
      </c>
      <c r="AS1398">
        <f>HYPERLINK("https://creighton-primo.hosted.exlibrisgroup.com/primo-explore/search?tab=default_tab&amp;search_scope=EVERYTHING&amp;vid=01CRU&amp;lang=en_US&amp;offset=0&amp;query=any,contains,991004062549702656","Catalog Record")</f>
        <v/>
      </c>
      <c r="AT1398">
        <f>HYPERLINK("http://www.worldcat.org/oclc/2276140","WorldCat Record")</f>
        <v/>
      </c>
      <c r="AU1398" t="inlineStr">
        <is>
          <t>1343538:eng</t>
        </is>
      </c>
      <c r="AV1398" t="inlineStr">
        <is>
          <t>2276140</t>
        </is>
      </c>
      <c r="AW1398" t="inlineStr">
        <is>
          <t>991004062549702656</t>
        </is>
      </c>
      <c r="AX1398" t="inlineStr">
        <is>
          <t>991004062549702656</t>
        </is>
      </c>
      <c r="AY1398" t="inlineStr">
        <is>
          <t>2271542590002656</t>
        </is>
      </c>
      <c r="AZ1398" t="inlineStr">
        <is>
          <t>BOOK</t>
        </is>
      </c>
      <c r="BB1398" t="inlineStr">
        <is>
          <t>9780675086165</t>
        </is>
      </c>
      <c r="BC1398" t="inlineStr">
        <is>
          <t>32285001838514</t>
        </is>
      </c>
      <c r="BD1398" t="inlineStr">
        <is>
          <t>893337295</t>
        </is>
      </c>
    </row>
    <row r="1399">
      <c r="A1399" t="inlineStr">
        <is>
          <t>No</t>
        </is>
      </c>
      <c r="B1399" t="inlineStr">
        <is>
          <t>RC570 .M214</t>
        </is>
      </c>
      <c r="C1399" t="inlineStr">
        <is>
          <t>0                      RC 0570000M  214</t>
        </is>
      </c>
      <c r="D1399" t="inlineStr">
        <is>
          <t>Mental retardation and modern society / Michael P. Maloney and Michael P. Ward.</t>
        </is>
      </c>
      <c r="F1399" t="inlineStr">
        <is>
          <t>No</t>
        </is>
      </c>
      <c r="G1399" t="inlineStr">
        <is>
          <t>1</t>
        </is>
      </c>
      <c r="H1399" t="inlineStr">
        <is>
          <t>No</t>
        </is>
      </c>
      <c r="I1399" t="inlineStr">
        <is>
          <t>No</t>
        </is>
      </c>
      <c r="J1399" t="inlineStr">
        <is>
          <t>0</t>
        </is>
      </c>
      <c r="K1399" t="inlineStr">
        <is>
          <t>Maloney, Michael P.</t>
        </is>
      </c>
      <c r="L1399" t="inlineStr">
        <is>
          <t>New York : Oxford University Press, 1979.</t>
        </is>
      </c>
      <c r="M1399" t="inlineStr">
        <is>
          <t>1979</t>
        </is>
      </c>
      <c r="O1399" t="inlineStr">
        <is>
          <t>eng</t>
        </is>
      </c>
      <c r="P1399" t="inlineStr">
        <is>
          <t>nyu</t>
        </is>
      </c>
      <c r="R1399" t="inlineStr">
        <is>
          <t xml:space="preserve">RC </t>
        </is>
      </c>
      <c r="S1399" t="n">
        <v>10</v>
      </c>
      <c r="T1399" t="n">
        <v>10</v>
      </c>
      <c r="U1399" t="inlineStr">
        <is>
          <t>2008-11-16</t>
        </is>
      </c>
      <c r="V1399" t="inlineStr">
        <is>
          <t>2008-11-16</t>
        </is>
      </c>
      <c r="W1399" t="inlineStr">
        <is>
          <t>1993-03-23</t>
        </is>
      </c>
      <c r="X1399" t="inlineStr">
        <is>
          <t>1993-03-23</t>
        </is>
      </c>
      <c r="Y1399" t="n">
        <v>317</v>
      </c>
      <c r="Z1399" t="n">
        <v>240</v>
      </c>
      <c r="AA1399" t="n">
        <v>246</v>
      </c>
      <c r="AB1399" t="n">
        <v>1</v>
      </c>
      <c r="AC1399" t="n">
        <v>1</v>
      </c>
      <c r="AD1399" t="n">
        <v>7</v>
      </c>
      <c r="AE1399" t="n">
        <v>7</v>
      </c>
      <c r="AF1399" t="n">
        <v>1</v>
      </c>
      <c r="AG1399" t="n">
        <v>1</v>
      </c>
      <c r="AH1399" t="n">
        <v>1</v>
      </c>
      <c r="AI1399" t="n">
        <v>1</v>
      </c>
      <c r="AJ1399" t="n">
        <v>7</v>
      </c>
      <c r="AK1399" t="n">
        <v>7</v>
      </c>
      <c r="AL1399" t="n">
        <v>0</v>
      </c>
      <c r="AM1399" t="n">
        <v>0</v>
      </c>
      <c r="AN1399" t="n">
        <v>0</v>
      </c>
      <c r="AO1399" t="n">
        <v>0</v>
      </c>
      <c r="AP1399" t="inlineStr">
        <is>
          <t>No</t>
        </is>
      </c>
      <c r="AQ1399" t="inlineStr">
        <is>
          <t>Yes</t>
        </is>
      </c>
      <c r="AR1399">
        <f>HYPERLINK("http://catalog.hathitrust.org/Record/000181975","HathiTrust Record")</f>
        <v/>
      </c>
      <c r="AS1399">
        <f>HYPERLINK("https://creighton-primo.hosted.exlibrisgroup.com/primo-explore/search?tab=default_tab&amp;search_scope=EVERYTHING&amp;vid=01CRU&amp;lang=en_US&amp;offset=0&amp;query=any,contains,991004564999702656","Catalog Record")</f>
        <v/>
      </c>
      <c r="AT1399">
        <f>HYPERLINK("http://www.worldcat.org/oclc/4004287","WorldCat Record")</f>
        <v/>
      </c>
      <c r="AU1399" t="inlineStr">
        <is>
          <t>13624033:eng</t>
        </is>
      </c>
      <c r="AV1399" t="inlineStr">
        <is>
          <t>4004287</t>
        </is>
      </c>
      <c r="AW1399" t="inlineStr">
        <is>
          <t>991004564999702656</t>
        </is>
      </c>
      <c r="AX1399" t="inlineStr">
        <is>
          <t>991004564999702656</t>
        </is>
      </c>
      <c r="AY1399" t="inlineStr">
        <is>
          <t>2264881140002656</t>
        </is>
      </c>
      <c r="AZ1399" t="inlineStr">
        <is>
          <t>BOOK</t>
        </is>
      </c>
      <c r="BB1399" t="inlineStr">
        <is>
          <t>9780195024739</t>
        </is>
      </c>
      <c r="BC1399" t="inlineStr">
        <is>
          <t>32285001607695</t>
        </is>
      </c>
      <c r="BD1399" t="inlineStr">
        <is>
          <t>893350164</t>
        </is>
      </c>
    </row>
    <row r="1400">
      <c r="A1400" t="inlineStr">
        <is>
          <t>No</t>
        </is>
      </c>
      <c r="B1400" t="inlineStr">
        <is>
          <t>RC570 .M4163</t>
        </is>
      </c>
      <c r="C1400" t="inlineStr">
        <is>
          <t>0                      RC 0570000M  4163</t>
        </is>
      </c>
      <c r="D1400" t="inlineStr">
        <is>
          <t>Mental retardation for special educators / edited by J. P. Das and David Baine.</t>
        </is>
      </c>
      <c r="F1400" t="inlineStr">
        <is>
          <t>No</t>
        </is>
      </c>
      <c r="G1400" t="inlineStr">
        <is>
          <t>1</t>
        </is>
      </c>
      <c r="H1400" t="inlineStr">
        <is>
          <t>No</t>
        </is>
      </c>
      <c r="I1400" t="inlineStr">
        <is>
          <t>No</t>
        </is>
      </c>
      <c r="J1400" t="inlineStr">
        <is>
          <t>0</t>
        </is>
      </c>
      <c r="L1400" t="inlineStr">
        <is>
          <t>Springfield, Ill. : Thomas, c1978.</t>
        </is>
      </c>
      <c r="M1400" t="inlineStr">
        <is>
          <t>1978</t>
        </is>
      </c>
      <c r="O1400" t="inlineStr">
        <is>
          <t>eng</t>
        </is>
      </c>
      <c r="P1400" t="inlineStr">
        <is>
          <t>ilu</t>
        </is>
      </c>
      <c r="R1400" t="inlineStr">
        <is>
          <t xml:space="preserve">RC </t>
        </is>
      </c>
      <c r="S1400" t="n">
        <v>2</v>
      </c>
      <c r="T1400" t="n">
        <v>2</v>
      </c>
      <c r="U1400" t="inlineStr">
        <is>
          <t>1996-12-05</t>
        </is>
      </c>
      <c r="V1400" t="inlineStr">
        <is>
          <t>1996-12-05</t>
        </is>
      </c>
      <c r="W1400" t="inlineStr">
        <is>
          <t>1993-03-23</t>
        </is>
      </c>
      <c r="X1400" t="inlineStr">
        <is>
          <t>1993-03-23</t>
        </is>
      </c>
      <c r="Y1400" t="n">
        <v>215</v>
      </c>
      <c r="Z1400" t="n">
        <v>181</v>
      </c>
      <c r="AA1400" t="n">
        <v>182</v>
      </c>
      <c r="AB1400" t="n">
        <v>5</v>
      </c>
      <c r="AC1400" t="n">
        <v>5</v>
      </c>
      <c r="AD1400" t="n">
        <v>9</v>
      </c>
      <c r="AE1400" t="n">
        <v>9</v>
      </c>
      <c r="AF1400" t="n">
        <v>1</v>
      </c>
      <c r="AG1400" t="n">
        <v>1</v>
      </c>
      <c r="AH1400" t="n">
        <v>1</v>
      </c>
      <c r="AI1400" t="n">
        <v>1</v>
      </c>
      <c r="AJ1400" t="n">
        <v>5</v>
      </c>
      <c r="AK1400" t="n">
        <v>5</v>
      </c>
      <c r="AL1400" t="n">
        <v>4</v>
      </c>
      <c r="AM1400" t="n">
        <v>4</v>
      </c>
      <c r="AN1400" t="n">
        <v>0</v>
      </c>
      <c r="AO1400" t="n">
        <v>0</v>
      </c>
      <c r="AP1400" t="inlineStr">
        <is>
          <t>No</t>
        </is>
      </c>
      <c r="AQ1400" t="inlineStr">
        <is>
          <t>Yes</t>
        </is>
      </c>
      <c r="AR1400">
        <f>HYPERLINK("http://catalog.hathitrust.org/Record/000724815","HathiTrust Record")</f>
        <v/>
      </c>
      <c r="AS1400">
        <f>HYPERLINK("https://creighton-primo.hosted.exlibrisgroup.com/primo-explore/search?tab=default_tab&amp;search_scope=EVERYTHING&amp;vid=01CRU&amp;lang=en_US&amp;offset=0&amp;query=any,contains,991004268279702656","Catalog Record")</f>
        <v/>
      </c>
      <c r="AT1400">
        <f>HYPERLINK("http://www.worldcat.org/oclc/2873691","WorldCat Record")</f>
        <v/>
      </c>
      <c r="AU1400" t="inlineStr">
        <is>
          <t>366734591:eng</t>
        </is>
      </c>
      <c r="AV1400" t="inlineStr">
        <is>
          <t>2873691</t>
        </is>
      </c>
      <c r="AW1400" t="inlineStr">
        <is>
          <t>991004268279702656</t>
        </is>
      </c>
      <c r="AX1400" t="inlineStr">
        <is>
          <t>991004268279702656</t>
        </is>
      </c>
      <c r="AY1400" t="inlineStr">
        <is>
          <t>2259484580002656</t>
        </is>
      </c>
      <c r="AZ1400" t="inlineStr">
        <is>
          <t>BOOK</t>
        </is>
      </c>
      <c r="BB1400" t="inlineStr">
        <is>
          <t>9780398036652</t>
        </is>
      </c>
      <c r="BC1400" t="inlineStr">
        <is>
          <t>32285001607703</t>
        </is>
      </c>
      <c r="BD1400" t="inlineStr">
        <is>
          <t>893618467</t>
        </is>
      </c>
    </row>
    <row r="1401">
      <c r="A1401" t="inlineStr">
        <is>
          <t>No</t>
        </is>
      </c>
      <c r="B1401" t="inlineStr">
        <is>
          <t>RC570 .M417</t>
        </is>
      </c>
      <c r="C1401" t="inlineStr">
        <is>
          <t>0                      RC 0570000M  417</t>
        </is>
      </c>
      <c r="D1401" t="inlineStr">
        <is>
          <t>Mental retardation : introduction and personal perspectives / edited by James M. Kauffman, James S. Payne ; [with a foreword by Norman R. Ellis].</t>
        </is>
      </c>
      <c r="F1401" t="inlineStr">
        <is>
          <t>No</t>
        </is>
      </c>
      <c r="G1401" t="inlineStr">
        <is>
          <t>1</t>
        </is>
      </c>
      <c r="H1401" t="inlineStr">
        <is>
          <t>No</t>
        </is>
      </c>
      <c r="I1401" t="inlineStr">
        <is>
          <t>No</t>
        </is>
      </c>
      <c r="J1401" t="inlineStr">
        <is>
          <t>0</t>
        </is>
      </c>
      <c r="L1401" t="inlineStr">
        <is>
          <t>Columbus, Ohio : Merrill, [1975]</t>
        </is>
      </c>
      <c r="M1401" t="inlineStr">
        <is>
          <t>1975</t>
        </is>
      </c>
      <c r="O1401" t="inlineStr">
        <is>
          <t>eng</t>
        </is>
      </c>
      <c r="P1401" t="inlineStr">
        <is>
          <t>ohu</t>
        </is>
      </c>
      <c r="Q1401" t="inlineStr">
        <is>
          <t>The Merrill personal perspectives in special education series</t>
        </is>
      </c>
      <c r="R1401" t="inlineStr">
        <is>
          <t xml:space="preserve">RC </t>
        </is>
      </c>
      <c r="S1401" t="n">
        <v>4</v>
      </c>
      <c r="T1401" t="n">
        <v>4</v>
      </c>
      <c r="U1401" t="inlineStr">
        <is>
          <t>1992-02-26</t>
        </is>
      </c>
      <c r="V1401" t="inlineStr">
        <is>
          <t>1992-02-26</t>
        </is>
      </c>
      <c r="W1401" t="inlineStr">
        <is>
          <t>1992-02-26</t>
        </is>
      </c>
      <c r="X1401" t="inlineStr">
        <is>
          <t>1992-02-26</t>
        </is>
      </c>
      <c r="Y1401" t="n">
        <v>220</v>
      </c>
      <c r="Z1401" t="n">
        <v>192</v>
      </c>
      <c r="AA1401" t="n">
        <v>194</v>
      </c>
      <c r="AB1401" t="n">
        <v>2</v>
      </c>
      <c r="AC1401" t="n">
        <v>2</v>
      </c>
      <c r="AD1401" t="n">
        <v>6</v>
      </c>
      <c r="AE1401" t="n">
        <v>6</v>
      </c>
      <c r="AF1401" t="n">
        <v>3</v>
      </c>
      <c r="AG1401" t="n">
        <v>3</v>
      </c>
      <c r="AH1401" t="n">
        <v>1</v>
      </c>
      <c r="AI1401" t="n">
        <v>1</v>
      </c>
      <c r="AJ1401" t="n">
        <v>2</v>
      </c>
      <c r="AK1401" t="n">
        <v>2</v>
      </c>
      <c r="AL1401" t="n">
        <v>1</v>
      </c>
      <c r="AM1401" t="n">
        <v>1</v>
      </c>
      <c r="AN1401" t="n">
        <v>0</v>
      </c>
      <c r="AO1401" t="n">
        <v>0</v>
      </c>
      <c r="AP1401" t="inlineStr">
        <is>
          <t>No</t>
        </is>
      </c>
      <c r="AQ1401" t="inlineStr">
        <is>
          <t>No</t>
        </is>
      </c>
      <c r="AS1401">
        <f>HYPERLINK("https://creighton-primo.hosted.exlibrisgroup.com/primo-explore/search?tab=default_tab&amp;search_scope=EVERYTHING&amp;vid=01CRU&amp;lang=en_US&amp;offset=0&amp;query=any,contains,991004388819702656","Catalog Record")</f>
        <v/>
      </c>
      <c r="AT1401">
        <f>HYPERLINK("http://www.worldcat.org/oclc/3255323","WorldCat Record")</f>
        <v/>
      </c>
      <c r="AU1401" t="inlineStr">
        <is>
          <t>3856702258:eng</t>
        </is>
      </c>
      <c r="AV1401" t="inlineStr">
        <is>
          <t>3255323</t>
        </is>
      </c>
      <c r="AW1401" t="inlineStr">
        <is>
          <t>991004388819702656</t>
        </is>
      </c>
      <c r="AX1401" t="inlineStr">
        <is>
          <t>991004388819702656</t>
        </is>
      </c>
      <c r="AY1401" t="inlineStr">
        <is>
          <t>2272447700002656</t>
        </is>
      </c>
      <c r="AZ1401" t="inlineStr">
        <is>
          <t>BOOK</t>
        </is>
      </c>
      <c r="BC1401" t="inlineStr">
        <is>
          <t>32285000974575</t>
        </is>
      </c>
      <c r="BD1401" t="inlineStr">
        <is>
          <t>893888644</t>
        </is>
      </c>
    </row>
    <row r="1402">
      <c r="A1402" t="inlineStr">
        <is>
          <t>No</t>
        </is>
      </c>
      <c r="B1402" t="inlineStr">
        <is>
          <t>RC570 .M56</t>
        </is>
      </c>
      <c r="C1402" t="inlineStr">
        <is>
          <t>0                      RC 0570000M  56</t>
        </is>
      </c>
      <c r="D1402" t="inlineStr">
        <is>
          <t>Introduction to mental retardation syndromes and terminology / by Byron C. Moore, Jane D. Haynes, Clarence R. Laing ; with a foreword by Willard Abraham.</t>
        </is>
      </c>
      <c r="F1402" t="inlineStr">
        <is>
          <t>No</t>
        </is>
      </c>
      <c r="G1402" t="inlineStr">
        <is>
          <t>1</t>
        </is>
      </c>
      <c r="H1402" t="inlineStr">
        <is>
          <t>No</t>
        </is>
      </c>
      <c r="I1402" t="inlineStr">
        <is>
          <t>No</t>
        </is>
      </c>
      <c r="J1402" t="inlineStr">
        <is>
          <t>0</t>
        </is>
      </c>
      <c r="K1402" t="inlineStr">
        <is>
          <t>Moore, Byron C.</t>
        </is>
      </c>
      <c r="L1402" t="inlineStr">
        <is>
          <t>Springfield, Ill. : C. C. Thomas, c1978.</t>
        </is>
      </c>
      <c r="M1402" t="inlineStr">
        <is>
          <t>1978</t>
        </is>
      </c>
      <c r="O1402" t="inlineStr">
        <is>
          <t>eng</t>
        </is>
      </c>
      <c r="P1402" t="inlineStr">
        <is>
          <t>ilu</t>
        </is>
      </c>
      <c r="R1402" t="inlineStr">
        <is>
          <t xml:space="preserve">RC </t>
        </is>
      </c>
      <c r="S1402" t="n">
        <v>4</v>
      </c>
      <c r="T1402" t="n">
        <v>4</v>
      </c>
      <c r="U1402" t="inlineStr">
        <is>
          <t>2004-10-07</t>
        </is>
      </c>
      <c r="V1402" t="inlineStr">
        <is>
          <t>2004-10-07</t>
        </is>
      </c>
      <c r="W1402" t="inlineStr">
        <is>
          <t>1995-07-25</t>
        </is>
      </c>
      <c r="X1402" t="inlineStr">
        <is>
          <t>1995-07-25</t>
        </is>
      </c>
      <c r="Y1402" t="n">
        <v>292</v>
      </c>
      <c r="Z1402" t="n">
        <v>257</v>
      </c>
      <c r="AA1402" t="n">
        <v>263</v>
      </c>
      <c r="AB1402" t="n">
        <v>6</v>
      </c>
      <c r="AC1402" t="n">
        <v>6</v>
      </c>
      <c r="AD1402" t="n">
        <v>7</v>
      </c>
      <c r="AE1402" t="n">
        <v>7</v>
      </c>
      <c r="AF1402" t="n">
        <v>0</v>
      </c>
      <c r="AG1402" t="n">
        <v>0</v>
      </c>
      <c r="AH1402" t="n">
        <v>1</v>
      </c>
      <c r="AI1402" t="n">
        <v>1</v>
      </c>
      <c r="AJ1402" t="n">
        <v>2</v>
      </c>
      <c r="AK1402" t="n">
        <v>2</v>
      </c>
      <c r="AL1402" t="n">
        <v>5</v>
      </c>
      <c r="AM1402" t="n">
        <v>5</v>
      </c>
      <c r="AN1402" t="n">
        <v>0</v>
      </c>
      <c r="AO1402" t="n">
        <v>0</v>
      </c>
      <c r="AP1402" t="inlineStr">
        <is>
          <t>No</t>
        </is>
      </c>
      <c r="AQ1402" t="inlineStr">
        <is>
          <t>No</t>
        </is>
      </c>
      <c r="AS1402">
        <f>HYPERLINK("https://creighton-primo.hosted.exlibrisgroup.com/primo-explore/search?tab=default_tab&amp;search_scope=EVERYTHING&amp;vid=01CRU&amp;lang=en_US&amp;offset=0&amp;query=any,contains,991004363379702656","Catalog Record")</f>
        <v/>
      </c>
      <c r="AT1402">
        <f>HYPERLINK("http://www.worldcat.org/oclc/3168423","WorldCat Record")</f>
        <v/>
      </c>
      <c r="AU1402" t="inlineStr">
        <is>
          <t>573820:eng</t>
        </is>
      </c>
      <c r="AV1402" t="inlineStr">
        <is>
          <t>3168423</t>
        </is>
      </c>
      <c r="AW1402" t="inlineStr">
        <is>
          <t>991004363379702656</t>
        </is>
      </c>
      <c r="AX1402" t="inlineStr">
        <is>
          <t>991004363379702656</t>
        </is>
      </c>
      <c r="AY1402" t="inlineStr">
        <is>
          <t>2262972160002656</t>
        </is>
      </c>
      <c r="AZ1402" t="inlineStr">
        <is>
          <t>BOOK</t>
        </is>
      </c>
      <c r="BB1402" t="inlineStr">
        <is>
          <t>9780398037185</t>
        </is>
      </c>
      <c r="BC1402" t="inlineStr">
        <is>
          <t>32285002022241</t>
        </is>
      </c>
      <c r="BD1402" t="inlineStr">
        <is>
          <t>893706314</t>
        </is>
      </c>
    </row>
    <row r="1403">
      <c r="A1403" t="inlineStr">
        <is>
          <t>No</t>
        </is>
      </c>
      <c r="B1403" t="inlineStr">
        <is>
          <t>RC570 .M57 1985</t>
        </is>
      </c>
      <c r="C1403" t="inlineStr">
        <is>
          <t>0                      RC 0570000M  57          1985</t>
        </is>
      </c>
      <c r="D1403" t="inlineStr">
        <is>
          <t>Moral issues in mental retardation / edited by Ronald S. Laura and Adrian F. Ashman.</t>
        </is>
      </c>
      <c r="F1403" t="inlineStr">
        <is>
          <t>No</t>
        </is>
      </c>
      <c r="G1403" t="inlineStr">
        <is>
          <t>1</t>
        </is>
      </c>
      <c r="H1403" t="inlineStr">
        <is>
          <t>No</t>
        </is>
      </c>
      <c r="I1403" t="inlineStr">
        <is>
          <t>No</t>
        </is>
      </c>
      <c r="J1403" t="inlineStr">
        <is>
          <t>0</t>
        </is>
      </c>
      <c r="L1403" t="inlineStr">
        <is>
          <t>London ; Dover, NH : Croom Helm, c1985.</t>
        </is>
      </c>
      <c r="M1403" t="inlineStr">
        <is>
          <t>1985</t>
        </is>
      </c>
      <c r="O1403" t="inlineStr">
        <is>
          <t>eng</t>
        </is>
      </c>
      <c r="P1403" t="inlineStr">
        <is>
          <t>enk</t>
        </is>
      </c>
      <c r="R1403" t="inlineStr">
        <is>
          <t xml:space="preserve">RC </t>
        </is>
      </c>
      <c r="S1403" t="n">
        <v>1</v>
      </c>
      <c r="T1403" t="n">
        <v>1</v>
      </c>
      <c r="U1403" t="inlineStr">
        <is>
          <t>2002-04-10</t>
        </is>
      </c>
      <c r="V1403" t="inlineStr">
        <is>
          <t>2002-04-10</t>
        </is>
      </c>
      <c r="W1403" t="inlineStr">
        <is>
          <t>1992-04-03</t>
        </is>
      </c>
      <c r="X1403" t="inlineStr">
        <is>
          <t>1992-04-03</t>
        </is>
      </c>
      <c r="Y1403" t="n">
        <v>295</v>
      </c>
      <c r="Z1403" t="n">
        <v>194</v>
      </c>
      <c r="AA1403" t="n">
        <v>226</v>
      </c>
      <c r="AB1403" t="n">
        <v>2</v>
      </c>
      <c r="AC1403" t="n">
        <v>2</v>
      </c>
      <c r="AD1403" t="n">
        <v>8</v>
      </c>
      <c r="AE1403" t="n">
        <v>8</v>
      </c>
      <c r="AF1403" t="n">
        <v>1</v>
      </c>
      <c r="AG1403" t="n">
        <v>1</v>
      </c>
      <c r="AH1403" t="n">
        <v>3</v>
      </c>
      <c r="AI1403" t="n">
        <v>3</v>
      </c>
      <c r="AJ1403" t="n">
        <v>4</v>
      </c>
      <c r="AK1403" t="n">
        <v>4</v>
      </c>
      <c r="AL1403" t="n">
        <v>1</v>
      </c>
      <c r="AM1403" t="n">
        <v>1</v>
      </c>
      <c r="AN1403" t="n">
        <v>2</v>
      </c>
      <c r="AO1403" t="n">
        <v>2</v>
      </c>
      <c r="AP1403" t="inlineStr">
        <is>
          <t>No</t>
        </is>
      </c>
      <c r="AQ1403" t="inlineStr">
        <is>
          <t>No</t>
        </is>
      </c>
      <c r="AS1403">
        <f>HYPERLINK("https://creighton-primo.hosted.exlibrisgroup.com/primo-explore/search?tab=default_tab&amp;search_scope=EVERYTHING&amp;vid=01CRU&amp;lang=en_US&amp;offset=0&amp;query=any,contains,991000564779702656","Catalog Record")</f>
        <v/>
      </c>
      <c r="AT1403">
        <f>HYPERLINK("http://www.worldcat.org/oclc/11621442","WorldCat Record")</f>
        <v/>
      </c>
      <c r="AU1403" t="inlineStr">
        <is>
          <t>375472455:eng</t>
        </is>
      </c>
      <c r="AV1403" t="inlineStr">
        <is>
          <t>11621442</t>
        </is>
      </c>
      <c r="AW1403" t="inlineStr">
        <is>
          <t>991000564779702656</t>
        </is>
      </c>
      <c r="AX1403" t="inlineStr">
        <is>
          <t>991000564779702656</t>
        </is>
      </c>
      <c r="AY1403" t="inlineStr">
        <is>
          <t>2263493000002656</t>
        </is>
      </c>
      <c r="AZ1403" t="inlineStr">
        <is>
          <t>BOOK</t>
        </is>
      </c>
      <c r="BB1403" t="inlineStr">
        <is>
          <t>9780709916925</t>
        </is>
      </c>
      <c r="BC1403" t="inlineStr">
        <is>
          <t>32285001048379</t>
        </is>
      </c>
      <c r="BD1403" t="inlineStr">
        <is>
          <t>893407314</t>
        </is>
      </c>
    </row>
    <row r="1404">
      <c r="A1404" t="inlineStr">
        <is>
          <t>No</t>
        </is>
      </c>
      <c r="B1404" t="inlineStr">
        <is>
          <t>RC570 .N43 1984</t>
        </is>
      </c>
      <c r="C1404" t="inlineStr">
        <is>
          <t>0                      RC 0570000N  43          1984</t>
        </is>
      </c>
      <c r="D1404" t="inlineStr">
        <is>
          <t>Guiding the mentally retarded person to success : basic behavior principles and practice / John T. Neisworth, Robert M. Smith.</t>
        </is>
      </c>
      <c r="F1404" t="inlineStr">
        <is>
          <t>No</t>
        </is>
      </c>
      <c r="G1404" t="inlineStr">
        <is>
          <t>1</t>
        </is>
      </c>
      <c r="H1404" t="inlineStr">
        <is>
          <t>No</t>
        </is>
      </c>
      <c r="I1404" t="inlineStr">
        <is>
          <t>No</t>
        </is>
      </c>
      <c r="J1404" t="inlineStr">
        <is>
          <t>0</t>
        </is>
      </c>
      <c r="K1404" t="inlineStr">
        <is>
          <t>Neisworth, John T.</t>
        </is>
      </c>
      <c r="L1404" t="inlineStr">
        <is>
          <t>Austin, Tex. : PRO-ED, c1984.</t>
        </is>
      </c>
      <c r="M1404" t="inlineStr">
        <is>
          <t>1984</t>
        </is>
      </c>
      <c r="O1404" t="inlineStr">
        <is>
          <t>eng</t>
        </is>
      </c>
      <c r="P1404" t="inlineStr">
        <is>
          <t>txu</t>
        </is>
      </c>
      <c r="R1404" t="inlineStr">
        <is>
          <t xml:space="preserve">RC </t>
        </is>
      </c>
      <c r="S1404" t="n">
        <v>2</v>
      </c>
      <c r="T1404" t="n">
        <v>2</v>
      </c>
      <c r="U1404" t="inlineStr">
        <is>
          <t>1998-04-08</t>
        </is>
      </c>
      <c r="V1404" t="inlineStr">
        <is>
          <t>1998-04-08</t>
        </is>
      </c>
      <c r="W1404" t="inlineStr">
        <is>
          <t>1992-02-20</t>
        </is>
      </c>
      <c r="X1404" t="inlineStr">
        <is>
          <t>1992-02-20</t>
        </is>
      </c>
      <c r="Y1404" t="n">
        <v>86</v>
      </c>
      <c r="Z1404" t="n">
        <v>73</v>
      </c>
      <c r="AA1404" t="n">
        <v>74</v>
      </c>
      <c r="AB1404" t="n">
        <v>2</v>
      </c>
      <c r="AC1404" t="n">
        <v>2</v>
      </c>
      <c r="AD1404" t="n">
        <v>3</v>
      </c>
      <c r="AE1404" t="n">
        <v>3</v>
      </c>
      <c r="AF1404" t="n">
        <v>0</v>
      </c>
      <c r="AG1404" t="n">
        <v>0</v>
      </c>
      <c r="AH1404" t="n">
        <v>0</v>
      </c>
      <c r="AI1404" t="n">
        <v>0</v>
      </c>
      <c r="AJ1404" t="n">
        <v>2</v>
      </c>
      <c r="AK1404" t="n">
        <v>2</v>
      </c>
      <c r="AL1404" t="n">
        <v>1</v>
      </c>
      <c r="AM1404" t="n">
        <v>1</v>
      </c>
      <c r="AN1404" t="n">
        <v>0</v>
      </c>
      <c r="AO1404" t="n">
        <v>0</v>
      </c>
      <c r="AP1404" t="inlineStr">
        <is>
          <t>No</t>
        </is>
      </c>
      <c r="AQ1404" t="inlineStr">
        <is>
          <t>Yes</t>
        </is>
      </c>
      <c r="AR1404">
        <f>HYPERLINK("http://catalog.hathitrust.org/Record/101987876","HathiTrust Record")</f>
        <v/>
      </c>
      <c r="AS1404">
        <f>HYPERLINK("https://creighton-primo.hosted.exlibrisgroup.com/primo-explore/search?tab=default_tab&amp;search_scope=EVERYTHING&amp;vid=01CRU&amp;lang=en_US&amp;offset=0&amp;query=any,contains,991000358619702656","Catalog Record")</f>
        <v/>
      </c>
      <c r="AT1404">
        <f>HYPERLINK("http://www.worldcat.org/oclc/10348956","WorldCat Record")</f>
        <v/>
      </c>
      <c r="AU1404" t="inlineStr">
        <is>
          <t>281696080:eng</t>
        </is>
      </c>
      <c r="AV1404" t="inlineStr">
        <is>
          <t>10348956</t>
        </is>
      </c>
      <c r="AW1404" t="inlineStr">
        <is>
          <t>991000358619702656</t>
        </is>
      </c>
      <c r="AX1404" t="inlineStr">
        <is>
          <t>991000358619702656</t>
        </is>
      </c>
      <c r="AY1404" t="inlineStr">
        <is>
          <t>2264249220002656</t>
        </is>
      </c>
      <c r="AZ1404" t="inlineStr">
        <is>
          <t>BOOK</t>
        </is>
      </c>
      <c r="BB1404" t="inlineStr">
        <is>
          <t>9780936104379</t>
        </is>
      </c>
      <c r="BC1404" t="inlineStr">
        <is>
          <t>32285000971951</t>
        </is>
      </c>
      <c r="BD1404" t="inlineStr">
        <is>
          <t>893614115</t>
        </is>
      </c>
    </row>
    <row r="1405">
      <c r="A1405" t="inlineStr">
        <is>
          <t>No</t>
        </is>
      </c>
      <c r="B1405" t="inlineStr">
        <is>
          <t>RC570 .P338 1988</t>
        </is>
      </c>
      <c r="C1405" t="inlineStr">
        <is>
          <t>0                      RC 0570000P  338         1988</t>
        </is>
      </c>
      <c r="D1405" t="inlineStr">
        <is>
          <t>One of them / Norene Pavlik.</t>
        </is>
      </c>
      <c r="F1405" t="inlineStr">
        <is>
          <t>No</t>
        </is>
      </c>
      <c r="G1405" t="inlineStr">
        <is>
          <t>1</t>
        </is>
      </c>
      <c r="H1405" t="inlineStr">
        <is>
          <t>No</t>
        </is>
      </c>
      <c r="I1405" t="inlineStr">
        <is>
          <t>No</t>
        </is>
      </c>
      <c r="J1405" t="inlineStr">
        <is>
          <t>0</t>
        </is>
      </c>
      <c r="K1405" t="inlineStr">
        <is>
          <t>Pavlik, Norene.</t>
        </is>
      </c>
      <c r="L1405" t="inlineStr">
        <is>
          <t>Huntington, Ind. : Our Sunday Visitor, c1988.</t>
        </is>
      </c>
      <c r="M1405" t="inlineStr">
        <is>
          <t>1988</t>
        </is>
      </c>
      <c r="O1405" t="inlineStr">
        <is>
          <t>eng</t>
        </is>
      </c>
      <c r="P1405" t="inlineStr">
        <is>
          <t>inu</t>
        </is>
      </c>
      <c r="R1405" t="inlineStr">
        <is>
          <t xml:space="preserve">RC </t>
        </is>
      </c>
      <c r="S1405" t="n">
        <v>3</v>
      </c>
      <c r="T1405" t="n">
        <v>3</v>
      </c>
      <c r="U1405" t="inlineStr">
        <is>
          <t>1994-11-01</t>
        </is>
      </c>
      <c r="V1405" t="inlineStr">
        <is>
          <t>1994-11-01</t>
        </is>
      </c>
      <c r="W1405" t="inlineStr">
        <is>
          <t>1990-06-27</t>
        </is>
      </c>
      <c r="X1405" t="inlineStr">
        <is>
          <t>1990-06-27</t>
        </is>
      </c>
      <c r="Y1405" t="n">
        <v>19</v>
      </c>
      <c r="Z1405" t="n">
        <v>19</v>
      </c>
      <c r="AA1405" t="n">
        <v>19</v>
      </c>
      <c r="AB1405" t="n">
        <v>2</v>
      </c>
      <c r="AC1405" t="n">
        <v>2</v>
      </c>
      <c r="AD1405" t="n">
        <v>1</v>
      </c>
      <c r="AE1405" t="n">
        <v>1</v>
      </c>
      <c r="AF1405" t="n">
        <v>0</v>
      </c>
      <c r="AG1405" t="n">
        <v>0</v>
      </c>
      <c r="AH1405" t="n">
        <v>0</v>
      </c>
      <c r="AI1405" t="n">
        <v>0</v>
      </c>
      <c r="AJ1405" t="n">
        <v>1</v>
      </c>
      <c r="AK1405" t="n">
        <v>1</v>
      </c>
      <c r="AL1405" t="n">
        <v>0</v>
      </c>
      <c r="AM1405" t="n">
        <v>0</v>
      </c>
      <c r="AN1405" t="n">
        <v>0</v>
      </c>
      <c r="AO1405" t="n">
        <v>0</v>
      </c>
      <c r="AP1405" t="inlineStr">
        <is>
          <t>No</t>
        </is>
      </c>
      <c r="AQ1405" t="inlineStr">
        <is>
          <t>No</t>
        </is>
      </c>
      <c r="AS1405">
        <f>HYPERLINK("https://creighton-primo.hosted.exlibrisgroup.com/primo-explore/search?tab=default_tab&amp;search_scope=EVERYTHING&amp;vid=01CRU&amp;lang=en_US&amp;offset=0&amp;query=any,contains,991001485679702656","Catalog Record")</f>
        <v/>
      </c>
      <c r="AT1405">
        <f>HYPERLINK("http://www.worldcat.org/oclc/19651144","WorldCat Record")</f>
        <v/>
      </c>
      <c r="AU1405" t="inlineStr">
        <is>
          <t>21097484:eng</t>
        </is>
      </c>
      <c r="AV1405" t="inlineStr">
        <is>
          <t>19651144</t>
        </is>
      </c>
      <c r="AW1405" t="inlineStr">
        <is>
          <t>991001485679702656</t>
        </is>
      </c>
      <c r="AX1405" t="inlineStr">
        <is>
          <t>991001485679702656</t>
        </is>
      </c>
      <c r="AY1405" t="inlineStr">
        <is>
          <t>2258627200002656</t>
        </is>
      </c>
      <c r="AZ1405" t="inlineStr">
        <is>
          <t>BOOK</t>
        </is>
      </c>
      <c r="BB1405" t="inlineStr">
        <is>
          <t>9780879734206</t>
        </is>
      </c>
      <c r="BC1405" t="inlineStr">
        <is>
          <t>32285000205509</t>
        </is>
      </c>
      <c r="BD1405" t="inlineStr">
        <is>
          <t>893797604</t>
        </is>
      </c>
    </row>
    <row r="1406">
      <c r="A1406" t="inlineStr">
        <is>
          <t>No</t>
        </is>
      </c>
      <c r="B1406" t="inlineStr">
        <is>
          <t>RC570 .S7 1972</t>
        </is>
      </c>
      <c r="C1406" t="inlineStr">
        <is>
          <t>0                      RC 0570000S  7           1972</t>
        </is>
      </c>
      <c r="D1406" t="inlineStr">
        <is>
          <t>Mental retardation : a review of research / edited by Harvey A. Stevens and Rick Heber.</t>
        </is>
      </c>
      <c r="F1406" t="inlineStr">
        <is>
          <t>No</t>
        </is>
      </c>
      <c r="G1406" t="inlineStr">
        <is>
          <t>1</t>
        </is>
      </c>
      <c r="H1406" t="inlineStr">
        <is>
          <t>No</t>
        </is>
      </c>
      <c r="I1406" t="inlineStr">
        <is>
          <t>No</t>
        </is>
      </c>
      <c r="J1406" t="inlineStr">
        <is>
          <t>0</t>
        </is>
      </c>
      <c r="K1406" t="inlineStr">
        <is>
          <t>Stevens, Harvey A., editor.</t>
        </is>
      </c>
      <c r="L1406" t="inlineStr">
        <is>
          <t>Chicago : University of Chicago Press, c1964, 1972 printing.</t>
        </is>
      </c>
      <c r="M1406" t="inlineStr">
        <is>
          <t>1964</t>
        </is>
      </c>
      <c r="O1406" t="inlineStr">
        <is>
          <t>eng</t>
        </is>
      </c>
      <c r="P1406" t="inlineStr">
        <is>
          <t>ilu</t>
        </is>
      </c>
      <c r="R1406" t="inlineStr">
        <is>
          <t xml:space="preserve">RC </t>
        </is>
      </c>
      <c r="S1406" t="n">
        <v>1</v>
      </c>
      <c r="T1406" t="n">
        <v>1</v>
      </c>
      <c r="U1406" t="inlineStr">
        <is>
          <t>1994-09-27</t>
        </is>
      </c>
      <c r="V1406" t="inlineStr">
        <is>
          <t>1994-09-27</t>
        </is>
      </c>
      <c r="W1406" t="inlineStr">
        <is>
          <t>1994-02-16</t>
        </is>
      </c>
      <c r="X1406" t="inlineStr">
        <is>
          <t>1994-02-16</t>
        </is>
      </c>
      <c r="Y1406" t="n">
        <v>543</v>
      </c>
      <c r="Z1406" t="n">
        <v>459</v>
      </c>
      <c r="AA1406" t="n">
        <v>479</v>
      </c>
      <c r="AB1406" t="n">
        <v>3</v>
      </c>
      <c r="AC1406" t="n">
        <v>3</v>
      </c>
      <c r="AD1406" t="n">
        <v>17</v>
      </c>
      <c r="AE1406" t="n">
        <v>17</v>
      </c>
      <c r="AF1406" t="n">
        <v>6</v>
      </c>
      <c r="AG1406" t="n">
        <v>6</v>
      </c>
      <c r="AH1406" t="n">
        <v>1</v>
      </c>
      <c r="AI1406" t="n">
        <v>1</v>
      </c>
      <c r="AJ1406" t="n">
        <v>10</v>
      </c>
      <c r="AK1406" t="n">
        <v>10</v>
      </c>
      <c r="AL1406" t="n">
        <v>2</v>
      </c>
      <c r="AM1406" t="n">
        <v>2</v>
      </c>
      <c r="AN1406" t="n">
        <v>0</v>
      </c>
      <c r="AO1406" t="n">
        <v>0</v>
      </c>
      <c r="AP1406" t="inlineStr">
        <is>
          <t>No</t>
        </is>
      </c>
      <c r="AQ1406" t="inlineStr">
        <is>
          <t>No</t>
        </is>
      </c>
      <c r="AS1406">
        <f>HYPERLINK("https://creighton-primo.hosted.exlibrisgroup.com/primo-explore/search?tab=default_tab&amp;search_scope=EVERYTHING&amp;vid=01CRU&amp;lang=en_US&amp;offset=0&amp;query=any,contains,991003096889702656","Catalog Record")</f>
        <v/>
      </c>
      <c r="AT1406">
        <f>HYPERLINK("http://www.worldcat.org/oclc/646461","WorldCat Record")</f>
        <v/>
      </c>
      <c r="AU1406" t="inlineStr">
        <is>
          <t>346612290:eng</t>
        </is>
      </c>
      <c r="AV1406" t="inlineStr">
        <is>
          <t>646461</t>
        </is>
      </c>
      <c r="AW1406" t="inlineStr">
        <is>
          <t>991003096889702656</t>
        </is>
      </c>
      <c r="AX1406" t="inlineStr">
        <is>
          <t>991003096889702656</t>
        </is>
      </c>
      <c r="AY1406" t="inlineStr">
        <is>
          <t>2260155260002656</t>
        </is>
      </c>
      <c r="AZ1406" t="inlineStr">
        <is>
          <t>BOOK</t>
        </is>
      </c>
      <c r="BC1406" t="inlineStr">
        <is>
          <t>32285001838720</t>
        </is>
      </c>
      <c r="BD1406" t="inlineStr">
        <is>
          <t>893233823</t>
        </is>
      </c>
    </row>
    <row r="1407">
      <c r="A1407" t="inlineStr">
        <is>
          <t>No</t>
        </is>
      </c>
      <c r="B1407" t="inlineStr">
        <is>
          <t>RC570.2 .F69 1999</t>
        </is>
      </c>
      <c r="C1407" t="inlineStr">
        <is>
          <t>0                      RC 0570200F  69          1999</t>
        </is>
      </c>
      <c r="D1407" t="inlineStr">
        <is>
          <t>CHIP and children with special health care needs / by Wendy Fox-Grage ... [et al.].</t>
        </is>
      </c>
      <c r="F1407" t="inlineStr">
        <is>
          <t>No</t>
        </is>
      </c>
      <c r="G1407" t="inlineStr">
        <is>
          <t>1</t>
        </is>
      </c>
      <c r="H1407" t="inlineStr">
        <is>
          <t>No</t>
        </is>
      </c>
      <c r="I1407" t="inlineStr">
        <is>
          <t>No</t>
        </is>
      </c>
      <c r="J1407" t="inlineStr">
        <is>
          <t>0</t>
        </is>
      </c>
      <c r="L1407" t="inlineStr">
        <is>
          <t>Denver, CO : National Conference of State Legislatures, c1999.</t>
        </is>
      </c>
      <c r="M1407" t="inlineStr">
        <is>
          <t>1999</t>
        </is>
      </c>
      <c r="O1407" t="inlineStr">
        <is>
          <t>eng</t>
        </is>
      </c>
      <c r="P1407" t="inlineStr">
        <is>
          <t>cou</t>
        </is>
      </c>
      <c r="R1407" t="inlineStr">
        <is>
          <t xml:space="preserve">RC </t>
        </is>
      </c>
      <c r="S1407" t="n">
        <v>1</v>
      </c>
      <c r="T1407" t="n">
        <v>1</v>
      </c>
      <c r="U1407" t="inlineStr">
        <is>
          <t>2000-11-14</t>
        </is>
      </c>
      <c r="V1407" t="inlineStr">
        <is>
          <t>2000-11-14</t>
        </is>
      </c>
      <c r="W1407" t="inlineStr">
        <is>
          <t>2000-11-14</t>
        </is>
      </c>
      <c r="X1407" t="inlineStr">
        <is>
          <t>2000-11-14</t>
        </is>
      </c>
      <c r="Y1407" t="n">
        <v>32</v>
      </c>
      <c r="Z1407" t="n">
        <v>32</v>
      </c>
      <c r="AA1407" t="n">
        <v>32</v>
      </c>
      <c r="AB1407" t="n">
        <v>1</v>
      </c>
      <c r="AC1407" t="n">
        <v>1</v>
      </c>
      <c r="AD1407" t="n">
        <v>0</v>
      </c>
      <c r="AE1407" t="n">
        <v>0</v>
      </c>
      <c r="AF1407" t="n">
        <v>0</v>
      </c>
      <c r="AG1407" t="n">
        <v>0</v>
      </c>
      <c r="AH1407" t="n">
        <v>0</v>
      </c>
      <c r="AI1407" t="n">
        <v>0</v>
      </c>
      <c r="AJ1407" t="n">
        <v>0</v>
      </c>
      <c r="AK1407" t="n">
        <v>0</v>
      </c>
      <c r="AL1407" t="n">
        <v>0</v>
      </c>
      <c r="AM1407" t="n">
        <v>0</v>
      </c>
      <c r="AN1407" t="n">
        <v>0</v>
      </c>
      <c r="AO1407" t="n">
        <v>0</v>
      </c>
      <c r="AP1407" t="inlineStr">
        <is>
          <t>No</t>
        </is>
      </c>
      <c r="AQ1407" t="inlineStr">
        <is>
          <t>No</t>
        </is>
      </c>
      <c r="AS1407">
        <f>HYPERLINK("https://creighton-primo.hosted.exlibrisgroup.com/primo-explore/search?tab=default_tab&amp;search_scope=EVERYTHING&amp;vid=01CRU&amp;lang=en_US&amp;offset=0&amp;query=any,contains,991003243529702656","Catalog Record")</f>
        <v/>
      </c>
      <c r="AT1407">
        <f>HYPERLINK("http://www.worldcat.org/oclc/42679750","WorldCat Record")</f>
        <v/>
      </c>
      <c r="AU1407" t="inlineStr">
        <is>
          <t>24125273:eng</t>
        </is>
      </c>
      <c r="AV1407" t="inlineStr">
        <is>
          <t>42679750</t>
        </is>
      </c>
      <c r="AW1407" t="inlineStr">
        <is>
          <t>991003243529702656</t>
        </is>
      </c>
      <c r="AX1407" t="inlineStr">
        <is>
          <t>991003243529702656</t>
        </is>
      </c>
      <c r="AY1407" t="inlineStr">
        <is>
          <t>2270503920002656</t>
        </is>
      </c>
      <c r="AZ1407" t="inlineStr">
        <is>
          <t>BOOK</t>
        </is>
      </c>
      <c r="BB1407" t="inlineStr">
        <is>
          <t>9781580240741</t>
        </is>
      </c>
      <c r="BC1407" t="inlineStr">
        <is>
          <t>32285004266077</t>
        </is>
      </c>
      <c r="BD1407" t="inlineStr">
        <is>
          <t>893441064</t>
        </is>
      </c>
    </row>
    <row r="1408">
      <c r="A1408" t="inlineStr">
        <is>
          <t>No</t>
        </is>
      </c>
      <c r="B1408" t="inlineStr">
        <is>
          <t>RC570.7 .S46 1986</t>
        </is>
      </c>
      <c r="C1408" t="inlineStr">
        <is>
          <t>0                      RC 0570700S  46          1986</t>
        </is>
      </c>
      <c r="D1408" t="inlineStr">
        <is>
          <t>Sensory impairments in mentally handicapped people / edited by David Ellis.</t>
        </is>
      </c>
      <c r="F1408" t="inlineStr">
        <is>
          <t>No</t>
        </is>
      </c>
      <c r="G1408" t="inlineStr">
        <is>
          <t>1</t>
        </is>
      </c>
      <c r="H1408" t="inlineStr">
        <is>
          <t>Yes</t>
        </is>
      </c>
      <c r="I1408" t="inlineStr">
        <is>
          <t>No</t>
        </is>
      </c>
      <c r="J1408" t="inlineStr">
        <is>
          <t>0</t>
        </is>
      </c>
      <c r="L1408" t="inlineStr">
        <is>
          <t>San Diego, Calif. : College-Hill Press, 1986.</t>
        </is>
      </c>
      <c r="M1408" t="inlineStr">
        <is>
          <t>1986</t>
        </is>
      </c>
      <c r="O1408" t="inlineStr">
        <is>
          <t>eng</t>
        </is>
      </c>
      <c r="P1408" t="inlineStr">
        <is>
          <t>cau</t>
        </is>
      </c>
      <c r="R1408" t="inlineStr">
        <is>
          <t xml:space="preserve">RC </t>
        </is>
      </c>
      <c r="S1408" t="n">
        <v>2</v>
      </c>
      <c r="T1408" t="n">
        <v>2</v>
      </c>
      <c r="U1408" t="inlineStr">
        <is>
          <t>2003-02-18</t>
        </is>
      </c>
      <c r="V1408" t="inlineStr">
        <is>
          <t>2003-02-18</t>
        </is>
      </c>
      <c r="W1408" t="inlineStr">
        <is>
          <t>1993-03-23</t>
        </is>
      </c>
      <c r="X1408" t="inlineStr">
        <is>
          <t>1993-03-23</t>
        </is>
      </c>
      <c r="Y1408" t="n">
        <v>395</v>
      </c>
      <c r="Z1408" t="n">
        <v>310</v>
      </c>
      <c r="AA1408" t="n">
        <v>312</v>
      </c>
      <c r="AB1408" t="n">
        <v>7</v>
      </c>
      <c r="AC1408" t="n">
        <v>7</v>
      </c>
      <c r="AD1408" t="n">
        <v>15</v>
      </c>
      <c r="AE1408" t="n">
        <v>15</v>
      </c>
      <c r="AF1408" t="n">
        <v>5</v>
      </c>
      <c r="AG1408" t="n">
        <v>5</v>
      </c>
      <c r="AH1408" t="n">
        <v>1</v>
      </c>
      <c r="AI1408" t="n">
        <v>1</v>
      </c>
      <c r="AJ1408" t="n">
        <v>7</v>
      </c>
      <c r="AK1408" t="n">
        <v>7</v>
      </c>
      <c r="AL1408" t="n">
        <v>5</v>
      </c>
      <c r="AM1408" t="n">
        <v>5</v>
      </c>
      <c r="AN1408" t="n">
        <v>0</v>
      </c>
      <c r="AO1408" t="n">
        <v>0</v>
      </c>
      <c r="AP1408" t="inlineStr">
        <is>
          <t>No</t>
        </is>
      </c>
      <c r="AQ1408" t="inlineStr">
        <is>
          <t>Yes</t>
        </is>
      </c>
      <c r="AR1408">
        <f>HYPERLINK("http://catalog.hathitrust.org/Record/000662739","HathiTrust Record")</f>
        <v/>
      </c>
      <c r="AS1408">
        <f>HYPERLINK("https://creighton-primo.hosted.exlibrisgroup.com/primo-explore/search?tab=default_tab&amp;search_scope=EVERYTHING&amp;vid=01CRU&amp;lang=en_US&amp;offset=0&amp;query=any,contains,991000704569702656","Catalog Record")</f>
        <v/>
      </c>
      <c r="AT1408">
        <f>HYPERLINK("http://www.worldcat.org/oclc/12555890","WorldCat Record")</f>
        <v/>
      </c>
      <c r="AU1408" t="inlineStr">
        <is>
          <t>143915750:eng</t>
        </is>
      </c>
      <c r="AV1408" t="inlineStr">
        <is>
          <t>12555890</t>
        </is>
      </c>
      <c r="AW1408" t="inlineStr">
        <is>
          <t>991000704569702656</t>
        </is>
      </c>
      <c r="AX1408" t="inlineStr">
        <is>
          <t>991000704569702656</t>
        </is>
      </c>
      <c r="AY1408" t="inlineStr">
        <is>
          <t>2257816080002656</t>
        </is>
      </c>
      <c r="AZ1408" t="inlineStr">
        <is>
          <t>BOOK</t>
        </is>
      </c>
      <c r="BB1408" t="inlineStr">
        <is>
          <t>9780887442117</t>
        </is>
      </c>
      <c r="BC1408" t="inlineStr">
        <is>
          <t>32285001607737</t>
        </is>
      </c>
      <c r="BD1408" t="inlineStr">
        <is>
          <t>893438514</t>
        </is>
      </c>
    </row>
    <row r="1409">
      <c r="A1409" t="inlineStr">
        <is>
          <t>No</t>
        </is>
      </c>
      <c r="B1409" t="inlineStr">
        <is>
          <t>RC571 .B7</t>
        </is>
      </c>
      <c r="C1409" t="inlineStr">
        <is>
          <t>0                      RC 0571000B  7</t>
        </is>
      </c>
      <c r="D1409" t="inlineStr">
        <is>
          <t>Translocation in human chromosomes, with special reference to mental retardation and congenital malformations.</t>
        </is>
      </c>
      <c r="F1409" t="inlineStr">
        <is>
          <t>No</t>
        </is>
      </c>
      <c r="G1409" t="inlineStr">
        <is>
          <t>1</t>
        </is>
      </c>
      <c r="H1409" t="inlineStr">
        <is>
          <t>No</t>
        </is>
      </c>
      <c r="I1409" t="inlineStr">
        <is>
          <t>No</t>
        </is>
      </c>
      <c r="J1409" t="inlineStr">
        <is>
          <t>0</t>
        </is>
      </c>
      <c r="K1409" t="inlineStr">
        <is>
          <t>Brøgger, Anton.</t>
        </is>
      </c>
      <c r="L1409" t="inlineStr">
        <is>
          <t>Oslo, Universitetsforlaget, 1967.</t>
        </is>
      </c>
      <c r="M1409" t="inlineStr">
        <is>
          <t>1967</t>
        </is>
      </c>
      <c r="O1409" t="inlineStr">
        <is>
          <t>eng</t>
        </is>
      </c>
      <c r="P1409" t="inlineStr">
        <is>
          <t xml:space="preserve">no </t>
        </is>
      </c>
      <c r="Q1409" t="inlineStr">
        <is>
          <t>Norwegian monographs on medical science</t>
        </is>
      </c>
      <c r="R1409" t="inlineStr">
        <is>
          <t xml:space="preserve">RC </t>
        </is>
      </c>
      <c r="S1409" t="n">
        <v>1</v>
      </c>
      <c r="T1409" t="n">
        <v>1</v>
      </c>
      <c r="U1409" t="inlineStr">
        <is>
          <t>2010-10-14</t>
        </is>
      </c>
      <c r="V1409" t="inlineStr">
        <is>
          <t>2010-10-14</t>
        </is>
      </c>
      <c r="W1409" t="inlineStr">
        <is>
          <t>1997-08-12</t>
        </is>
      </c>
      <c r="X1409" t="inlineStr">
        <is>
          <t>1997-08-12</t>
        </is>
      </c>
      <c r="Y1409" t="n">
        <v>49</v>
      </c>
      <c r="Z1409" t="n">
        <v>32</v>
      </c>
      <c r="AA1409" t="n">
        <v>34</v>
      </c>
      <c r="AB1409" t="n">
        <v>1</v>
      </c>
      <c r="AC1409" t="n">
        <v>1</v>
      </c>
      <c r="AD1409" t="n">
        <v>0</v>
      </c>
      <c r="AE1409" t="n">
        <v>0</v>
      </c>
      <c r="AF1409" t="n">
        <v>0</v>
      </c>
      <c r="AG1409" t="n">
        <v>0</v>
      </c>
      <c r="AH1409" t="n">
        <v>0</v>
      </c>
      <c r="AI1409" t="n">
        <v>0</v>
      </c>
      <c r="AJ1409" t="n">
        <v>0</v>
      </c>
      <c r="AK1409" t="n">
        <v>0</v>
      </c>
      <c r="AL1409" t="n">
        <v>0</v>
      </c>
      <c r="AM1409" t="n">
        <v>0</v>
      </c>
      <c r="AN1409" t="n">
        <v>0</v>
      </c>
      <c r="AO1409" t="n">
        <v>0</v>
      </c>
      <c r="AP1409" t="inlineStr">
        <is>
          <t>No</t>
        </is>
      </c>
      <c r="AQ1409" t="inlineStr">
        <is>
          <t>Yes</t>
        </is>
      </c>
      <c r="AR1409">
        <f>HYPERLINK("http://catalog.hathitrust.org/Record/001565385","HathiTrust Record")</f>
        <v/>
      </c>
      <c r="AS1409">
        <f>HYPERLINK("https://creighton-primo.hosted.exlibrisgroup.com/primo-explore/search?tab=default_tab&amp;search_scope=EVERYTHING&amp;vid=01CRU&amp;lang=en_US&amp;offset=0&amp;query=any,contains,991003990289702656","Catalog Record")</f>
        <v/>
      </c>
      <c r="AT1409">
        <f>HYPERLINK("http://www.worldcat.org/oclc/2043989","WorldCat Record")</f>
        <v/>
      </c>
      <c r="AU1409" t="inlineStr">
        <is>
          <t>3247059:eng</t>
        </is>
      </c>
      <c r="AV1409" t="inlineStr">
        <is>
          <t>2043989</t>
        </is>
      </c>
      <c r="AW1409" t="inlineStr">
        <is>
          <t>991003990289702656</t>
        </is>
      </c>
      <c r="AX1409" t="inlineStr">
        <is>
          <t>991003990289702656</t>
        </is>
      </c>
      <c r="AY1409" t="inlineStr">
        <is>
          <t>2271584170002656</t>
        </is>
      </c>
      <c r="AZ1409" t="inlineStr">
        <is>
          <t>BOOK</t>
        </is>
      </c>
      <c r="BC1409" t="inlineStr">
        <is>
          <t>32285003092664</t>
        </is>
      </c>
      <c r="BD1409" t="inlineStr">
        <is>
          <t>893593135</t>
        </is>
      </c>
    </row>
    <row r="1410">
      <c r="A1410" t="inlineStr">
        <is>
          <t>No</t>
        </is>
      </c>
      <c r="B1410" t="inlineStr">
        <is>
          <t>RC571 .M43 2002</t>
        </is>
      </c>
      <c r="C1410" t="inlineStr">
        <is>
          <t>0                      RC 0571000M  43          2002</t>
        </is>
      </c>
      <c r="D1410" t="inlineStr">
        <is>
          <t>The Down syndrome nutrition handbook : a guide to promoting healthy lifestyles / Joan E. Guthrie Medlen ; [foreword by Timothy P. Shriver].</t>
        </is>
      </c>
      <c r="F1410" t="inlineStr">
        <is>
          <t>No</t>
        </is>
      </c>
      <c r="G1410" t="inlineStr">
        <is>
          <t>1</t>
        </is>
      </c>
      <c r="H1410" t="inlineStr">
        <is>
          <t>No</t>
        </is>
      </c>
      <c r="I1410" t="inlineStr">
        <is>
          <t>No</t>
        </is>
      </c>
      <c r="J1410" t="inlineStr">
        <is>
          <t>0</t>
        </is>
      </c>
      <c r="K1410" t="inlineStr">
        <is>
          <t>Medlen, Joan E. Guthrie.</t>
        </is>
      </c>
      <c r="L1410" t="inlineStr">
        <is>
          <t>Bethesda, Md : Woodbine House, c2002.</t>
        </is>
      </c>
      <c r="M1410" t="inlineStr">
        <is>
          <t>2002</t>
        </is>
      </c>
      <c r="N1410" t="inlineStr">
        <is>
          <t>1st ed.</t>
        </is>
      </c>
      <c r="O1410" t="inlineStr">
        <is>
          <t>eng</t>
        </is>
      </c>
      <c r="P1410" t="inlineStr">
        <is>
          <t>mdu</t>
        </is>
      </c>
      <c r="R1410" t="inlineStr">
        <is>
          <t xml:space="preserve">RC </t>
        </is>
      </c>
      <c r="S1410" t="n">
        <v>2</v>
      </c>
      <c r="T1410" t="n">
        <v>2</v>
      </c>
      <c r="U1410" t="inlineStr">
        <is>
          <t>2010-10-14</t>
        </is>
      </c>
      <c r="V1410" t="inlineStr">
        <is>
          <t>2010-10-14</t>
        </is>
      </c>
      <c r="W1410" t="inlineStr">
        <is>
          <t>2003-11-17</t>
        </is>
      </c>
      <c r="X1410" t="inlineStr">
        <is>
          <t>2003-11-17</t>
        </is>
      </c>
      <c r="Y1410" t="n">
        <v>207</v>
      </c>
      <c r="Z1410" t="n">
        <v>184</v>
      </c>
      <c r="AA1410" t="n">
        <v>218</v>
      </c>
      <c r="AB1410" t="n">
        <v>1</v>
      </c>
      <c r="AC1410" t="n">
        <v>2</v>
      </c>
      <c r="AD1410" t="n">
        <v>1</v>
      </c>
      <c r="AE1410" t="n">
        <v>1</v>
      </c>
      <c r="AF1410" t="n">
        <v>1</v>
      </c>
      <c r="AG1410" t="n">
        <v>1</v>
      </c>
      <c r="AH1410" t="n">
        <v>0</v>
      </c>
      <c r="AI1410" t="n">
        <v>0</v>
      </c>
      <c r="AJ1410" t="n">
        <v>0</v>
      </c>
      <c r="AK1410" t="n">
        <v>0</v>
      </c>
      <c r="AL1410" t="n">
        <v>0</v>
      </c>
      <c r="AM1410" t="n">
        <v>0</v>
      </c>
      <c r="AN1410" t="n">
        <v>0</v>
      </c>
      <c r="AO1410" t="n">
        <v>0</v>
      </c>
      <c r="AP1410" t="inlineStr">
        <is>
          <t>No</t>
        </is>
      </c>
      <c r="AQ1410" t="inlineStr">
        <is>
          <t>No</t>
        </is>
      </c>
      <c r="AS1410">
        <f>HYPERLINK("https://creighton-primo.hosted.exlibrisgroup.com/primo-explore/search?tab=default_tab&amp;search_scope=EVERYTHING&amp;vid=01CRU&amp;lang=en_US&amp;offset=0&amp;query=any,contains,991004181409702656","Catalog Record")</f>
        <v/>
      </c>
      <c r="AT1410">
        <f>HYPERLINK("http://www.worldcat.org/oclc/50204433","WorldCat Record")</f>
        <v/>
      </c>
      <c r="AU1410" t="inlineStr">
        <is>
          <t>957008:eng</t>
        </is>
      </c>
      <c r="AV1410" t="inlineStr">
        <is>
          <t>50204433</t>
        </is>
      </c>
      <c r="AW1410" t="inlineStr">
        <is>
          <t>991004181409702656</t>
        </is>
      </c>
      <c r="AX1410" t="inlineStr">
        <is>
          <t>991004181409702656</t>
        </is>
      </c>
      <c r="AY1410" t="inlineStr">
        <is>
          <t>2256853400002656</t>
        </is>
      </c>
      <c r="AZ1410" t="inlineStr">
        <is>
          <t>BOOK</t>
        </is>
      </c>
      <c r="BB1410" t="inlineStr">
        <is>
          <t>9781890627232</t>
        </is>
      </c>
      <c r="BC1410" t="inlineStr">
        <is>
          <t>32285004799044</t>
        </is>
      </c>
      <c r="BD1410" t="inlineStr">
        <is>
          <t>893429753</t>
        </is>
      </c>
    </row>
    <row r="1411">
      <c r="A1411" t="inlineStr">
        <is>
          <t>No</t>
        </is>
      </c>
      <c r="B1411" t="inlineStr">
        <is>
          <t>RC571 .N4</t>
        </is>
      </c>
      <c r="C1411" t="inlineStr">
        <is>
          <t>0                      RC 0571000N  4</t>
        </is>
      </c>
      <c r="D1411" t="inlineStr">
        <is>
          <t>Readings in Down's syndrome / Irving Newman and Stephen Feldman.</t>
        </is>
      </c>
      <c r="F1411" t="inlineStr">
        <is>
          <t>No</t>
        </is>
      </c>
      <c r="G1411" t="inlineStr">
        <is>
          <t>1</t>
        </is>
      </c>
      <c r="H1411" t="inlineStr">
        <is>
          <t>No</t>
        </is>
      </c>
      <c r="I1411" t="inlineStr">
        <is>
          <t>No</t>
        </is>
      </c>
      <c r="J1411" t="inlineStr">
        <is>
          <t>0</t>
        </is>
      </c>
      <c r="K1411" t="inlineStr">
        <is>
          <t>Newman, Irving.</t>
        </is>
      </c>
      <c r="L1411" t="inlineStr">
        <is>
          <t>Guilford, Conn. : Special Learning Corporation, 1980.</t>
        </is>
      </c>
      <c r="M1411" t="inlineStr">
        <is>
          <t>1980</t>
        </is>
      </c>
      <c r="O1411" t="inlineStr">
        <is>
          <t>eng</t>
        </is>
      </c>
      <c r="P1411" t="inlineStr">
        <is>
          <t>ctu</t>
        </is>
      </c>
      <c r="Q1411" t="inlineStr">
        <is>
          <t>Special education series</t>
        </is>
      </c>
      <c r="R1411" t="inlineStr">
        <is>
          <t xml:space="preserve">RC </t>
        </is>
      </c>
      <c r="S1411" t="n">
        <v>17</v>
      </c>
      <c r="T1411" t="n">
        <v>17</v>
      </c>
      <c r="U1411" t="inlineStr">
        <is>
          <t>2010-11-23</t>
        </is>
      </c>
      <c r="V1411" t="inlineStr">
        <is>
          <t>2010-11-23</t>
        </is>
      </c>
      <c r="W1411" t="inlineStr">
        <is>
          <t>1992-02-24</t>
        </is>
      </c>
      <c r="X1411" t="inlineStr">
        <is>
          <t>1992-02-24</t>
        </is>
      </c>
      <c r="Y1411" t="n">
        <v>123</v>
      </c>
      <c r="Z1411" t="n">
        <v>120</v>
      </c>
      <c r="AA1411" t="n">
        <v>120</v>
      </c>
      <c r="AB1411" t="n">
        <v>2</v>
      </c>
      <c r="AC1411" t="n">
        <v>2</v>
      </c>
      <c r="AD1411" t="n">
        <v>1</v>
      </c>
      <c r="AE1411" t="n">
        <v>1</v>
      </c>
      <c r="AF1411" t="n">
        <v>0</v>
      </c>
      <c r="AG1411" t="n">
        <v>0</v>
      </c>
      <c r="AH1411" t="n">
        <v>0</v>
      </c>
      <c r="AI1411" t="n">
        <v>0</v>
      </c>
      <c r="AJ1411" t="n">
        <v>0</v>
      </c>
      <c r="AK1411" t="n">
        <v>0</v>
      </c>
      <c r="AL1411" t="n">
        <v>1</v>
      </c>
      <c r="AM1411" t="n">
        <v>1</v>
      </c>
      <c r="AN1411" t="n">
        <v>0</v>
      </c>
      <c r="AO1411" t="n">
        <v>0</v>
      </c>
      <c r="AP1411" t="inlineStr">
        <is>
          <t>No</t>
        </is>
      </c>
      <c r="AQ1411" t="inlineStr">
        <is>
          <t>No</t>
        </is>
      </c>
      <c r="AS1411">
        <f>HYPERLINK("https://creighton-primo.hosted.exlibrisgroup.com/primo-explore/search?tab=default_tab&amp;search_scope=EVERYTHING&amp;vid=01CRU&amp;lang=en_US&amp;offset=0&amp;query=any,contains,991004987749702656","Catalog Record")</f>
        <v/>
      </c>
      <c r="AT1411">
        <f>HYPERLINK("http://www.worldcat.org/oclc/6470431","WorldCat Record")</f>
        <v/>
      </c>
      <c r="AU1411" t="inlineStr">
        <is>
          <t>8941187284:eng</t>
        </is>
      </c>
      <c r="AV1411" t="inlineStr">
        <is>
          <t>6470431</t>
        </is>
      </c>
      <c r="AW1411" t="inlineStr">
        <is>
          <t>991004987749702656</t>
        </is>
      </c>
      <c r="AX1411" t="inlineStr">
        <is>
          <t>991004987749702656</t>
        </is>
      </c>
      <c r="AY1411" t="inlineStr">
        <is>
          <t>2269651190002656</t>
        </is>
      </c>
      <c r="AZ1411" t="inlineStr">
        <is>
          <t>BOOK</t>
        </is>
      </c>
      <c r="BB1411" t="inlineStr">
        <is>
          <t>9780895681942</t>
        </is>
      </c>
      <c r="BC1411" t="inlineStr">
        <is>
          <t>32285000974567</t>
        </is>
      </c>
      <c r="BD1411" t="inlineStr">
        <is>
          <t>893507460</t>
        </is>
      </c>
    </row>
    <row r="1412">
      <c r="A1412" t="inlineStr">
        <is>
          <t>No</t>
        </is>
      </c>
      <c r="B1412" t="inlineStr">
        <is>
          <t>RC571 .P4</t>
        </is>
      </c>
      <c r="C1412" t="inlineStr">
        <is>
          <t>0                      RC 0571000P  4</t>
        </is>
      </c>
      <c r="D1412" t="inlineStr">
        <is>
          <t>Down's anomaly / by L. S. Penrose and G. F. Smith.</t>
        </is>
      </c>
      <c r="F1412" t="inlineStr">
        <is>
          <t>No</t>
        </is>
      </c>
      <c r="G1412" t="inlineStr">
        <is>
          <t>1</t>
        </is>
      </c>
      <c r="H1412" t="inlineStr">
        <is>
          <t>No</t>
        </is>
      </c>
      <c r="I1412" t="inlineStr">
        <is>
          <t>No</t>
        </is>
      </c>
      <c r="J1412" t="inlineStr">
        <is>
          <t>0</t>
        </is>
      </c>
      <c r="K1412" t="inlineStr">
        <is>
          <t>Penrose, L. S. (Lionel Sharples)</t>
        </is>
      </c>
      <c r="L1412" t="inlineStr">
        <is>
          <t>Boston : Little, Brown, 1966.</t>
        </is>
      </c>
      <c r="M1412" t="inlineStr">
        <is>
          <t>1966</t>
        </is>
      </c>
      <c r="O1412" t="inlineStr">
        <is>
          <t>eng</t>
        </is>
      </c>
      <c r="P1412" t="inlineStr">
        <is>
          <t>mau</t>
        </is>
      </c>
      <c r="R1412" t="inlineStr">
        <is>
          <t xml:space="preserve">RC </t>
        </is>
      </c>
      <c r="S1412" t="n">
        <v>6</v>
      </c>
      <c r="T1412" t="n">
        <v>6</v>
      </c>
      <c r="U1412" t="inlineStr">
        <is>
          <t>2010-11-23</t>
        </is>
      </c>
      <c r="V1412" t="inlineStr">
        <is>
          <t>2010-11-23</t>
        </is>
      </c>
      <c r="W1412" t="inlineStr">
        <is>
          <t>1990-10-05</t>
        </is>
      </c>
      <c r="X1412" t="inlineStr">
        <is>
          <t>1990-10-05</t>
        </is>
      </c>
      <c r="Y1412" t="n">
        <v>76</v>
      </c>
      <c r="Z1412" t="n">
        <v>70</v>
      </c>
      <c r="AA1412" t="n">
        <v>190</v>
      </c>
      <c r="AB1412" t="n">
        <v>1</v>
      </c>
      <c r="AC1412" t="n">
        <v>3</v>
      </c>
      <c r="AD1412" t="n">
        <v>2</v>
      </c>
      <c r="AE1412" t="n">
        <v>9</v>
      </c>
      <c r="AF1412" t="n">
        <v>0</v>
      </c>
      <c r="AG1412" t="n">
        <v>2</v>
      </c>
      <c r="AH1412" t="n">
        <v>0</v>
      </c>
      <c r="AI1412" t="n">
        <v>2</v>
      </c>
      <c r="AJ1412" t="n">
        <v>2</v>
      </c>
      <c r="AK1412" t="n">
        <v>5</v>
      </c>
      <c r="AL1412" t="n">
        <v>0</v>
      </c>
      <c r="AM1412" t="n">
        <v>1</v>
      </c>
      <c r="AN1412" t="n">
        <v>0</v>
      </c>
      <c r="AO1412" t="n">
        <v>0</v>
      </c>
      <c r="AP1412" t="inlineStr">
        <is>
          <t>No</t>
        </is>
      </c>
      <c r="AQ1412" t="inlineStr">
        <is>
          <t>Yes</t>
        </is>
      </c>
      <c r="AR1412">
        <f>HYPERLINK("http://catalog.hathitrust.org/Record/001565396","HathiTrust Record")</f>
        <v/>
      </c>
      <c r="AS1412">
        <f>HYPERLINK("https://creighton-primo.hosted.exlibrisgroup.com/primo-explore/search?tab=default_tab&amp;search_scope=EVERYTHING&amp;vid=01CRU&amp;lang=en_US&amp;offset=0&amp;query=any,contains,991003413969702656","Catalog Record")</f>
        <v/>
      </c>
      <c r="AT1412">
        <f>HYPERLINK("http://www.worldcat.org/oclc/952696","WorldCat Record")</f>
        <v/>
      </c>
      <c r="AU1412" t="inlineStr">
        <is>
          <t>2554422998:eng</t>
        </is>
      </c>
      <c r="AV1412" t="inlineStr">
        <is>
          <t>952696</t>
        </is>
      </c>
      <c r="AW1412" t="inlineStr">
        <is>
          <t>991003413969702656</t>
        </is>
      </c>
      <c r="AX1412" t="inlineStr">
        <is>
          <t>991003413969702656</t>
        </is>
      </c>
      <c r="AY1412" t="inlineStr">
        <is>
          <t>2261391810002656</t>
        </is>
      </c>
      <c r="AZ1412" t="inlineStr">
        <is>
          <t>BOOK</t>
        </is>
      </c>
      <c r="BC1412" t="inlineStr">
        <is>
          <t>32285000332683</t>
        </is>
      </c>
      <c r="BD1412" t="inlineStr">
        <is>
          <t>893623456</t>
        </is>
      </c>
    </row>
    <row r="1413">
      <c r="A1413" t="inlineStr">
        <is>
          <t>No</t>
        </is>
      </c>
      <c r="B1413" t="inlineStr">
        <is>
          <t>RC571 .P83</t>
        </is>
      </c>
      <c r="C1413" t="inlineStr">
        <is>
          <t>0                      RC 0571000P  83</t>
        </is>
      </c>
      <c r="D1413" t="inlineStr">
        <is>
          <t>Down syndrome : a comprehensive bibliography / Siegfried M. Pueschel and Lynn Steinberg.</t>
        </is>
      </c>
      <c r="F1413" t="inlineStr">
        <is>
          <t>No</t>
        </is>
      </c>
      <c r="G1413" t="inlineStr">
        <is>
          <t>1</t>
        </is>
      </c>
      <c r="H1413" t="inlineStr">
        <is>
          <t>No</t>
        </is>
      </c>
      <c r="I1413" t="inlineStr">
        <is>
          <t>No</t>
        </is>
      </c>
      <c r="J1413" t="inlineStr">
        <is>
          <t>0</t>
        </is>
      </c>
      <c r="K1413" t="inlineStr">
        <is>
          <t>Pueschel, Siegfried M.</t>
        </is>
      </c>
      <c r="L1413" t="inlineStr">
        <is>
          <t>New York : Garland STPM Press, c1980.</t>
        </is>
      </c>
      <c r="M1413" t="inlineStr">
        <is>
          <t>1980</t>
        </is>
      </c>
      <c r="O1413" t="inlineStr">
        <is>
          <t>eng</t>
        </is>
      </c>
      <c r="P1413" t="inlineStr">
        <is>
          <t>nyu</t>
        </is>
      </c>
      <c r="Q1413" t="inlineStr">
        <is>
          <t>Garland series in mental retardation</t>
        </is>
      </c>
      <c r="R1413" t="inlineStr">
        <is>
          <t xml:space="preserve">RC </t>
        </is>
      </c>
      <c r="S1413" t="n">
        <v>7</v>
      </c>
      <c r="T1413" t="n">
        <v>7</v>
      </c>
      <c r="U1413" t="inlineStr">
        <is>
          <t>2010-11-23</t>
        </is>
      </c>
      <c r="V1413" t="inlineStr">
        <is>
          <t>2010-11-23</t>
        </is>
      </c>
      <c r="W1413" t="inlineStr">
        <is>
          <t>1990-02-20</t>
        </is>
      </c>
      <c r="X1413" t="inlineStr">
        <is>
          <t>1990-02-20</t>
        </is>
      </c>
      <c r="Y1413" t="n">
        <v>161</v>
      </c>
      <c r="Z1413" t="n">
        <v>138</v>
      </c>
      <c r="AA1413" t="n">
        <v>140</v>
      </c>
      <c r="AB1413" t="n">
        <v>1</v>
      </c>
      <c r="AC1413" t="n">
        <v>1</v>
      </c>
      <c r="AD1413" t="n">
        <v>1</v>
      </c>
      <c r="AE1413" t="n">
        <v>1</v>
      </c>
      <c r="AF1413" t="n">
        <v>0</v>
      </c>
      <c r="AG1413" t="n">
        <v>0</v>
      </c>
      <c r="AH1413" t="n">
        <v>0</v>
      </c>
      <c r="AI1413" t="n">
        <v>0</v>
      </c>
      <c r="AJ1413" t="n">
        <v>1</v>
      </c>
      <c r="AK1413" t="n">
        <v>1</v>
      </c>
      <c r="AL1413" t="n">
        <v>0</v>
      </c>
      <c r="AM1413" t="n">
        <v>0</v>
      </c>
      <c r="AN1413" t="n">
        <v>0</v>
      </c>
      <c r="AO1413" t="n">
        <v>0</v>
      </c>
      <c r="AP1413" t="inlineStr">
        <is>
          <t>No</t>
        </is>
      </c>
      <c r="AQ1413" t="inlineStr">
        <is>
          <t>No</t>
        </is>
      </c>
      <c r="AS1413">
        <f>HYPERLINK("https://creighton-primo.hosted.exlibrisgroup.com/primo-explore/search?tab=default_tab&amp;search_scope=EVERYTHING&amp;vid=01CRU&amp;lang=en_US&amp;offset=0&amp;query=any,contains,991004820479702656","Catalog Record")</f>
        <v/>
      </c>
      <c r="AT1413">
        <f>HYPERLINK("http://www.worldcat.org/oclc/5333559","WorldCat Record")</f>
        <v/>
      </c>
      <c r="AU1413" t="inlineStr">
        <is>
          <t>4417257996:eng</t>
        </is>
      </c>
      <c r="AV1413" t="inlineStr">
        <is>
          <t>5333559</t>
        </is>
      </c>
      <c r="AW1413" t="inlineStr">
        <is>
          <t>991004820479702656</t>
        </is>
      </c>
      <c r="AX1413" t="inlineStr">
        <is>
          <t>991004820479702656</t>
        </is>
      </c>
      <c r="AY1413" t="inlineStr">
        <is>
          <t>2265597990002656</t>
        </is>
      </c>
      <c r="AZ1413" t="inlineStr">
        <is>
          <t>BOOK</t>
        </is>
      </c>
      <c r="BB1413" t="inlineStr">
        <is>
          <t>9780824071585</t>
        </is>
      </c>
      <c r="BC1413" t="inlineStr">
        <is>
          <t>32285000057462</t>
        </is>
      </c>
      <c r="BD1413" t="inlineStr">
        <is>
          <t>893344299</t>
        </is>
      </c>
    </row>
    <row r="1414">
      <c r="A1414" t="inlineStr">
        <is>
          <t>No</t>
        </is>
      </c>
      <c r="B1414" t="inlineStr">
        <is>
          <t>RC574 .M27 1972</t>
        </is>
      </c>
      <c r="C1414" t="inlineStr">
        <is>
          <t>0                      RC 0574000M  27          1972</t>
        </is>
      </c>
      <c r="D1414" t="inlineStr">
        <is>
          <t>Suicidal behaviour / by J. Wallace McCulloch and Alistair E. Philip.</t>
        </is>
      </c>
      <c r="F1414" t="inlineStr">
        <is>
          <t>No</t>
        </is>
      </c>
      <c r="G1414" t="inlineStr">
        <is>
          <t>1</t>
        </is>
      </c>
      <c r="H1414" t="inlineStr">
        <is>
          <t>No</t>
        </is>
      </c>
      <c r="I1414" t="inlineStr">
        <is>
          <t>No</t>
        </is>
      </c>
      <c r="J1414" t="inlineStr">
        <is>
          <t>0</t>
        </is>
      </c>
      <c r="K1414" t="inlineStr">
        <is>
          <t>McCulloch, J. Wallace (James Wallace), 1921-</t>
        </is>
      </c>
      <c r="L1414" t="inlineStr">
        <is>
          <t>Oxford ; New York : Pergamon Press, [1972]</t>
        </is>
      </c>
      <c r="M1414" t="inlineStr">
        <is>
          <t>1972</t>
        </is>
      </c>
      <c r="N1414" t="inlineStr">
        <is>
          <t>[1st ed.]</t>
        </is>
      </c>
      <c r="O1414" t="inlineStr">
        <is>
          <t>eng</t>
        </is>
      </c>
      <c r="P1414" t="inlineStr">
        <is>
          <t>enk</t>
        </is>
      </c>
      <c r="Q1414" t="inlineStr">
        <is>
          <t>Commonwealth and international library. Social work division</t>
        </is>
      </c>
      <c r="R1414" t="inlineStr">
        <is>
          <t xml:space="preserve">RC </t>
        </is>
      </c>
      <c r="S1414" t="n">
        <v>2</v>
      </c>
      <c r="T1414" t="n">
        <v>2</v>
      </c>
      <c r="U1414" t="inlineStr">
        <is>
          <t>1992-02-18</t>
        </is>
      </c>
      <c r="V1414" t="inlineStr">
        <is>
          <t>1992-02-18</t>
        </is>
      </c>
      <c r="W1414" t="inlineStr">
        <is>
          <t>1990-10-05</t>
        </is>
      </c>
      <c r="X1414" t="inlineStr">
        <is>
          <t>1990-10-05</t>
        </is>
      </c>
      <c r="Y1414" t="n">
        <v>419</v>
      </c>
      <c r="Z1414" t="n">
        <v>281</v>
      </c>
      <c r="AA1414" t="n">
        <v>320</v>
      </c>
      <c r="AB1414" t="n">
        <v>3</v>
      </c>
      <c r="AC1414" t="n">
        <v>3</v>
      </c>
      <c r="AD1414" t="n">
        <v>9</v>
      </c>
      <c r="AE1414" t="n">
        <v>12</v>
      </c>
      <c r="AF1414" t="n">
        <v>3</v>
      </c>
      <c r="AG1414" t="n">
        <v>5</v>
      </c>
      <c r="AH1414" t="n">
        <v>2</v>
      </c>
      <c r="AI1414" t="n">
        <v>4</v>
      </c>
      <c r="AJ1414" t="n">
        <v>2</v>
      </c>
      <c r="AK1414" t="n">
        <v>2</v>
      </c>
      <c r="AL1414" t="n">
        <v>2</v>
      </c>
      <c r="AM1414" t="n">
        <v>2</v>
      </c>
      <c r="AN1414" t="n">
        <v>1</v>
      </c>
      <c r="AO1414" t="n">
        <v>1</v>
      </c>
      <c r="AP1414" t="inlineStr">
        <is>
          <t>No</t>
        </is>
      </c>
      <c r="AQ1414" t="inlineStr">
        <is>
          <t>Yes</t>
        </is>
      </c>
      <c r="AR1414">
        <f>HYPERLINK("http://catalog.hathitrust.org/Record/001565407","HathiTrust Record")</f>
        <v/>
      </c>
      <c r="AS1414">
        <f>HYPERLINK("https://creighton-primo.hosted.exlibrisgroup.com/primo-explore/search?tab=default_tab&amp;search_scope=EVERYTHING&amp;vid=01CRU&amp;lang=en_US&amp;offset=0&amp;query=any,contains,991002898119702656","Catalog Record")</f>
        <v/>
      </c>
      <c r="AT1414">
        <f>HYPERLINK("http://www.worldcat.org/oclc/515161","WorldCat Record")</f>
        <v/>
      </c>
      <c r="AU1414" t="inlineStr">
        <is>
          <t>407120:eng</t>
        </is>
      </c>
      <c r="AV1414" t="inlineStr">
        <is>
          <t>515161</t>
        </is>
      </c>
      <c r="AW1414" t="inlineStr">
        <is>
          <t>991002898119702656</t>
        </is>
      </c>
      <c r="AX1414" t="inlineStr">
        <is>
          <t>991002898119702656</t>
        </is>
      </c>
      <c r="AY1414" t="inlineStr">
        <is>
          <t>2264092000002656</t>
        </is>
      </c>
      <c r="AZ1414" t="inlineStr">
        <is>
          <t>BOOK</t>
        </is>
      </c>
      <c r="BB1414" t="inlineStr">
        <is>
          <t>9780080168555</t>
        </is>
      </c>
      <c r="BC1414" t="inlineStr">
        <is>
          <t>32285000332675</t>
        </is>
      </c>
      <c r="BD1414" t="inlineStr">
        <is>
          <t>893329693</t>
        </is>
      </c>
    </row>
    <row r="1415">
      <c r="A1415" t="inlineStr">
        <is>
          <t>No</t>
        </is>
      </c>
      <c r="B1415" t="inlineStr">
        <is>
          <t>RC574 .W6</t>
        </is>
      </c>
      <c r="C1415" t="inlineStr">
        <is>
          <t>0                      RC 0574000W  6</t>
        </is>
      </c>
      <c r="D1415" t="inlineStr">
        <is>
          <t>Prevention of suicide.</t>
        </is>
      </c>
      <c r="F1415" t="inlineStr">
        <is>
          <t>No</t>
        </is>
      </c>
      <c r="G1415" t="inlineStr">
        <is>
          <t>1</t>
        </is>
      </c>
      <c r="H1415" t="inlineStr">
        <is>
          <t>No</t>
        </is>
      </c>
      <c r="I1415" t="inlineStr">
        <is>
          <t>No</t>
        </is>
      </c>
      <c r="J1415" t="inlineStr">
        <is>
          <t>0</t>
        </is>
      </c>
      <c r="K1415" t="inlineStr">
        <is>
          <t>World Health Organization.</t>
        </is>
      </c>
      <c r="M1415" t="inlineStr">
        <is>
          <t>1968</t>
        </is>
      </c>
      <c r="O1415" t="inlineStr">
        <is>
          <t>eng</t>
        </is>
      </c>
      <c r="P1415" t="inlineStr">
        <is>
          <t xml:space="preserve">sz </t>
        </is>
      </c>
      <c r="Q1415" t="inlineStr">
        <is>
          <t>Public health papers ; 35</t>
        </is>
      </c>
      <c r="R1415" t="inlineStr">
        <is>
          <t xml:space="preserve">RC </t>
        </is>
      </c>
      <c r="S1415" t="n">
        <v>5</v>
      </c>
      <c r="T1415" t="n">
        <v>5</v>
      </c>
      <c r="U1415" t="inlineStr">
        <is>
          <t>1992-03-15</t>
        </is>
      </c>
      <c r="V1415" t="inlineStr">
        <is>
          <t>1992-03-15</t>
        </is>
      </c>
      <c r="W1415" t="inlineStr">
        <is>
          <t>1991-05-15</t>
        </is>
      </c>
      <c r="X1415" t="inlineStr">
        <is>
          <t>1991-05-15</t>
        </is>
      </c>
      <c r="Y1415" t="n">
        <v>190</v>
      </c>
      <c r="Z1415" t="n">
        <v>114</v>
      </c>
      <c r="AA1415" t="n">
        <v>116</v>
      </c>
      <c r="AB1415" t="n">
        <v>2</v>
      </c>
      <c r="AC1415" t="n">
        <v>2</v>
      </c>
      <c r="AD1415" t="n">
        <v>5</v>
      </c>
      <c r="AE1415" t="n">
        <v>5</v>
      </c>
      <c r="AF1415" t="n">
        <v>2</v>
      </c>
      <c r="AG1415" t="n">
        <v>2</v>
      </c>
      <c r="AH1415" t="n">
        <v>0</v>
      </c>
      <c r="AI1415" t="n">
        <v>0</v>
      </c>
      <c r="AJ1415" t="n">
        <v>1</v>
      </c>
      <c r="AK1415" t="n">
        <v>1</v>
      </c>
      <c r="AL1415" t="n">
        <v>1</v>
      </c>
      <c r="AM1415" t="n">
        <v>1</v>
      </c>
      <c r="AN1415" t="n">
        <v>1</v>
      </c>
      <c r="AO1415" t="n">
        <v>1</v>
      </c>
      <c r="AP1415" t="inlineStr">
        <is>
          <t>No</t>
        </is>
      </c>
      <c r="AQ1415" t="inlineStr">
        <is>
          <t>Yes</t>
        </is>
      </c>
      <c r="AR1415">
        <f>HYPERLINK("http://catalog.hathitrust.org/Record/001565418","HathiTrust Record")</f>
        <v/>
      </c>
      <c r="AS1415">
        <f>HYPERLINK("https://creighton-primo.hosted.exlibrisgroup.com/primo-explore/search?tab=default_tab&amp;search_scope=EVERYTHING&amp;vid=01CRU&amp;lang=en_US&amp;offset=0&amp;query=any,contains,991000011739702656","Catalog Record")</f>
        <v/>
      </c>
      <c r="AT1415">
        <f>HYPERLINK("http://www.worldcat.org/oclc/15025","WorldCat Record")</f>
        <v/>
      </c>
      <c r="AU1415" t="inlineStr">
        <is>
          <t>3982690:eng</t>
        </is>
      </c>
      <c r="AV1415" t="inlineStr">
        <is>
          <t>15025</t>
        </is>
      </c>
      <c r="AW1415" t="inlineStr">
        <is>
          <t>991000011739702656</t>
        </is>
      </c>
      <c r="AX1415" t="inlineStr">
        <is>
          <t>991000011739702656</t>
        </is>
      </c>
      <c r="AY1415" t="inlineStr">
        <is>
          <t>2262637540002656</t>
        </is>
      </c>
      <c r="AZ1415" t="inlineStr">
        <is>
          <t>BOOK</t>
        </is>
      </c>
      <c r="BC1415" t="inlineStr">
        <is>
          <t>32285000595503</t>
        </is>
      </c>
      <c r="BD1415" t="inlineStr">
        <is>
          <t>893808590</t>
        </is>
      </c>
    </row>
    <row r="1416">
      <c r="A1416" t="inlineStr">
        <is>
          <t>No</t>
        </is>
      </c>
      <c r="B1416" t="inlineStr">
        <is>
          <t>RC582 .P78</t>
        </is>
      </c>
      <c r="C1416" t="inlineStr">
        <is>
          <t>0                      RC 0582000P  78</t>
        </is>
      </c>
      <c r="D1416" t="inlineStr">
        <is>
          <t>Psychoneuroimmunology / edited by Robert Ader ; with a foreword by Robert A. Good.</t>
        </is>
      </c>
      <c r="F1416" t="inlineStr">
        <is>
          <t>No</t>
        </is>
      </c>
      <c r="G1416" t="inlineStr">
        <is>
          <t>1</t>
        </is>
      </c>
      <c r="H1416" t="inlineStr">
        <is>
          <t>No</t>
        </is>
      </c>
      <c r="I1416" t="inlineStr">
        <is>
          <t>No</t>
        </is>
      </c>
      <c r="J1416" t="inlineStr">
        <is>
          <t>0</t>
        </is>
      </c>
      <c r="L1416" t="inlineStr">
        <is>
          <t>New York : Academic Press, 1981.</t>
        </is>
      </c>
      <c r="M1416" t="inlineStr">
        <is>
          <t>1981</t>
        </is>
      </c>
      <c r="O1416" t="inlineStr">
        <is>
          <t>eng</t>
        </is>
      </c>
      <c r="P1416" t="inlineStr">
        <is>
          <t>nyu</t>
        </is>
      </c>
      <c r="Q1416" t="inlineStr">
        <is>
          <t>Behavioral medicine</t>
        </is>
      </c>
      <c r="R1416" t="inlineStr">
        <is>
          <t xml:space="preserve">RC </t>
        </is>
      </c>
      <c r="S1416" t="n">
        <v>6</v>
      </c>
      <c r="T1416" t="n">
        <v>6</v>
      </c>
      <c r="U1416" t="inlineStr">
        <is>
          <t>2005-01-25</t>
        </is>
      </c>
      <c r="V1416" t="inlineStr">
        <is>
          <t>2005-01-25</t>
        </is>
      </c>
      <c r="W1416" t="inlineStr">
        <is>
          <t>1993-03-23</t>
        </is>
      </c>
      <c r="X1416" t="inlineStr">
        <is>
          <t>1993-03-23</t>
        </is>
      </c>
      <c r="Y1416" t="n">
        <v>401</v>
      </c>
      <c r="Z1416" t="n">
        <v>300</v>
      </c>
      <c r="AA1416" t="n">
        <v>569</v>
      </c>
      <c r="AB1416" t="n">
        <v>3</v>
      </c>
      <c r="AC1416" t="n">
        <v>4</v>
      </c>
      <c r="AD1416" t="n">
        <v>13</v>
      </c>
      <c r="AE1416" t="n">
        <v>24</v>
      </c>
      <c r="AF1416" t="n">
        <v>6</v>
      </c>
      <c r="AG1416" t="n">
        <v>7</v>
      </c>
      <c r="AH1416" t="n">
        <v>3</v>
      </c>
      <c r="AI1416" t="n">
        <v>7</v>
      </c>
      <c r="AJ1416" t="n">
        <v>7</v>
      </c>
      <c r="AK1416" t="n">
        <v>13</v>
      </c>
      <c r="AL1416" t="n">
        <v>1</v>
      </c>
      <c r="AM1416" t="n">
        <v>2</v>
      </c>
      <c r="AN1416" t="n">
        <v>0</v>
      </c>
      <c r="AO1416" t="n">
        <v>0</v>
      </c>
      <c r="AP1416" t="inlineStr">
        <is>
          <t>No</t>
        </is>
      </c>
      <c r="AQ1416" t="inlineStr">
        <is>
          <t>Yes</t>
        </is>
      </c>
      <c r="AR1416">
        <f>HYPERLINK("http://catalog.hathitrust.org/Record/000227502","HathiTrust Record")</f>
        <v/>
      </c>
      <c r="AS1416">
        <f>HYPERLINK("https://creighton-primo.hosted.exlibrisgroup.com/primo-explore/search?tab=default_tab&amp;search_scope=EVERYTHING&amp;vid=01CRU&amp;lang=en_US&amp;offset=0&amp;query=any,contains,991005132729702656","Catalog Record")</f>
        <v/>
      </c>
      <c r="AT1416">
        <f>HYPERLINK("http://www.worldcat.org/oclc/7573694","WorldCat Record")</f>
        <v/>
      </c>
      <c r="AU1416" t="inlineStr">
        <is>
          <t>1012161487:eng</t>
        </is>
      </c>
      <c r="AV1416" t="inlineStr">
        <is>
          <t>7573694</t>
        </is>
      </c>
      <c r="AW1416" t="inlineStr">
        <is>
          <t>991005132729702656</t>
        </is>
      </c>
      <c r="AX1416" t="inlineStr">
        <is>
          <t>991005132729702656</t>
        </is>
      </c>
      <c r="AY1416" t="inlineStr">
        <is>
          <t>2271513360002656</t>
        </is>
      </c>
      <c r="AZ1416" t="inlineStr">
        <is>
          <t>BOOK</t>
        </is>
      </c>
      <c r="BB1416" t="inlineStr">
        <is>
          <t>9780120437801</t>
        </is>
      </c>
      <c r="BC1416" t="inlineStr">
        <is>
          <t>32285001607745</t>
        </is>
      </c>
      <c r="BD1416" t="inlineStr">
        <is>
          <t>893613177</t>
        </is>
      </c>
    </row>
    <row r="1417">
      <c r="A1417" t="inlineStr">
        <is>
          <t>No</t>
        </is>
      </c>
      <c r="B1417" t="inlineStr">
        <is>
          <t>RC584 .K58</t>
        </is>
      </c>
      <c r="C1417" t="inlineStr">
        <is>
          <t>0                      RC 0584000K  58</t>
        </is>
      </c>
      <c r="D1417" t="inlineStr">
        <is>
          <t>Allergy; a layman's guide to sneezing, wheezing, and itch.</t>
        </is>
      </c>
      <c r="F1417" t="inlineStr">
        <is>
          <t>No</t>
        </is>
      </c>
      <c r="G1417" t="inlineStr">
        <is>
          <t>1</t>
        </is>
      </c>
      <c r="H1417" t="inlineStr">
        <is>
          <t>No</t>
        </is>
      </c>
      <c r="I1417" t="inlineStr">
        <is>
          <t>No</t>
        </is>
      </c>
      <c r="J1417" t="inlineStr">
        <is>
          <t>0</t>
        </is>
      </c>
      <c r="K1417" t="inlineStr">
        <is>
          <t>Knight, Allan.</t>
        </is>
      </c>
      <c r="L1417" t="inlineStr">
        <is>
          <t>[Don Mills, Ont.] Burns &amp; MacEachern [1973]</t>
        </is>
      </c>
      <c r="M1417" t="inlineStr">
        <is>
          <t>1973</t>
        </is>
      </c>
      <c r="O1417" t="inlineStr">
        <is>
          <t>eng</t>
        </is>
      </c>
      <c r="P1417" t="inlineStr">
        <is>
          <t>onc</t>
        </is>
      </c>
      <c r="R1417" t="inlineStr">
        <is>
          <t xml:space="preserve">RC </t>
        </is>
      </c>
      <c r="S1417" t="n">
        <v>11</v>
      </c>
      <c r="T1417" t="n">
        <v>11</v>
      </c>
      <c r="U1417" t="inlineStr">
        <is>
          <t>1997-11-17</t>
        </is>
      </c>
      <c r="V1417" t="inlineStr">
        <is>
          <t>1997-11-17</t>
        </is>
      </c>
      <c r="W1417" t="inlineStr">
        <is>
          <t>1991-11-21</t>
        </is>
      </c>
      <c r="X1417" t="inlineStr">
        <is>
          <t>1991-11-21</t>
        </is>
      </c>
      <c r="Y1417" t="n">
        <v>62</v>
      </c>
      <c r="Z1417" t="n">
        <v>40</v>
      </c>
      <c r="AA1417" t="n">
        <v>41</v>
      </c>
      <c r="AB1417" t="n">
        <v>1</v>
      </c>
      <c r="AC1417" t="n">
        <v>1</v>
      </c>
      <c r="AD1417" t="n">
        <v>3</v>
      </c>
      <c r="AE1417" t="n">
        <v>3</v>
      </c>
      <c r="AF1417" t="n">
        <v>2</v>
      </c>
      <c r="AG1417" t="n">
        <v>2</v>
      </c>
      <c r="AH1417" t="n">
        <v>1</v>
      </c>
      <c r="AI1417" t="n">
        <v>1</v>
      </c>
      <c r="AJ1417" t="n">
        <v>2</v>
      </c>
      <c r="AK1417" t="n">
        <v>2</v>
      </c>
      <c r="AL1417" t="n">
        <v>0</v>
      </c>
      <c r="AM1417" t="n">
        <v>0</v>
      </c>
      <c r="AN1417" t="n">
        <v>0</v>
      </c>
      <c r="AO1417" t="n">
        <v>0</v>
      </c>
      <c r="AP1417" t="inlineStr">
        <is>
          <t>No</t>
        </is>
      </c>
      <c r="AQ1417" t="inlineStr">
        <is>
          <t>No</t>
        </is>
      </c>
      <c r="AS1417">
        <f>HYPERLINK("https://creighton-primo.hosted.exlibrisgroup.com/primo-explore/search?tab=default_tab&amp;search_scope=EVERYTHING&amp;vid=01CRU&amp;lang=en_US&amp;offset=0&amp;query=any,contains,991003130799702656","Catalog Record")</f>
        <v/>
      </c>
      <c r="AT1417">
        <f>HYPERLINK("http://www.worldcat.org/oclc/673618","WorldCat Record")</f>
        <v/>
      </c>
      <c r="AU1417" t="inlineStr">
        <is>
          <t>1080002424:eng</t>
        </is>
      </c>
      <c r="AV1417" t="inlineStr">
        <is>
          <t>673618</t>
        </is>
      </c>
      <c r="AW1417" t="inlineStr">
        <is>
          <t>991003130799702656</t>
        </is>
      </c>
      <c r="AX1417" t="inlineStr">
        <is>
          <t>991003130799702656</t>
        </is>
      </c>
      <c r="AY1417" t="inlineStr">
        <is>
          <t>2269024540002656</t>
        </is>
      </c>
      <c r="AZ1417" t="inlineStr">
        <is>
          <t>BOOK</t>
        </is>
      </c>
      <c r="BB1417" t="inlineStr">
        <is>
          <t>9780887680304</t>
        </is>
      </c>
      <c r="BC1417" t="inlineStr">
        <is>
          <t>32285000843523</t>
        </is>
      </c>
      <c r="BD1417" t="inlineStr">
        <is>
          <t>893445547</t>
        </is>
      </c>
    </row>
    <row r="1418">
      <c r="A1418" t="inlineStr">
        <is>
          <t>No</t>
        </is>
      </c>
      <c r="B1418" t="inlineStr">
        <is>
          <t>RC591 .I53 1991</t>
        </is>
      </c>
      <c r="C1418" t="inlineStr">
        <is>
          <t>0                      RC 0591000I  53          1991</t>
        </is>
      </c>
      <c r="D1418" t="inlineStr">
        <is>
          <t>Inflammatory cells and mediators in bronchial asthma / editors, Devendra K. Agrawal, Robert G. Townley.</t>
        </is>
      </c>
      <c r="F1418" t="inlineStr">
        <is>
          <t>No</t>
        </is>
      </c>
      <c r="G1418" t="inlineStr">
        <is>
          <t>1</t>
        </is>
      </c>
      <c r="H1418" t="inlineStr">
        <is>
          <t>Yes</t>
        </is>
      </c>
      <c r="I1418" t="inlineStr">
        <is>
          <t>No</t>
        </is>
      </c>
      <c r="J1418" t="inlineStr">
        <is>
          <t>0</t>
        </is>
      </c>
      <c r="L1418" t="inlineStr">
        <is>
          <t>Boca Raton : CRC Press, 1991.</t>
        </is>
      </c>
      <c r="M1418" t="inlineStr">
        <is>
          <t>1991</t>
        </is>
      </c>
      <c r="O1418" t="inlineStr">
        <is>
          <t>eng</t>
        </is>
      </c>
      <c r="P1418" t="inlineStr">
        <is>
          <t>lau</t>
        </is>
      </c>
      <c r="Q1418" t="inlineStr">
        <is>
          <t>CRC Press series in pharmacology and toxicology</t>
        </is>
      </c>
      <c r="R1418" t="inlineStr">
        <is>
          <t xml:space="preserve">RC </t>
        </is>
      </c>
      <c r="S1418" t="n">
        <v>12</v>
      </c>
      <c r="T1418" t="n">
        <v>31</v>
      </c>
      <c r="U1418" t="inlineStr">
        <is>
          <t>2006-03-23</t>
        </is>
      </c>
      <c r="V1418" t="inlineStr">
        <is>
          <t>2006-04-04</t>
        </is>
      </c>
      <c r="W1418" t="inlineStr">
        <is>
          <t>1990-12-05</t>
        </is>
      </c>
      <c r="X1418" t="inlineStr">
        <is>
          <t>1990-12-05</t>
        </is>
      </c>
      <c r="Y1418" t="n">
        <v>59</v>
      </c>
      <c r="Z1418" t="n">
        <v>49</v>
      </c>
      <c r="AA1418" t="n">
        <v>69</v>
      </c>
      <c r="AB1418" t="n">
        <v>2</v>
      </c>
      <c r="AC1418" t="n">
        <v>2</v>
      </c>
      <c r="AD1418" t="n">
        <v>0</v>
      </c>
      <c r="AE1418" t="n">
        <v>0</v>
      </c>
      <c r="AF1418" t="n">
        <v>0</v>
      </c>
      <c r="AG1418" t="n">
        <v>0</v>
      </c>
      <c r="AH1418" t="n">
        <v>0</v>
      </c>
      <c r="AI1418" t="n">
        <v>0</v>
      </c>
      <c r="AJ1418" t="n">
        <v>0</v>
      </c>
      <c r="AK1418" t="n">
        <v>0</v>
      </c>
      <c r="AL1418" t="n">
        <v>0</v>
      </c>
      <c r="AM1418" t="n">
        <v>0</v>
      </c>
      <c r="AN1418" t="n">
        <v>0</v>
      </c>
      <c r="AO1418" t="n">
        <v>0</v>
      </c>
      <c r="AP1418" t="inlineStr">
        <is>
          <t>No</t>
        </is>
      </c>
      <c r="AQ1418" t="inlineStr">
        <is>
          <t>No</t>
        </is>
      </c>
      <c r="AS1418">
        <f>HYPERLINK("https://creighton-primo.hosted.exlibrisgroup.com/primo-explore/search?tab=default_tab&amp;search_scope=EVERYTHING&amp;vid=01CRU&amp;lang=en_US&amp;offset=0&amp;query=any,contains,991001761349702656","Catalog Record")</f>
        <v/>
      </c>
      <c r="AT1418">
        <f>HYPERLINK("http://www.worldcat.org/oclc/22208175","WorldCat Record")</f>
        <v/>
      </c>
      <c r="AU1418" t="inlineStr">
        <is>
          <t>365300554:eng</t>
        </is>
      </c>
      <c r="AV1418" t="inlineStr">
        <is>
          <t>22208175</t>
        </is>
      </c>
      <c r="AW1418" t="inlineStr">
        <is>
          <t>991001761349702656</t>
        </is>
      </c>
      <c r="AX1418" t="inlineStr">
        <is>
          <t>991001761349702656</t>
        </is>
      </c>
      <c r="AY1418" t="inlineStr">
        <is>
          <t>2255399230002656</t>
        </is>
      </c>
      <c r="AZ1418" t="inlineStr">
        <is>
          <t>BOOK</t>
        </is>
      </c>
      <c r="BB1418" t="inlineStr">
        <is>
          <t>9780849372940</t>
        </is>
      </c>
      <c r="BC1418" t="inlineStr">
        <is>
          <t>32285000358621</t>
        </is>
      </c>
      <c r="BD1418" t="inlineStr">
        <is>
          <t>893226107</t>
        </is>
      </c>
    </row>
    <row r="1419">
      <c r="A1419" t="inlineStr">
        <is>
          <t>No</t>
        </is>
      </c>
      <c r="B1419" t="inlineStr">
        <is>
          <t>RC591 .S74</t>
        </is>
      </c>
      <c r="C1419" t="inlineStr">
        <is>
          <t>0                      RC 0591000S  74</t>
        </is>
      </c>
      <c r="D1419" t="inlineStr">
        <is>
          <t>Asthma and emotion / by Abraham Stern.</t>
        </is>
      </c>
      <c r="F1419" t="inlineStr">
        <is>
          <t>No</t>
        </is>
      </c>
      <c r="G1419" t="inlineStr">
        <is>
          <t>1</t>
        </is>
      </c>
      <c r="H1419" t="inlineStr">
        <is>
          <t>No</t>
        </is>
      </c>
      <c r="I1419" t="inlineStr">
        <is>
          <t>No</t>
        </is>
      </c>
      <c r="J1419" t="inlineStr">
        <is>
          <t>0</t>
        </is>
      </c>
      <c r="K1419" t="inlineStr">
        <is>
          <t>Stern, Abraham, 1927-2006.</t>
        </is>
      </c>
      <c r="L1419" t="inlineStr">
        <is>
          <t>New York : Gardner Press, c1981.</t>
        </is>
      </c>
      <c r="M1419" t="inlineStr">
        <is>
          <t>1981</t>
        </is>
      </c>
      <c r="O1419" t="inlineStr">
        <is>
          <t>eng</t>
        </is>
      </c>
      <c r="P1419" t="inlineStr">
        <is>
          <t>nyu</t>
        </is>
      </c>
      <c r="R1419" t="inlineStr">
        <is>
          <t xml:space="preserve">RC </t>
        </is>
      </c>
      <c r="S1419" t="n">
        <v>16</v>
      </c>
      <c r="T1419" t="n">
        <v>16</v>
      </c>
      <c r="U1419" t="inlineStr">
        <is>
          <t>2003-02-06</t>
        </is>
      </c>
      <c r="V1419" t="inlineStr">
        <is>
          <t>2003-02-06</t>
        </is>
      </c>
      <c r="W1419" t="inlineStr">
        <is>
          <t>1992-01-23</t>
        </is>
      </c>
      <c r="X1419" t="inlineStr">
        <is>
          <t>1992-01-23</t>
        </is>
      </c>
      <c r="Y1419" t="n">
        <v>140</v>
      </c>
      <c r="Z1419" t="n">
        <v>102</v>
      </c>
      <c r="AA1419" t="n">
        <v>105</v>
      </c>
      <c r="AB1419" t="n">
        <v>1</v>
      </c>
      <c r="AC1419" t="n">
        <v>1</v>
      </c>
      <c r="AD1419" t="n">
        <v>0</v>
      </c>
      <c r="AE1419" t="n">
        <v>0</v>
      </c>
      <c r="AF1419" t="n">
        <v>0</v>
      </c>
      <c r="AG1419" t="n">
        <v>0</v>
      </c>
      <c r="AH1419" t="n">
        <v>0</v>
      </c>
      <c r="AI1419" t="n">
        <v>0</v>
      </c>
      <c r="AJ1419" t="n">
        <v>0</v>
      </c>
      <c r="AK1419" t="n">
        <v>0</v>
      </c>
      <c r="AL1419" t="n">
        <v>0</v>
      </c>
      <c r="AM1419" t="n">
        <v>0</v>
      </c>
      <c r="AN1419" t="n">
        <v>0</v>
      </c>
      <c r="AO1419" t="n">
        <v>0</v>
      </c>
      <c r="AP1419" t="inlineStr">
        <is>
          <t>No</t>
        </is>
      </c>
      <c r="AQ1419" t="inlineStr">
        <is>
          <t>Yes</t>
        </is>
      </c>
      <c r="AR1419">
        <f>HYPERLINK("http://catalog.hathitrust.org/Record/008744916","HathiTrust Record")</f>
        <v/>
      </c>
      <c r="AS1419">
        <f>HYPERLINK("https://creighton-primo.hosted.exlibrisgroup.com/primo-explore/search?tab=default_tab&amp;search_scope=EVERYTHING&amp;vid=01CRU&amp;lang=en_US&amp;offset=0&amp;query=any,contains,991005098319702656","Catalog Record")</f>
        <v/>
      </c>
      <c r="AT1419">
        <f>HYPERLINK("http://www.worldcat.org/oclc/7277648","WorldCat Record")</f>
        <v/>
      </c>
      <c r="AU1419" t="inlineStr">
        <is>
          <t>503121161:eng</t>
        </is>
      </c>
      <c r="AV1419" t="inlineStr">
        <is>
          <t>7277648</t>
        </is>
      </c>
      <c r="AW1419" t="inlineStr">
        <is>
          <t>991005098319702656</t>
        </is>
      </c>
      <c r="AX1419" t="inlineStr">
        <is>
          <t>991005098319702656</t>
        </is>
      </c>
      <c r="AY1419" t="inlineStr">
        <is>
          <t>2263846070002656</t>
        </is>
      </c>
      <c r="AZ1419" t="inlineStr">
        <is>
          <t>BOOK</t>
        </is>
      </c>
      <c r="BB1419" t="inlineStr">
        <is>
          <t>9780898760026</t>
        </is>
      </c>
      <c r="BC1419" t="inlineStr">
        <is>
          <t>32285000917384</t>
        </is>
      </c>
      <c r="BD1419" t="inlineStr">
        <is>
          <t>893776825</t>
        </is>
      </c>
    </row>
    <row r="1420">
      <c r="A1420" t="inlineStr">
        <is>
          <t>No</t>
        </is>
      </c>
      <c r="B1420" t="inlineStr">
        <is>
          <t>RC599 .Z5</t>
        </is>
      </c>
      <c r="C1420" t="inlineStr">
        <is>
          <t>0                      RC 0599000Z  5</t>
        </is>
      </c>
      <c r="D1420" t="inlineStr">
        <is>
          <t>A history of medical psychology [by] Gregory Zilboorg, M.D., in collaboration with George W. Henry, M.D.</t>
        </is>
      </c>
      <c r="F1420" t="inlineStr">
        <is>
          <t>No</t>
        </is>
      </c>
      <c r="G1420" t="inlineStr">
        <is>
          <t>1</t>
        </is>
      </c>
      <c r="H1420" t="inlineStr">
        <is>
          <t>Yes</t>
        </is>
      </c>
      <c r="I1420" t="inlineStr">
        <is>
          <t>No</t>
        </is>
      </c>
      <c r="J1420" t="inlineStr">
        <is>
          <t>0</t>
        </is>
      </c>
      <c r="K1420" t="inlineStr">
        <is>
          <t>Zilboorg, Gregory, 1890-1959.</t>
        </is>
      </c>
      <c r="L1420" t="inlineStr">
        <is>
          <t>New York, W. W. Norton &amp; company, inc. [c1941]</t>
        </is>
      </c>
      <c r="M1420" t="inlineStr">
        <is>
          <t>1941</t>
        </is>
      </c>
      <c r="O1420" t="inlineStr">
        <is>
          <t>eng</t>
        </is>
      </c>
      <c r="P1420" t="inlineStr">
        <is>
          <t>nyu</t>
        </is>
      </c>
      <c r="R1420" t="inlineStr">
        <is>
          <t xml:space="preserve">RC </t>
        </is>
      </c>
      <c r="S1420" t="n">
        <v>0</v>
      </c>
      <c r="T1420" t="n">
        <v>16</v>
      </c>
      <c r="V1420" t="inlineStr">
        <is>
          <t>2002-09-08</t>
        </is>
      </c>
      <c r="W1420" t="inlineStr">
        <is>
          <t>1997-08-12</t>
        </is>
      </c>
      <c r="X1420" t="inlineStr">
        <is>
          <t>1997-08-12</t>
        </is>
      </c>
      <c r="Y1420" t="n">
        <v>1067</v>
      </c>
      <c r="Z1420" t="n">
        <v>927</v>
      </c>
      <c r="AA1420" t="n">
        <v>1100</v>
      </c>
      <c r="AB1420" t="n">
        <v>9</v>
      </c>
      <c r="AC1420" t="n">
        <v>11</v>
      </c>
      <c r="AD1420" t="n">
        <v>39</v>
      </c>
      <c r="AE1420" t="n">
        <v>45</v>
      </c>
      <c r="AF1420" t="n">
        <v>15</v>
      </c>
      <c r="AG1420" t="n">
        <v>18</v>
      </c>
      <c r="AH1420" t="n">
        <v>7</v>
      </c>
      <c r="AI1420" t="n">
        <v>8</v>
      </c>
      <c r="AJ1420" t="n">
        <v>19</v>
      </c>
      <c r="AK1420" t="n">
        <v>20</v>
      </c>
      <c r="AL1420" t="n">
        <v>7</v>
      </c>
      <c r="AM1420" t="n">
        <v>9</v>
      </c>
      <c r="AN1420" t="n">
        <v>0</v>
      </c>
      <c r="AO1420" t="n">
        <v>0</v>
      </c>
      <c r="AP1420" t="inlineStr">
        <is>
          <t>No</t>
        </is>
      </c>
      <c r="AQ1420" t="inlineStr">
        <is>
          <t>Yes</t>
        </is>
      </c>
      <c r="AR1420">
        <f>HYPERLINK("http://catalog.hathitrust.org/Record/000431189","HathiTrust Record")</f>
        <v/>
      </c>
      <c r="AS1420">
        <f>HYPERLINK("https://creighton-primo.hosted.exlibrisgroup.com/primo-explore/search?tab=default_tab&amp;search_scope=EVERYTHING&amp;vid=01CRU&amp;lang=en_US&amp;offset=0&amp;query=any,contains,991001791509702656","Catalog Record")</f>
        <v/>
      </c>
      <c r="AT1420">
        <f>HYPERLINK("http://www.worldcat.org/oclc/189799","WorldCat Record")</f>
        <v/>
      </c>
      <c r="AU1420" t="inlineStr">
        <is>
          <t>1346356:eng</t>
        </is>
      </c>
      <c r="AV1420" t="inlineStr">
        <is>
          <t>189799</t>
        </is>
      </c>
      <c r="AW1420" t="inlineStr">
        <is>
          <t>991001791509702656</t>
        </is>
      </c>
      <c r="AX1420" t="inlineStr">
        <is>
          <t>991001791509702656</t>
        </is>
      </c>
      <c r="AY1420" t="inlineStr">
        <is>
          <t>2268440760002656</t>
        </is>
      </c>
      <c r="AZ1420" t="inlineStr">
        <is>
          <t>BOOK</t>
        </is>
      </c>
      <c r="BC1420" t="inlineStr">
        <is>
          <t>32285003092706</t>
        </is>
      </c>
      <c r="BD1420" t="inlineStr">
        <is>
          <t>893703333</t>
        </is>
      </c>
    </row>
    <row r="1421">
      <c r="A1421" t="inlineStr">
        <is>
          <t>No</t>
        </is>
      </c>
      <c r="B1421" t="inlineStr">
        <is>
          <t>RC601 .M87</t>
        </is>
      </c>
      <c r="C1421" t="inlineStr">
        <is>
          <t>0                      RC 0601000M  87</t>
        </is>
      </c>
      <c r="D1421" t="inlineStr">
        <is>
          <t>Foundations of abnormal psychology, by Fred A. Moss ... and Thelma Hunt ...</t>
        </is>
      </c>
      <c r="F1421" t="inlineStr">
        <is>
          <t>No</t>
        </is>
      </c>
      <c r="G1421" t="inlineStr">
        <is>
          <t>1</t>
        </is>
      </c>
      <c r="H1421" t="inlineStr">
        <is>
          <t>No</t>
        </is>
      </c>
      <c r="I1421" t="inlineStr">
        <is>
          <t>No</t>
        </is>
      </c>
      <c r="J1421" t="inlineStr">
        <is>
          <t>0</t>
        </is>
      </c>
      <c r="K1421" t="inlineStr">
        <is>
          <t>Moss, Fred A. (Fred August), 1893-1966.</t>
        </is>
      </c>
      <c r="L1421" t="inlineStr">
        <is>
          <t>New York, Prentice-Hall, inc., 1932.</t>
        </is>
      </c>
      <c r="M1421" t="inlineStr">
        <is>
          <t>1932</t>
        </is>
      </c>
      <c r="O1421" t="inlineStr">
        <is>
          <t>eng</t>
        </is>
      </c>
      <c r="P1421" t="inlineStr">
        <is>
          <t>nyu</t>
        </is>
      </c>
      <c r="Q1421" t="inlineStr">
        <is>
          <t>Prentice-Hall psychology series</t>
        </is>
      </c>
      <c r="R1421" t="inlineStr">
        <is>
          <t xml:space="preserve">RC </t>
        </is>
      </c>
      <c r="S1421" t="n">
        <v>3</v>
      </c>
      <c r="T1421" t="n">
        <v>3</v>
      </c>
      <c r="U1421" t="inlineStr">
        <is>
          <t>1999-12-12</t>
        </is>
      </c>
      <c r="V1421" t="inlineStr">
        <is>
          <t>1999-12-12</t>
        </is>
      </c>
      <c r="W1421" t="inlineStr">
        <is>
          <t>1997-08-12</t>
        </is>
      </c>
      <c r="X1421" t="inlineStr">
        <is>
          <t>1997-08-12</t>
        </is>
      </c>
      <c r="Y1421" t="n">
        <v>134</v>
      </c>
      <c r="Z1421" t="n">
        <v>121</v>
      </c>
      <c r="AA1421" t="n">
        <v>220</v>
      </c>
      <c r="AB1421" t="n">
        <v>3</v>
      </c>
      <c r="AC1421" t="n">
        <v>4</v>
      </c>
      <c r="AD1421" t="n">
        <v>4</v>
      </c>
      <c r="AE1421" t="n">
        <v>10</v>
      </c>
      <c r="AF1421" t="n">
        <v>0</v>
      </c>
      <c r="AG1421" t="n">
        <v>2</v>
      </c>
      <c r="AH1421" t="n">
        <v>0</v>
      </c>
      <c r="AI1421" t="n">
        <v>0</v>
      </c>
      <c r="AJ1421" t="n">
        <v>2</v>
      </c>
      <c r="AK1421" t="n">
        <v>5</v>
      </c>
      <c r="AL1421" t="n">
        <v>2</v>
      </c>
      <c r="AM1421" t="n">
        <v>3</v>
      </c>
      <c r="AN1421" t="n">
        <v>0</v>
      </c>
      <c r="AO1421" t="n">
        <v>0</v>
      </c>
      <c r="AP1421" t="inlineStr">
        <is>
          <t>Yes</t>
        </is>
      </c>
      <c r="AQ1421" t="inlineStr">
        <is>
          <t>No</t>
        </is>
      </c>
      <c r="AR1421">
        <f>HYPERLINK("http://catalog.hathitrust.org/Record/000661310","HathiTrust Record")</f>
        <v/>
      </c>
      <c r="AS1421">
        <f>HYPERLINK("https://creighton-primo.hosted.exlibrisgroup.com/primo-explore/search?tab=default_tab&amp;search_scope=EVERYTHING&amp;vid=01CRU&amp;lang=en_US&amp;offset=0&amp;query=any,contains,991003709589702656","Catalog Record")</f>
        <v/>
      </c>
      <c r="AT1421">
        <f>HYPERLINK("http://www.worldcat.org/oclc/1348463","WorldCat Record")</f>
        <v/>
      </c>
      <c r="AU1421" t="inlineStr">
        <is>
          <t>2245886:eng</t>
        </is>
      </c>
      <c r="AV1421" t="inlineStr">
        <is>
          <t>1348463</t>
        </is>
      </c>
      <c r="AW1421" t="inlineStr">
        <is>
          <t>991003709589702656</t>
        </is>
      </c>
      <c r="AX1421" t="inlineStr">
        <is>
          <t>991003709589702656</t>
        </is>
      </c>
      <c r="AY1421" t="inlineStr">
        <is>
          <t>2257275440002656</t>
        </is>
      </c>
      <c r="AZ1421" t="inlineStr">
        <is>
          <t>BOOK</t>
        </is>
      </c>
      <c r="BC1421" t="inlineStr">
        <is>
          <t>32285003092714</t>
        </is>
      </c>
      <c r="BD1421" t="inlineStr">
        <is>
          <t>893717994</t>
        </is>
      </c>
    </row>
    <row r="1422">
      <c r="A1422" t="inlineStr">
        <is>
          <t>No</t>
        </is>
      </c>
      <c r="B1422" t="inlineStr">
        <is>
          <t>RC606.54 .A33 2009</t>
        </is>
      </c>
      <c r="C1422" t="inlineStr">
        <is>
          <t>0                      RC 0606540A  33          2009</t>
        </is>
      </c>
      <c r="D1422" t="inlineStr">
        <is>
          <t>Access to life : Magnum / [editors, Annalyn Swan and Peter Bernstein, ASAP Media ; writer and associate editor, Adèle Sulcas].</t>
        </is>
      </c>
      <c r="F1422" t="inlineStr">
        <is>
          <t>No</t>
        </is>
      </c>
      <c r="G1422" t="inlineStr">
        <is>
          <t>1</t>
        </is>
      </c>
      <c r="H1422" t="inlineStr">
        <is>
          <t>No</t>
        </is>
      </c>
      <c r="I1422" t="inlineStr">
        <is>
          <t>No</t>
        </is>
      </c>
      <c r="J1422" t="inlineStr">
        <is>
          <t>0</t>
        </is>
      </c>
      <c r="L1422" t="inlineStr">
        <is>
          <t>New York : Aperture : D.A.P./Distributed Art Pub. [distributor], c2009.</t>
        </is>
      </c>
      <c r="M1422" t="inlineStr">
        <is>
          <t>2009</t>
        </is>
      </c>
      <c r="N1422" t="inlineStr">
        <is>
          <t>1st Aperture ed.</t>
        </is>
      </c>
      <c r="O1422" t="inlineStr">
        <is>
          <t>eng</t>
        </is>
      </c>
      <c r="P1422" t="inlineStr">
        <is>
          <t>nyu</t>
        </is>
      </c>
      <c r="R1422" t="inlineStr">
        <is>
          <t xml:space="preserve">RC </t>
        </is>
      </c>
      <c r="S1422" t="n">
        <v>1</v>
      </c>
      <c r="T1422" t="n">
        <v>1</v>
      </c>
      <c r="U1422" t="inlineStr">
        <is>
          <t>2010-05-04</t>
        </is>
      </c>
      <c r="V1422" t="inlineStr">
        <is>
          <t>2010-05-04</t>
        </is>
      </c>
      <c r="W1422" t="inlineStr">
        <is>
          <t>2010-04-27</t>
        </is>
      </c>
      <c r="X1422" t="inlineStr">
        <is>
          <t>2010-04-27</t>
        </is>
      </c>
      <c r="Y1422" t="n">
        <v>240</v>
      </c>
      <c r="Z1422" t="n">
        <v>208</v>
      </c>
      <c r="AA1422" t="n">
        <v>216</v>
      </c>
      <c r="AB1422" t="n">
        <v>2</v>
      </c>
      <c r="AC1422" t="n">
        <v>2</v>
      </c>
      <c r="AD1422" t="n">
        <v>8</v>
      </c>
      <c r="AE1422" t="n">
        <v>8</v>
      </c>
      <c r="AF1422" t="n">
        <v>1</v>
      </c>
      <c r="AG1422" t="n">
        <v>1</v>
      </c>
      <c r="AH1422" t="n">
        <v>3</v>
      </c>
      <c r="AI1422" t="n">
        <v>3</v>
      </c>
      <c r="AJ1422" t="n">
        <v>4</v>
      </c>
      <c r="AK1422" t="n">
        <v>4</v>
      </c>
      <c r="AL1422" t="n">
        <v>1</v>
      </c>
      <c r="AM1422" t="n">
        <v>1</v>
      </c>
      <c r="AN1422" t="n">
        <v>0</v>
      </c>
      <c r="AO1422" t="n">
        <v>0</v>
      </c>
      <c r="AP1422" t="inlineStr">
        <is>
          <t>No</t>
        </is>
      </c>
      <c r="AQ1422" t="inlineStr">
        <is>
          <t>No</t>
        </is>
      </c>
      <c r="AS1422">
        <f>HYPERLINK("https://creighton-primo.hosted.exlibrisgroup.com/primo-explore/search?tab=default_tab&amp;search_scope=EVERYTHING&amp;vid=01CRU&amp;lang=en_US&amp;offset=0&amp;query=any,contains,991005375919702656","Catalog Record")</f>
        <v/>
      </c>
      <c r="AT1422">
        <f>HYPERLINK("http://www.worldcat.org/oclc/317250805","WorldCat Record")</f>
        <v/>
      </c>
      <c r="AU1422" t="inlineStr">
        <is>
          <t>1028097357:eng</t>
        </is>
      </c>
      <c r="AV1422" t="inlineStr">
        <is>
          <t>317250805</t>
        </is>
      </c>
      <c r="AW1422" t="inlineStr">
        <is>
          <t>991005375919702656</t>
        </is>
      </c>
      <c r="AX1422" t="inlineStr">
        <is>
          <t>991005375919702656</t>
        </is>
      </c>
      <c r="AY1422" t="inlineStr">
        <is>
          <t>2256040450002656</t>
        </is>
      </c>
      <c r="AZ1422" t="inlineStr">
        <is>
          <t>BOOK</t>
        </is>
      </c>
      <c r="BB1422" t="inlineStr">
        <is>
          <t>9781597111058</t>
        </is>
      </c>
      <c r="BC1422" t="inlineStr">
        <is>
          <t>32285005628614</t>
        </is>
      </c>
      <c r="BD1422" t="inlineStr">
        <is>
          <t>893783540</t>
        </is>
      </c>
    </row>
    <row r="1423">
      <c r="A1423" t="inlineStr">
        <is>
          <t>No</t>
        </is>
      </c>
      <c r="B1423" t="inlineStr">
        <is>
          <t>RC606.6 .H57 2007</t>
        </is>
      </c>
      <c r="C1423" t="inlineStr">
        <is>
          <t>0                      RC 0606600H  57          2007</t>
        </is>
      </c>
      <c r="D1423" t="inlineStr">
        <is>
          <t>HIV : issues with mental health and illness / Michael B. Blank, Marlene M. Eisenberg, editors.</t>
        </is>
      </c>
      <c r="F1423" t="inlineStr">
        <is>
          <t>No</t>
        </is>
      </c>
      <c r="G1423" t="inlineStr">
        <is>
          <t>1</t>
        </is>
      </c>
      <c r="H1423" t="inlineStr">
        <is>
          <t>No</t>
        </is>
      </c>
      <c r="I1423" t="inlineStr">
        <is>
          <t>No</t>
        </is>
      </c>
      <c r="J1423" t="inlineStr">
        <is>
          <t>0</t>
        </is>
      </c>
      <c r="L1423" t="inlineStr">
        <is>
          <t>Binghamton, N.Y. : Haworth Press, c2007.</t>
        </is>
      </c>
      <c r="M1423" t="inlineStr">
        <is>
          <t>2007</t>
        </is>
      </c>
      <c r="O1423" t="inlineStr">
        <is>
          <t>eng</t>
        </is>
      </c>
      <c r="P1423" t="inlineStr">
        <is>
          <t>nyu</t>
        </is>
      </c>
      <c r="Q1423" t="inlineStr">
        <is>
          <t>Journal of prevention &amp; intervention in the community, 1085-2352 ; v. 33, no. 1/2</t>
        </is>
      </c>
      <c r="R1423" t="inlineStr">
        <is>
          <t xml:space="preserve">RC </t>
        </is>
      </c>
      <c r="S1423" t="n">
        <v>1</v>
      </c>
      <c r="T1423" t="n">
        <v>1</v>
      </c>
      <c r="U1423" t="inlineStr">
        <is>
          <t>2008-10-13</t>
        </is>
      </c>
      <c r="V1423" t="inlineStr">
        <is>
          <t>2008-10-13</t>
        </is>
      </c>
      <c r="W1423" t="inlineStr">
        <is>
          <t>2008-10-13</t>
        </is>
      </c>
      <c r="X1423" t="inlineStr">
        <is>
          <t>2008-10-13</t>
        </is>
      </c>
      <c r="Y1423" t="n">
        <v>97</v>
      </c>
      <c r="Z1423" t="n">
        <v>79</v>
      </c>
      <c r="AA1423" t="n">
        <v>153</v>
      </c>
      <c r="AB1423" t="n">
        <v>4</v>
      </c>
      <c r="AC1423" t="n">
        <v>4</v>
      </c>
      <c r="AD1423" t="n">
        <v>8</v>
      </c>
      <c r="AE1423" t="n">
        <v>10</v>
      </c>
      <c r="AF1423" t="n">
        <v>3</v>
      </c>
      <c r="AG1423" t="n">
        <v>4</v>
      </c>
      <c r="AH1423" t="n">
        <v>0</v>
      </c>
      <c r="AI1423" t="n">
        <v>1</v>
      </c>
      <c r="AJ1423" t="n">
        <v>3</v>
      </c>
      <c r="AK1423" t="n">
        <v>3</v>
      </c>
      <c r="AL1423" t="n">
        <v>3</v>
      </c>
      <c r="AM1423" t="n">
        <v>3</v>
      </c>
      <c r="AN1423" t="n">
        <v>0</v>
      </c>
      <c r="AO1423" t="n">
        <v>0</v>
      </c>
      <c r="AP1423" t="inlineStr">
        <is>
          <t>No</t>
        </is>
      </c>
      <c r="AQ1423" t="inlineStr">
        <is>
          <t>No</t>
        </is>
      </c>
      <c r="AS1423">
        <f>HYPERLINK("https://creighton-primo.hosted.exlibrisgroup.com/primo-explore/search?tab=default_tab&amp;search_scope=EVERYTHING&amp;vid=01CRU&amp;lang=en_US&amp;offset=0&amp;query=any,contains,991005270489702656","Catalog Record")</f>
        <v/>
      </c>
      <c r="AT1423">
        <f>HYPERLINK("http://www.worldcat.org/oclc/64770959","WorldCat Record")</f>
        <v/>
      </c>
      <c r="AU1423" t="inlineStr">
        <is>
          <t>900408527:eng</t>
        </is>
      </c>
      <c r="AV1423" t="inlineStr">
        <is>
          <t>64770959</t>
        </is>
      </c>
      <c r="AW1423" t="inlineStr">
        <is>
          <t>991005270489702656</t>
        </is>
      </c>
      <c r="AX1423" t="inlineStr">
        <is>
          <t>991005270489702656</t>
        </is>
      </c>
      <c r="AY1423" t="inlineStr">
        <is>
          <t>2266349980002656</t>
        </is>
      </c>
      <c r="AZ1423" t="inlineStr">
        <is>
          <t>BOOK</t>
        </is>
      </c>
      <c r="BB1423" t="inlineStr">
        <is>
          <t>9780789034090</t>
        </is>
      </c>
      <c r="BC1423" t="inlineStr">
        <is>
          <t>32285005463426</t>
        </is>
      </c>
      <c r="BD1423" t="inlineStr">
        <is>
          <t>893688871</t>
        </is>
      </c>
    </row>
    <row r="1424">
      <c r="A1424" t="inlineStr">
        <is>
          <t>No</t>
        </is>
      </c>
      <c r="B1424" t="inlineStr">
        <is>
          <t>RC606.6 .W385 2003</t>
        </is>
      </c>
      <c r="C1424" t="inlineStr">
        <is>
          <t>0                      RC 0606600W  385         2003</t>
        </is>
      </c>
      <c r="D1424" t="inlineStr">
        <is>
          <t>The encyclopedia of HIV and AIDS / Sarah Barbara Watstein, Stephen E. Stratton ; foreword by Evelyn J. Fisher.</t>
        </is>
      </c>
      <c r="F1424" t="inlineStr">
        <is>
          <t>No</t>
        </is>
      </c>
      <c r="G1424" t="inlineStr">
        <is>
          <t>1</t>
        </is>
      </c>
      <c r="H1424" t="inlineStr">
        <is>
          <t>No</t>
        </is>
      </c>
      <c r="I1424" t="inlineStr">
        <is>
          <t>No</t>
        </is>
      </c>
      <c r="J1424" t="inlineStr">
        <is>
          <t>0</t>
        </is>
      </c>
      <c r="K1424" t="inlineStr">
        <is>
          <t>Watstein, Sarah.</t>
        </is>
      </c>
      <c r="L1424" t="inlineStr">
        <is>
          <t>New York, NY : Facts On File, c2003.</t>
        </is>
      </c>
      <c r="M1424" t="inlineStr">
        <is>
          <t>2003</t>
        </is>
      </c>
      <c r="N1424" t="inlineStr">
        <is>
          <t>2nd ed.</t>
        </is>
      </c>
      <c r="O1424" t="inlineStr">
        <is>
          <t>eng</t>
        </is>
      </c>
      <c r="P1424" t="inlineStr">
        <is>
          <t>nyu</t>
        </is>
      </c>
      <c r="Q1424" t="inlineStr">
        <is>
          <t>Facts on File library of health and living</t>
        </is>
      </c>
      <c r="R1424" t="inlineStr">
        <is>
          <t xml:space="preserve">RC </t>
        </is>
      </c>
      <c r="S1424" t="n">
        <v>4</v>
      </c>
      <c r="T1424" t="n">
        <v>4</v>
      </c>
      <c r="U1424" t="inlineStr">
        <is>
          <t>2004-04-22</t>
        </is>
      </c>
      <c r="V1424" t="inlineStr">
        <is>
          <t>2004-04-22</t>
        </is>
      </c>
      <c r="W1424" t="inlineStr">
        <is>
          <t>2004-04-22</t>
        </is>
      </c>
      <c r="X1424" t="inlineStr">
        <is>
          <t>2004-04-22</t>
        </is>
      </c>
      <c r="Y1424" t="n">
        <v>547</v>
      </c>
      <c r="Z1424" t="n">
        <v>482</v>
      </c>
      <c r="AA1424" t="n">
        <v>629</v>
      </c>
      <c r="AB1424" t="n">
        <v>2</v>
      </c>
      <c r="AC1424" t="n">
        <v>2</v>
      </c>
      <c r="AD1424" t="n">
        <v>9</v>
      </c>
      <c r="AE1424" t="n">
        <v>9</v>
      </c>
      <c r="AF1424" t="n">
        <v>3</v>
      </c>
      <c r="AG1424" t="n">
        <v>3</v>
      </c>
      <c r="AH1424" t="n">
        <v>1</v>
      </c>
      <c r="AI1424" t="n">
        <v>1</v>
      </c>
      <c r="AJ1424" t="n">
        <v>5</v>
      </c>
      <c r="AK1424" t="n">
        <v>5</v>
      </c>
      <c r="AL1424" t="n">
        <v>1</v>
      </c>
      <c r="AM1424" t="n">
        <v>1</v>
      </c>
      <c r="AN1424" t="n">
        <v>0</v>
      </c>
      <c r="AO1424" t="n">
        <v>0</v>
      </c>
      <c r="AP1424" t="inlineStr">
        <is>
          <t>No</t>
        </is>
      </c>
      <c r="AQ1424" t="inlineStr">
        <is>
          <t>No</t>
        </is>
      </c>
      <c r="AS1424">
        <f>HYPERLINK("https://creighton-primo.hosted.exlibrisgroup.com/primo-explore/search?tab=default_tab&amp;search_scope=EVERYTHING&amp;vid=01CRU&amp;lang=en_US&amp;offset=0&amp;query=any,contains,991004251639702656","Catalog Record")</f>
        <v/>
      </c>
      <c r="AT1424">
        <f>HYPERLINK("http://www.worldcat.org/oclc/50694853","WorldCat Record")</f>
        <v/>
      </c>
      <c r="AU1424" t="inlineStr">
        <is>
          <t>701232:eng</t>
        </is>
      </c>
      <c r="AV1424" t="inlineStr">
        <is>
          <t>50694853</t>
        </is>
      </c>
      <c r="AW1424" t="inlineStr">
        <is>
          <t>991004251639702656</t>
        </is>
      </c>
      <c r="AX1424" t="inlineStr">
        <is>
          <t>991004251639702656</t>
        </is>
      </c>
      <c r="AY1424" t="inlineStr">
        <is>
          <t>2255649110002656</t>
        </is>
      </c>
      <c r="AZ1424" t="inlineStr">
        <is>
          <t>BOOK</t>
        </is>
      </c>
      <c r="BB1424" t="inlineStr">
        <is>
          <t>9780816048083</t>
        </is>
      </c>
      <c r="BC1424" t="inlineStr">
        <is>
          <t>32285004901954</t>
        </is>
      </c>
      <c r="BD1424" t="inlineStr">
        <is>
          <t>893500330</t>
        </is>
      </c>
    </row>
    <row r="1425">
      <c r="A1425" t="inlineStr">
        <is>
          <t>No</t>
        </is>
      </c>
      <c r="B1425" t="inlineStr">
        <is>
          <t>RC607.A26 A3424 1997</t>
        </is>
      </c>
      <c r="C1425" t="inlineStr">
        <is>
          <t>0                      RC 0607000A  26                 A  3424        1997</t>
        </is>
      </c>
      <c r="D1425" t="inlineStr">
        <is>
          <t>The fragile community : living together with AIDS / Mara B. Adelman, Lawrence R. Frey.</t>
        </is>
      </c>
      <c r="F1425" t="inlineStr">
        <is>
          <t>No</t>
        </is>
      </c>
      <c r="G1425" t="inlineStr">
        <is>
          <t>1</t>
        </is>
      </c>
      <c r="H1425" t="inlineStr">
        <is>
          <t>No</t>
        </is>
      </c>
      <c r="I1425" t="inlineStr">
        <is>
          <t>No</t>
        </is>
      </c>
      <c r="J1425" t="inlineStr">
        <is>
          <t>0</t>
        </is>
      </c>
      <c r="K1425" t="inlineStr">
        <is>
          <t>Adelman, Mara B.</t>
        </is>
      </c>
      <c r="L1425" t="inlineStr">
        <is>
          <t>Mahwah, N.J. : Lawrence Erlbaum Associates, 1997.</t>
        </is>
      </c>
      <c r="M1425" t="inlineStr">
        <is>
          <t>1997</t>
        </is>
      </c>
      <c r="O1425" t="inlineStr">
        <is>
          <t>eng</t>
        </is>
      </c>
      <c r="P1425" t="inlineStr">
        <is>
          <t>nju</t>
        </is>
      </c>
      <c r="Q1425" t="inlineStr">
        <is>
          <t>Everyday communication</t>
        </is>
      </c>
      <c r="R1425" t="inlineStr">
        <is>
          <t xml:space="preserve">RC </t>
        </is>
      </c>
      <c r="S1425" t="n">
        <v>2</v>
      </c>
      <c r="T1425" t="n">
        <v>2</v>
      </c>
      <c r="U1425" t="inlineStr">
        <is>
          <t>2001-02-24</t>
        </is>
      </c>
      <c r="V1425" t="inlineStr">
        <is>
          <t>2001-02-24</t>
        </is>
      </c>
      <c r="W1425" t="inlineStr">
        <is>
          <t>2000-04-11</t>
        </is>
      </c>
      <c r="X1425" t="inlineStr">
        <is>
          <t>2000-04-11</t>
        </is>
      </c>
      <c r="Y1425" t="n">
        <v>189</v>
      </c>
      <c r="Z1425" t="n">
        <v>166</v>
      </c>
      <c r="AA1425" t="n">
        <v>175</v>
      </c>
      <c r="AB1425" t="n">
        <v>1</v>
      </c>
      <c r="AC1425" t="n">
        <v>1</v>
      </c>
      <c r="AD1425" t="n">
        <v>10</v>
      </c>
      <c r="AE1425" t="n">
        <v>11</v>
      </c>
      <c r="AF1425" t="n">
        <v>3</v>
      </c>
      <c r="AG1425" t="n">
        <v>4</v>
      </c>
      <c r="AH1425" t="n">
        <v>3</v>
      </c>
      <c r="AI1425" t="n">
        <v>3</v>
      </c>
      <c r="AJ1425" t="n">
        <v>6</v>
      </c>
      <c r="AK1425" t="n">
        <v>6</v>
      </c>
      <c r="AL1425" t="n">
        <v>0</v>
      </c>
      <c r="AM1425" t="n">
        <v>0</v>
      </c>
      <c r="AN1425" t="n">
        <v>0</v>
      </c>
      <c r="AO1425" t="n">
        <v>0</v>
      </c>
      <c r="AP1425" t="inlineStr">
        <is>
          <t>No</t>
        </is>
      </c>
      <c r="AQ1425" t="inlineStr">
        <is>
          <t>No</t>
        </is>
      </c>
      <c r="AS1425">
        <f>HYPERLINK("https://creighton-primo.hosted.exlibrisgroup.com/primo-explore/search?tab=default_tab&amp;search_scope=EVERYTHING&amp;vid=01CRU&amp;lang=en_US&amp;offset=0&amp;query=any,contains,991002683669702656","Catalog Record")</f>
        <v/>
      </c>
      <c r="AT1425">
        <f>HYPERLINK("http://www.worldcat.org/oclc/35068149","WorldCat Record")</f>
        <v/>
      </c>
      <c r="AU1425" t="inlineStr">
        <is>
          <t>856347870:eng</t>
        </is>
      </c>
      <c r="AV1425" t="inlineStr">
        <is>
          <t>35068149</t>
        </is>
      </c>
      <c r="AW1425" t="inlineStr">
        <is>
          <t>991002683669702656</t>
        </is>
      </c>
      <c r="AX1425" t="inlineStr">
        <is>
          <t>991002683669702656</t>
        </is>
      </c>
      <c r="AY1425" t="inlineStr">
        <is>
          <t>2255464140002656</t>
        </is>
      </c>
      <c r="AZ1425" t="inlineStr">
        <is>
          <t>BOOK</t>
        </is>
      </c>
      <c r="BB1425" t="inlineStr">
        <is>
          <t>9780805818437</t>
        </is>
      </c>
      <c r="BC1425" t="inlineStr">
        <is>
          <t>32285003676888</t>
        </is>
      </c>
      <c r="BD1425" t="inlineStr">
        <is>
          <t>893335585</t>
        </is>
      </c>
    </row>
    <row r="1426">
      <c r="A1426" t="inlineStr">
        <is>
          <t>No</t>
        </is>
      </c>
      <c r="B1426" t="inlineStr">
        <is>
          <t>RC607.A26 A34522 1992</t>
        </is>
      </c>
      <c r="C1426" t="inlineStr">
        <is>
          <t>0                      RC 0607000A  26                 A  34522       1992</t>
        </is>
      </c>
      <c r="D1426" t="inlineStr">
        <is>
          <t>AIDS : a complete guide to psychosocial intervention / Helen Land, editor.</t>
        </is>
      </c>
      <c r="F1426" t="inlineStr">
        <is>
          <t>No</t>
        </is>
      </c>
      <c r="G1426" t="inlineStr">
        <is>
          <t>1</t>
        </is>
      </c>
      <c r="H1426" t="inlineStr">
        <is>
          <t>No</t>
        </is>
      </c>
      <c r="I1426" t="inlineStr">
        <is>
          <t>No</t>
        </is>
      </c>
      <c r="J1426" t="inlineStr">
        <is>
          <t>0</t>
        </is>
      </c>
      <c r="L1426" t="inlineStr">
        <is>
          <t>Milwaukee, Wis. : Family Service America, Inc., c1992.</t>
        </is>
      </c>
      <c r="M1426" t="inlineStr">
        <is>
          <t>1992</t>
        </is>
      </c>
      <c r="O1426" t="inlineStr">
        <is>
          <t>eng</t>
        </is>
      </c>
      <c r="P1426" t="inlineStr">
        <is>
          <t>wiu</t>
        </is>
      </c>
      <c r="R1426" t="inlineStr">
        <is>
          <t xml:space="preserve">RC </t>
        </is>
      </c>
      <c r="S1426" t="n">
        <v>20</v>
      </c>
      <c r="T1426" t="n">
        <v>20</v>
      </c>
      <c r="U1426" t="inlineStr">
        <is>
          <t>2002-02-28</t>
        </is>
      </c>
      <c r="V1426" t="inlineStr">
        <is>
          <t>2002-02-28</t>
        </is>
      </c>
      <c r="W1426" t="inlineStr">
        <is>
          <t>1993-11-15</t>
        </is>
      </c>
      <c r="X1426" t="inlineStr">
        <is>
          <t>1993-11-15</t>
        </is>
      </c>
      <c r="Y1426" t="n">
        <v>380</v>
      </c>
      <c r="Z1426" t="n">
        <v>337</v>
      </c>
      <c r="AA1426" t="n">
        <v>343</v>
      </c>
      <c r="AB1426" t="n">
        <v>3</v>
      </c>
      <c r="AC1426" t="n">
        <v>3</v>
      </c>
      <c r="AD1426" t="n">
        <v>17</v>
      </c>
      <c r="AE1426" t="n">
        <v>17</v>
      </c>
      <c r="AF1426" t="n">
        <v>5</v>
      </c>
      <c r="AG1426" t="n">
        <v>5</v>
      </c>
      <c r="AH1426" t="n">
        <v>4</v>
      </c>
      <c r="AI1426" t="n">
        <v>4</v>
      </c>
      <c r="AJ1426" t="n">
        <v>10</v>
      </c>
      <c r="AK1426" t="n">
        <v>10</v>
      </c>
      <c r="AL1426" t="n">
        <v>2</v>
      </c>
      <c r="AM1426" t="n">
        <v>2</v>
      </c>
      <c r="AN1426" t="n">
        <v>0</v>
      </c>
      <c r="AO1426" t="n">
        <v>0</v>
      </c>
      <c r="AP1426" t="inlineStr">
        <is>
          <t>No</t>
        </is>
      </c>
      <c r="AQ1426" t="inlineStr">
        <is>
          <t>Yes</t>
        </is>
      </c>
      <c r="AR1426">
        <f>HYPERLINK("http://catalog.hathitrust.org/Record/002617753","HathiTrust Record")</f>
        <v/>
      </c>
      <c r="AS1426">
        <f>HYPERLINK("https://creighton-primo.hosted.exlibrisgroup.com/primo-explore/search?tab=default_tab&amp;search_scope=EVERYTHING&amp;vid=01CRU&amp;lang=en_US&amp;offset=0&amp;query=any,contains,991002039579702656","Catalog Record")</f>
        <v/>
      </c>
      <c r="AT1426">
        <f>HYPERLINK("http://www.worldcat.org/oclc/26013603","WorldCat Record")</f>
        <v/>
      </c>
      <c r="AU1426" t="inlineStr">
        <is>
          <t>979431:eng</t>
        </is>
      </c>
      <c r="AV1426" t="inlineStr">
        <is>
          <t>26013603</t>
        </is>
      </c>
      <c r="AW1426" t="inlineStr">
        <is>
          <t>991002039579702656</t>
        </is>
      </c>
      <c r="AX1426" t="inlineStr">
        <is>
          <t>991002039579702656</t>
        </is>
      </c>
      <c r="AY1426" t="inlineStr">
        <is>
          <t>2261639310002656</t>
        </is>
      </c>
      <c r="AZ1426" t="inlineStr">
        <is>
          <t>BOOK</t>
        </is>
      </c>
      <c r="BB1426" t="inlineStr">
        <is>
          <t>9780873042581</t>
        </is>
      </c>
      <c r="BC1426" t="inlineStr">
        <is>
          <t>32285001812030</t>
        </is>
      </c>
      <c r="BD1426" t="inlineStr">
        <is>
          <t>893516822</t>
        </is>
      </c>
    </row>
    <row r="1427">
      <c r="A1427" t="inlineStr">
        <is>
          <t>No</t>
        </is>
      </c>
      <c r="B1427" t="inlineStr">
        <is>
          <t>RC607.A26 A34523 1996</t>
        </is>
      </c>
      <c r="C1427" t="inlineStr">
        <is>
          <t>0                      RC 0607000A  26                 A  34523       1996</t>
        </is>
      </c>
      <c r="D1427" t="inlineStr">
        <is>
          <t>AIDS, a moral issue : the ethical, legal, and social aspects / edited by Brenda Almond.</t>
        </is>
      </c>
      <c r="F1427" t="inlineStr">
        <is>
          <t>No</t>
        </is>
      </c>
      <c r="G1427" t="inlineStr">
        <is>
          <t>1</t>
        </is>
      </c>
      <c r="H1427" t="inlineStr">
        <is>
          <t>No</t>
        </is>
      </c>
      <c r="I1427" t="inlineStr">
        <is>
          <t>No</t>
        </is>
      </c>
      <c r="J1427" t="inlineStr">
        <is>
          <t>0</t>
        </is>
      </c>
      <c r="L1427" t="inlineStr">
        <is>
          <t>New York : St. Martin's Press, 1996.</t>
        </is>
      </c>
      <c r="M1427" t="inlineStr">
        <is>
          <t>1996</t>
        </is>
      </c>
      <c r="N1427" t="inlineStr">
        <is>
          <t>2nd ed.</t>
        </is>
      </c>
      <c r="O1427" t="inlineStr">
        <is>
          <t>eng</t>
        </is>
      </c>
      <c r="P1427" t="inlineStr">
        <is>
          <t>nyu</t>
        </is>
      </c>
      <c r="R1427" t="inlineStr">
        <is>
          <t xml:space="preserve">RC </t>
        </is>
      </c>
      <c r="S1427" t="n">
        <v>11</v>
      </c>
      <c r="T1427" t="n">
        <v>11</v>
      </c>
      <c r="U1427" t="inlineStr">
        <is>
          <t>2000-03-29</t>
        </is>
      </c>
      <c r="V1427" t="inlineStr">
        <is>
          <t>2000-03-29</t>
        </is>
      </c>
      <c r="W1427" t="inlineStr">
        <is>
          <t>1998-09-16</t>
        </is>
      </c>
      <c r="X1427" t="inlineStr">
        <is>
          <t>1998-09-16</t>
        </is>
      </c>
      <c r="Y1427" t="n">
        <v>333</v>
      </c>
      <c r="Z1427" t="n">
        <v>287</v>
      </c>
      <c r="AA1427" t="n">
        <v>417</v>
      </c>
      <c r="AB1427" t="n">
        <v>2</v>
      </c>
      <c r="AC1427" t="n">
        <v>2</v>
      </c>
      <c r="AD1427" t="n">
        <v>18</v>
      </c>
      <c r="AE1427" t="n">
        <v>22</v>
      </c>
      <c r="AF1427" t="n">
        <v>5</v>
      </c>
      <c r="AG1427" t="n">
        <v>8</v>
      </c>
      <c r="AH1427" t="n">
        <v>3</v>
      </c>
      <c r="AI1427" t="n">
        <v>3</v>
      </c>
      <c r="AJ1427" t="n">
        <v>7</v>
      </c>
      <c r="AK1427" t="n">
        <v>10</v>
      </c>
      <c r="AL1427" t="n">
        <v>1</v>
      </c>
      <c r="AM1427" t="n">
        <v>1</v>
      </c>
      <c r="AN1427" t="n">
        <v>4</v>
      </c>
      <c r="AO1427" t="n">
        <v>5</v>
      </c>
      <c r="AP1427" t="inlineStr">
        <is>
          <t>No</t>
        </is>
      </c>
      <c r="AQ1427" t="inlineStr">
        <is>
          <t>No</t>
        </is>
      </c>
      <c r="AS1427">
        <f>HYPERLINK("https://creighton-primo.hosted.exlibrisgroup.com/primo-explore/search?tab=default_tab&amp;search_scope=EVERYTHING&amp;vid=01CRU&amp;lang=en_US&amp;offset=0&amp;query=any,contains,991002618439702656","Catalog Record")</f>
        <v/>
      </c>
      <c r="AT1427">
        <f>HYPERLINK("http://www.worldcat.org/oclc/34320398","WorldCat Record")</f>
        <v/>
      </c>
      <c r="AU1427" t="inlineStr">
        <is>
          <t>836719731:eng</t>
        </is>
      </c>
      <c r="AV1427" t="inlineStr">
        <is>
          <t>34320398</t>
        </is>
      </c>
      <c r="AW1427" t="inlineStr">
        <is>
          <t>991002618439702656</t>
        </is>
      </c>
      <c r="AX1427" t="inlineStr">
        <is>
          <t>991002618439702656</t>
        </is>
      </c>
      <c r="AY1427" t="inlineStr">
        <is>
          <t>2255940960002656</t>
        </is>
      </c>
      <c r="AZ1427" t="inlineStr">
        <is>
          <t>BOOK</t>
        </is>
      </c>
      <c r="BB1427" t="inlineStr">
        <is>
          <t>9780312161521</t>
        </is>
      </c>
      <c r="BC1427" t="inlineStr">
        <is>
          <t>32285003468955</t>
        </is>
      </c>
      <c r="BD1427" t="inlineStr">
        <is>
          <t>893262376</t>
        </is>
      </c>
    </row>
    <row r="1428">
      <c r="A1428" t="inlineStr">
        <is>
          <t>No</t>
        </is>
      </c>
      <c r="B1428" t="inlineStr">
        <is>
          <t>RC607.A26 A345552 1989b</t>
        </is>
      </c>
      <c r="C1428" t="inlineStr">
        <is>
          <t>0                      RC 0607000A  26                 A  345552      1989b</t>
        </is>
      </c>
      <c r="D1428" t="inlineStr">
        <is>
          <t>AIDS and families : report of the AIDS Task Force, Groves Conference on Marriage and the Family / Eleanor D. Macklin, editor.</t>
        </is>
      </c>
      <c r="F1428" t="inlineStr">
        <is>
          <t>No</t>
        </is>
      </c>
      <c r="G1428" t="inlineStr">
        <is>
          <t>1</t>
        </is>
      </c>
      <c r="H1428" t="inlineStr">
        <is>
          <t>No</t>
        </is>
      </c>
      <c r="I1428" t="inlineStr">
        <is>
          <t>No</t>
        </is>
      </c>
      <c r="J1428" t="inlineStr">
        <is>
          <t>0</t>
        </is>
      </c>
      <c r="L1428" t="inlineStr">
        <is>
          <t>New York : Haworth Press, c1989.</t>
        </is>
      </c>
      <c r="M1428" t="inlineStr">
        <is>
          <t>1989</t>
        </is>
      </c>
      <c r="O1428" t="inlineStr">
        <is>
          <t>eng</t>
        </is>
      </c>
      <c r="P1428" t="inlineStr">
        <is>
          <t>nyu</t>
        </is>
      </c>
      <c r="R1428" t="inlineStr">
        <is>
          <t xml:space="preserve">RC </t>
        </is>
      </c>
      <c r="S1428" t="n">
        <v>18</v>
      </c>
      <c r="T1428" t="n">
        <v>18</v>
      </c>
      <c r="U1428" t="inlineStr">
        <is>
          <t>2008-03-24</t>
        </is>
      </c>
      <c r="V1428" t="inlineStr">
        <is>
          <t>2008-03-24</t>
        </is>
      </c>
      <c r="W1428" t="inlineStr">
        <is>
          <t>1992-08-04</t>
        </is>
      </c>
      <c r="X1428" t="inlineStr">
        <is>
          <t>1992-08-04</t>
        </is>
      </c>
      <c r="Y1428" t="n">
        <v>216</v>
      </c>
      <c r="Z1428" t="n">
        <v>177</v>
      </c>
      <c r="AA1428" t="n">
        <v>177</v>
      </c>
      <c r="AB1428" t="n">
        <v>1</v>
      </c>
      <c r="AC1428" t="n">
        <v>1</v>
      </c>
      <c r="AD1428" t="n">
        <v>9</v>
      </c>
      <c r="AE1428" t="n">
        <v>9</v>
      </c>
      <c r="AF1428" t="n">
        <v>2</v>
      </c>
      <c r="AG1428" t="n">
        <v>2</v>
      </c>
      <c r="AH1428" t="n">
        <v>2</v>
      </c>
      <c r="AI1428" t="n">
        <v>2</v>
      </c>
      <c r="AJ1428" t="n">
        <v>7</v>
      </c>
      <c r="AK1428" t="n">
        <v>7</v>
      </c>
      <c r="AL1428" t="n">
        <v>0</v>
      </c>
      <c r="AM1428" t="n">
        <v>0</v>
      </c>
      <c r="AN1428" t="n">
        <v>1</v>
      </c>
      <c r="AO1428" t="n">
        <v>1</v>
      </c>
      <c r="AP1428" t="inlineStr">
        <is>
          <t>No</t>
        </is>
      </c>
      <c r="AQ1428" t="inlineStr">
        <is>
          <t>No</t>
        </is>
      </c>
      <c r="AS1428">
        <f>HYPERLINK("https://creighton-primo.hosted.exlibrisgroup.com/primo-explore/search?tab=default_tab&amp;search_scope=EVERYTHING&amp;vid=01CRU&amp;lang=en_US&amp;offset=0&amp;query=any,contains,991001482719702656","Catalog Record")</f>
        <v/>
      </c>
      <c r="AT1428">
        <f>HYPERLINK("http://www.worldcat.org/oclc/19628313","WorldCat Record")</f>
        <v/>
      </c>
      <c r="AU1428" t="inlineStr">
        <is>
          <t>836895176:eng</t>
        </is>
      </c>
      <c r="AV1428" t="inlineStr">
        <is>
          <t>19628313</t>
        </is>
      </c>
      <c r="AW1428" t="inlineStr">
        <is>
          <t>991001482719702656</t>
        </is>
      </c>
      <c r="AX1428" t="inlineStr">
        <is>
          <t>991001482719702656</t>
        </is>
      </c>
      <c r="AY1428" t="inlineStr">
        <is>
          <t>2265603130002656</t>
        </is>
      </c>
      <c r="AZ1428" t="inlineStr">
        <is>
          <t>BOOK</t>
        </is>
      </c>
      <c r="BB1428" t="inlineStr">
        <is>
          <t>9780866568791</t>
        </is>
      </c>
      <c r="BC1428" t="inlineStr">
        <is>
          <t>32285001196434</t>
        </is>
      </c>
      <c r="BD1428" t="inlineStr">
        <is>
          <t>893334351</t>
        </is>
      </c>
    </row>
    <row r="1429">
      <c r="A1429" t="inlineStr">
        <is>
          <t>No</t>
        </is>
      </c>
      <c r="B1429" t="inlineStr">
        <is>
          <t>RC607.A26 A3457324 1994</t>
        </is>
      </c>
      <c r="C1429" t="inlineStr">
        <is>
          <t>0                      RC 0607000A  26                 A  3457324     1994</t>
        </is>
      </c>
      <c r="D1429" t="inlineStr">
        <is>
          <t>AIDS : crisis in professional ethics / edited by Elliot D. Cohen and Michael Davis.</t>
        </is>
      </c>
      <c r="F1429" t="inlineStr">
        <is>
          <t>No</t>
        </is>
      </c>
      <c r="G1429" t="inlineStr">
        <is>
          <t>1</t>
        </is>
      </c>
      <c r="H1429" t="inlineStr">
        <is>
          <t>No</t>
        </is>
      </c>
      <c r="I1429" t="inlineStr">
        <is>
          <t>No</t>
        </is>
      </c>
      <c r="J1429" t="inlineStr">
        <is>
          <t>0</t>
        </is>
      </c>
      <c r="L1429" t="inlineStr">
        <is>
          <t>Philadelphia : Temple University Press, 1994.</t>
        </is>
      </c>
      <c r="M1429" t="inlineStr">
        <is>
          <t>1994</t>
        </is>
      </c>
      <c r="O1429" t="inlineStr">
        <is>
          <t>eng</t>
        </is>
      </c>
      <c r="P1429" t="inlineStr">
        <is>
          <t>pau</t>
        </is>
      </c>
      <c r="R1429" t="inlineStr">
        <is>
          <t xml:space="preserve">RC </t>
        </is>
      </c>
      <c r="S1429" t="n">
        <v>17</v>
      </c>
      <c r="T1429" t="n">
        <v>17</v>
      </c>
      <c r="U1429" t="inlineStr">
        <is>
          <t>2003-10-24</t>
        </is>
      </c>
      <c r="V1429" t="inlineStr">
        <is>
          <t>2003-10-24</t>
        </is>
      </c>
      <c r="W1429" t="inlineStr">
        <is>
          <t>1996-03-05</t>
        </is>
      </c>
      <c r="X1429" t="inlineStr">
        <is>
          <t>1996-03-05</t>
        </is>
      </c>
      <c r="Y1429" t="n">
        <v>374</v>
      </c>
      <c r="Z1429" t="n">
        <v>337</v>
      </c>
      <c r="AA1429" t="n">
        <v>562</v>
      </c>
      <c r="AB1429" t="n">
        <v>1</v>
      </c>
      <c r="AC1429" t="n">
        <v>1</v>
      </c>
      <c r="AD1429" t="n">
        <v>21</v>
      </c>
      <c r="AE1429" t="n">
        <v>27</v>
      </c>
      <c r="AF1429" t="n">
        <v>7</v>
      </c>
      <c r="AG1429" t="n">
        <v>10</v>
      </c>
      <c r="AH1429" t="n">
        <v>5</v>
      </c>
      <c r="AI1429" t="n">
        <v>7</v>
      </c>
      <c r="AJ1429" t="n">
        <v>9</v>
      </c>
      <c r="AK1429" t="n">
        <v>12</v>
      </c>
      <c r="AL1429" t="n">
        <v>0</v>
      </c>
      <c r="AM1429" t="n">
        <v>0</v>
      </c>
      <c r="AN1429" t="n">
        <v>6</v>
      </c>
      <c r="AO1429" t="n">
        <v>6</v>
      </c>
      <c r="AP1429" t="inlineStr">
        <is>
          <t>No</t>
        </is>
      </c>
      <c r="AQ1429" t="inlineStr">
        <is>
          <t>No</t>
        </is>
      </c>
      <c r="AS1429">
        <f>HYPERLINK("https://creighton-primo.hosted.exlibrisgroup.com/primo-explore/search?tab=default_tab&amp;search_scope=EVERYTHING&amp;vid=01CRU&amp;lang=en_US&amp;offset=0&amp;query=any,contains,991002266629702656","Catalog Record")</f>
        <v/>
      </c>
      <c r="AT1429">
        <f>HYPERLINK("http://www.worldcat.org/oclc/29390396","WorldCat Record")</f>
        <v/>
      </c>
      <c r="AU1429" t="inlineStr">
        <is>
          <t>803163003:eng</t>
        </is>
      </c>
      <c r="AV1429" t="inlineStr">
        <is>
          <t>29390396</t>
        </is>
      </c>
      <c r="AW1429" t="inlineStr">
        <is>
          <t>991002266629702656</t>
        </is>
      </c>
      <c r="AX1429" t="inlineStr">
        <is>
          <t>991002266629702656</t>
        </is>
      </c>
      <c r="AY1429" t="inlineStr">
        <is>
          <t>2262610350002656</t>
        </is>
      </c>
      <c r="AZ1429" t="inlineStr">
        <is>
          <t>BOOK</t>
        </is>
      </c>
      <c r="BB1429" t="inlineStr">
        <is>
          <t>9781566391641</t>
        </is>
      </c>
      <c r="BC1429" t="inlineStr">
        <is>
          <t>32285002140142</t>
        </is>
      </c>
      <c r="BD1429" t="inlineStr">
        <is>
          <t>893903798</t>
        </is>
      </c>
    </row>
    <row r="1430">
      <c r="A1430" t="inlineStr">
        <is>
          <t>No</t>
        </is>
      </c>
      <c r="B1430" t="inlineStr">
        <is>
          <t>RC607.A26 A348914 1991</t>
        </is>
      </c>
      <c r="C1430" t="inlineStr">
        <is>
          <t>0                      RC 0607000A  26                 A  348914      1991</t>
        </is>
      </c>
      <c r="D1430" t="inlineStr">
        <is>
          <t>The AIDS reader : social, political, and ethical issues / edited by Nancy F. McKenzie.</t>
        </is>
      </c>
      <c r="F1430" t="inlineStr">
        <is>
          <t>No</t>
        </is>
      </c>
      <c r="G1430" t="inlineStr">
        <is>
          <t>1</t>
        </is>
      </c>
      <c r="H1430" t="inlineStr">
        <is>
          <t>No</t>
        </is>
      </c>
      <c r="I1430" t="inlineStr">
        <is>
          <t>No</t>
        </is>
      </c>
      <c r="J1430" t="inlineStr">
        <is>
          <t>0</t>
        </is>
      </c>
      <c r="L1430" t="inlineStr">
        <is>
          <t>New York, N.Y., U.S.A. : Meridian, c1991.</t>
        </is>
      </c>
      <c r="M1430" t="inlineStr">
        <is>
          <t>1991</t>
        </is>
      </c>
      <c r="O1430" t="inlineStr">
        <is>
          <t>eng</t>
        </is>
      </c>
      <c r="P1430" t="inlineStr">
        <is>
          <t>nyu</t>
        </is>
      </c>
      <c r="R1430" t="inlineStr">
        <is>
          <t xml:space="preserve">RC </t>
        </is>
      </c>
      <c r="S1430" t="n">
        <v>35</v>
      </c>
      <c r="T1430" t="n">
        <v>35</v>
      </c>
      <c r="U1430" t="inlineStr">
        <is>
          <t>2004-03-31</t>
        </is>
      </c>
      <c r="V1430" t="inlineStr">
        <is>
          <t>2004-03-31</t>
        </is>
      </c>
      <c r="W1430" t="inlineStr">
        <is>
          <t>1991-12-13</t>
        </is>
      </c>
      <c r="X1430" t="inlineStr">
        <is>
          <t>1991-12-13</t>
        </is>
      </c>
      <c r="Y1430" t="n">
        <v>534</v>
      </c>
      <c r="Z1430" t="n">
        <v>472</v>
      </c>
      <c r="AA1430" t="n">
        <v>489</v>
      </c>
      <c r="AB1430" t="n">
        <v>1</v>
      </c>
      <c r="AC1430" t="n">
        <v>1</v>
      </c>
      <c r="AD1430" t="n">
        <v>12</v>
      </c>
      <c r="AE1430" t="n">
        <v>14</v>
      </c>
      <c r="AF1430" t="n">
        <v>2</v>
      </c>
      <c r="AG1430" t="n">
        <v>3</v>
      </c>
      <c r="AH1430" t="n">
        <v>1</v>
      </c>
      <c r="AI1430" t="n">
        <v>2</v>
      </c>
      <c r="AJ1430" t="n">
        <v>9</v>
      </c>
      <c r="AK1430" t="n">
        <v>9</v>
      </c>
      <c r="AL1430" t="n">
        <v>0</v>
      </c>
      <c r="AM1430" t="n">
        <v>0</v>
      </c>
      <c r="AN1430" t="n">
        <v>1</v>
      </c>
      <c r="AO1430" t="n">
        <v>1</v>
      </c>
      <c r="AP1430" t="inlineStr">
        <is>
          <t>No</t>
        </is>
      </c>
      <c r="AQ1430" t="inlineStr">
        <is>
          <t>Yes</t>
        </is>
      </c>
      <c r="AR1430">
        <f>HYPERLINK("http://catalog.hathitrust.org/Record/002465059","HathiTrust Record")</f>
        <v/>
      </c>
      <c r="AS1430">
        <f>HYPERLINK("https://creighton-primo.hosted.exlibrisgroup.com/primo-explore/search?tab=default_tab&amp;search_scope=EVERYTHING&amp;vid=01CRU&amp;lang=en_US&amp;offset=0&amp;query=any,contains,991001792019702656","Catalog Record")</f>
        <v/>
      </c>
      <c r="AT1430">
        <f>HYPERLINK("http://www.worldcat.org/oclc/22544616","WorldCat Record")</f>
        <v/>
      </c>
      <c r="AU1430" t="inlineStr">
        <is>
          <t>905404815:eng</t>
        </is>
      </c>
      <c r="AV1430" t="inlineStr">
        <is>
          <t>22544616</t>
        </is>
      </c>
      <c r="AW1430" t="inlineStr">
        <is>
          <t>991001792019702656</t>
        </is>
      </c>
      <c r="AX1430" t="inlineStr">
        <is>
          <t>991001792019702656</t>
        </is>
      </c>
      <c r="AY1430" t="inlineStr">
        <is>
          <t>2270380130002656</t>
        </is>
      </c>
      <c r="AZ1430" t="inlineStr">
        <is>
          <t>BOOK</t>
        </is>
      </c>
      <c r="BB1430" t="inlineStr">
        <is>
          <t>9780452010727</t>
        </is>
      </c>
      <c r="BC1430" t="inlineStr">
        <is>
          <t>32285000819762</t>
        </is>
      </c>
      <c r="BD1430" t="inlineStr">
        <is>
          <t>893803907</t>
        </is>
      </c>
    </row>
    <row r="1431">
      <c r="A1431" t="inlineStr">
        <is>
          <t>No</t>
        </is>
      </c>
      <c r="B1431" t="inlineStr">
        <is>
          <t>RC607.A26 A97 1996</t>
        </is>
      </c>
      <c r="C1431" t="inlineStr">
        <is>
          <t>0                      RC 0607000A  26                 A  97          1996</t>
        </is>
      </c>
      <c r="D1431" t="inlineStr">
        <is>
          <t>Falling through the cracks : AIDS and the urban poor / Victor Ayala.</t>
        </is>
      </c>
      <c r="F1431" t="inlineStr">
        <is>
          <t>No</t>
        </is>
      </c>
      <c r="G1431" t="inlineStr">
        <is>
          <t>1</t>
        </is>
      </c>
      <c r="H1431" t="inlineStr">
        <is>
          <t>No</t>
        </is>
      </c>
      <c r="I1431" t="inlineStr">
        <is>
          <t>No</t>
        </is>
      </c>
      <c r="J1431" t="inlineStr">
        <is>
          <t>0</t>
        </is>
      </c>
      <c r="K1431" t="inlineStr">
        <is>
          <t>Ayala, Victor, Dr.</t>
        </is>
      </c>
      <c r="L1431" t="inlineStr">
        <is>
          <t>Bayside, NY : Social Change Press, c1996.</t>
        </is>
      </c>
      <c r="M1431" t="inlineStr">
        <is>
          <t>1996</t>
        </is>
      </c>
      <c r="O1431" t="inlineStr">
        <is>
          <t>eng</t>
        </is>
      </c>
      <c r="P1431" t="inlineStr">
        <is>
          <t>nyu</t>
        </is>
      </c>
      <c r="R1431" t="inlineStr">
        <is>
          <t xml:space="preserve">RC </t>
        </is>
      </c>
      <c r="S1431" t="n">
        <v>5</v>
      </c>
      <c r="T1431" t="n">
        <v>5</v>
      </c>
      <c r="U1431" t="inlineStr">
        <is>
          <t>2004-02-12</t>
        </is>
      </c>
      <c r="V1431" t="inlineStr">
        <is>
          <t>2004-02-12</t>
        </is>
      </c>
      <c r="W1431" t="inlineStr">
        <is>
          <t>1997-03-18</t>
        </is>
      </c>
      <c r="X1431" t="inlineStr">
        <is>
          <t>1997-03-18</t>
        </is>
      </c>
      <c r="Y1431" t="n">
        <v>250</v>
      </c>
      <c r="Z1431" t="n">
        <v>230</v>
      </c>
      <c r="AA1431" t="n">
        <v>236</v>
      </c>
      <c r="AB1431" t="n">
        <v>1</v>
      </c>
      <c r="AC1431" t="n">
        <v>1</v>
      </c>
      <c r="AD1431" t="n">
        <v>11</v>
      </c>
      <c r="AE1431" t="n">
        <v>11</v>
      </c>
      <c r="AF1431" t="n">
        <v>3</v>
      </c>
      <c r="AG1431" t="n">
        <v>3</v>
      </c>
      <c r="AH1431" t="n">
        <v>3</v>
      </c>
      <c r="AI1431" t="n">
        <v>3</v>
      </c>
      <c r="AJ1431" t="n">
        <v>9</v>
      </c>
      <c r="AK1431" t="n">
        <v>9</v>
      </c>
      <c r="AL1431" t="n">
        <v>0</v>
      </c>
      <c r="AM1431" t="n">
        <v>0</v>
      </c>
      <c r="AN1431" t="n">
        <v>0</v>
      </c>
      <c r="AO1431" t="n">
        <v>0</v>
      </c>
      <c r="AP1431" t="inlineStr">
        <is>
          <t>No</t>
        </is>
      </c>
      <c r="AQ1431" t="inlineStr">
        <is>
          <t>Yes</t>
        </is>
      </c>
      <c r="AR1431">
        <f>HYPERLINK("http://catalog.hathitrust.org/Record/003124527","HathiTrust Record")</f>
        <v/>
      </c>
      <c r="AS1431">
        <f>HYPERLINK("https://creighton-primo.hosted.exlibrisgroup.com/primo-explore/search?tab=default_tab&amp;search_scope=EVERYTHING&amp;vid=01CRU&amp;lang=en_US&amp;offset=0&amp;query=any,contains,991002649809702656","Catalog Record")</f>
        <v/>
      </c>
      <c r="AT1431">
        <f>HYPERLINK("http://www.worldcat.org/oclc/34669041","WorldCat Record")</f>
        <v/>
      </c>
      <c r="AU1431" t="inlineStr">
        <is>
          <t>138800335:eng</t>
        </is>
      </c>
      <c r="AV1431" t="inlineStr">
        <is>
          <t>34669041</t>
        </is>
      </c>
      <c r="AW1431" t="inlineStr">
        <is>
          <t>991002649809702656</t>
        </is>
      </c>
      <c r="AX1431" t="inlineStr">
        <is>
          <t>991002649809702656</t>
        </is>
      </c>
      <c r="AY1431" t="inlineStr">
        <is>
          <t>2271344860002656</t>
        </is>
      </c>
      <c r="AZ1431" t="inlineStr">
        <is>
          <t>BOOK</t>
        </is>
      </c>
      <c r="BB1431" t="inlineStr">
        <is>
          <t>9780964443709</t>
        </is>
      </c>
      <c r="BC1431" t="inlineStr">
        <is>
          <t>32285002443843</t>
        </is>
      </c>
      <c r="BD1431" t="inlineStr">
        <is>
          <t>893421631</t>
        </is>
      </c>
    </row>
    <row r="1432">
      <c r="A1432" t="inlineStr">
        <is>
          <t>No</t>
        </is>
      </c>
      <c r="B1432" t="inlineStr">
        <is>
          <t>RC607.A26 C33 1990</t>
        </is>
      </c>
      <c r="C1432" t="inlineStr">
        <is>
          <t>0                      RC 0607000A  26                 C  33          1990</t>
        </is>
      </c>
      <c r="D1432" t="inlineStr">
        <is>
          <t>Surviving AIDS / Michael Callen.</t>
        </is>
      </c>
      <c r="F1432" t="inlineStr">
        <is>
          <t>No</t>
        </is>
      </c>
      <c r="G1432" t="inlineStr">
        <is>
          <t>1</t>
        </is>
      </c>
      <c r="H1432" t="inlineStr">
        <is>
          <t>No</t>
        </is>
      </c>
      <c r="I1432" t="inlineStr">
        <is>
          <t>No</t>
        </is>
      </c>
      <c r="J1432" t="inlineStr">
        <is>
          <t>0</t>
        </is>
      </c>
      <c r="K1432" t="inlineStr">
        <is>
          <t>Callen, Michael, 1955-1993.</t>
        </is>
      </c>
      <c r="L1432" t="inlineStr">
        <is>
          <t>New York : HarperCollins, c1990.</t>
        </is>
      </c>
      <c r="M1432" t="inlineStr">
        <is>
          <t>1990</t>
        </is>
      </c>
      <c r="N1432" t="inlineStr">
        <is>
          <t>1st ed.</t>
        </is>
      </c>
      <c r="O1432" t="inlineStr">
        <is>
          <t>eng</t>
        </is>
      </c>
      <c r="P1432" t="inlineStr">
        <is>
          <t>nyu</t>
        </is>
      </c>
      <c r="R1432" t="inlineStr">
        <is>
          <t xml:space="preserve">RC </t>
        </is>
      </c>
      <c r="S1432" t="n">
        <v>16</v>
      </c>
      <c r="T1432" t="n">
        <v>16</v>
      </c>
      <c r="U1432" t="inlineStr">
        <is>
          <t>2009-07-21</t>
        </is>
      </c>
      <c r="V1432" t="inlineStr">
        <is>
          <t>2009-07-21</t>
        </is>
      </c>
      <c r="W1432" t="inlineStr">
        <is>
          <t>1990-12-19</t>
        </is>
      </c>
      <c r="X1432" t="inlineStr">
        <is>
          <t>1990-12-19</t>
        </is>
      </c>
      <c r="Y1432" t="n">
        <v>523</v>
      </c>
      <c r="Z1432" t="n">
        <v>487</v>
      </c>
      <c r="AA1432" t="n">
        <v>566</v>
      </c>
      <c r="AB1432" t="n">
        <v>3</v>
      </c>
      <c r="AC1432" t="n">
        <v>3</v>
      </c>
      <c r="AD1432" t="n">
        <v>5</v>
      </c>
      <c r="AE1432" t="n">
        <v>7</v>
      </c>
      <c r="AF1432" t="n">
        <v>0</v>
      </c>
      <c r="AG1432" t="n">
        <v>0</v>
      </c>
      <c r="AH1432" t="n">
        <v>1</v>
      </c>
      <c r="AI1432" t="n">
        <v>1</v>
      </c>
      <c r="AJ1432" t="n">
        <v>3</v>
      </c>
      <c r="AK1432" t="n">
        <v>5</v>
      </c>
      <c r="AL1432" t="n">
        <v>0</v>
      </c>
      <c r="AM1432" t="n">
        <v>0</v>
      </c>
      <c r="AN1432" t="n">
        <v>1</v>
      </c>
      <c r="AO1432" t="n">
        <v>1</v>
      </c>
      <c r="AP1432" t="inlineStr">
        <is>
          <t>No</t>
        </is>
      </c>
      <c r="AQ1432" t="inlineStr">
        <is>
          <t>No</t>
        </is>
      </c>
      <c r="AS1432">
        <f>HYPERLINK("https://creighton-primo.hosted.exlibrisgroup.com/primo-explore/search?tab=default_tab&amp;search_scope=EVERYTHING&amp;vid=01CRU&amp;lang=en_US&amp;offset=0&amp;query=any,contains,991001663499702656","Catalog Record")</f>
        <v/>
      </c>
      <c r="AT1432">
        <f>HYPERLINK("http://www.worldcat.org/oclc/21036093","WorldCat Record")</f>
        <v/>
      </c>
      <c r="AU1432" t="inlineStr">
        <is>
          <t>53387247:eng</t>
        </is>
      </c>
      <c r="AV1432" t="inlineStr">
        <is>
          <t>21036093</t>
        </is>
      </c>
      <c r="AW1432" t="inlineStr">
        <is>
          <t>991001663499702656</t>
        </is>
      </c>
      <c r="AX1432" t="inlineStr">
        <is>
          <t>991001663499702656</t>
        </is>
      </c>
      <c r="AY1432" t="inlineStr">
        <is>
          <t>2272288490002656</t>
        </is>
      </c>
      <c r="AZ1432" t="inlineStr">
        <is>
          <t>BOOK</t>
        </is>
      </c>
      <c r="BB1432" t="inlineStr">
        <is>
          <t>9780060161484</t>
        </is>
      </c>
      <c r="BC1432" t="inlineStr">
        <is>
          <t>32285000405299</t>
        </is>
      </c>
      <c r="BD1432" t="inlineStr">
        <is>
          <t>893891707</t>
        </is>
      </c>
    </row>
    <row r="1433">
      <c r="A1433" t="inlineStr">
        <is>
          <t>No</t>
        </is>
      </c>
      <c r="B1433" t="inlineStr">
        <is>
          <t>RC607.A26 C35 1988</t>
        </is>
      </c>
      <c r="C1433" t="inlineStr">
        <is>
          <t>0                      RC 0607000A  26                 C  35          1988</t>
        </is>
      </c>
      <c r="D1433" t="inlineStr">
        <is>
          <t>AIDS and the doctors of death : an inquiry into the origin of the AIDS epidemic / Alan Cantwell, Jr. ; foreword by Jon Rappoport.</t>
        </is>
      </c>
      <c r="F1433" t="inlineStr">
        <is>
          <t>No</t>
        </is>
      </c>
      <c r="G1433" t="inlineStr">
        <is>
          <t>1</t>
        </is>
      </c>
      <c r="H1433" t="inlineStr">
        <is>
          <t>No</t>
        </is>
      </c>
      <c r="I1433" t="inlineStr">
        <is>
          <t>No</t>
        </is>
      </c>
      <c r="J1433" t="inlineStr">
        <is>
          <t>0</t>
        </is>
      </c>
      <c r="K1433" t="inlineStr">
        <is>
          <t>Cantwell, Alan, 1934-</t>
        </is>
      </c>
      <c r="L1433" t="inlineStr">
        <is>
          <t>Los Angeles : Aries Rising Press, c1988.</t>
        </is>
      </c>
      <c r="M1433" t="inlineStr">
        <is>
          <t>1988</t>
        </is>
      </c>
      <c r="O1433" t="inlineStr">
        <is>
          <t>eng</t>
        </is>
      </c>
      <c r="P1433" t="inlineStr">
        <is>
          <t>cau</t>
        </is>
      </c>
      <c r="R1433" t="inlineStr">
        <is>
          <t xml:space="preserve">RC </t>
        </is>
      </c>
      <c r="S1433" t="n">
        <v>17</v>
      </c>
      <c r="T1433" t="n">
        <v>17</v>
      </c>
      <c r="U1433" t="inlineStr">
        <is>
          <t>2009-03-23</t>
        </is>
      </c>
      <c r="V1433" t="inlineStr">
        <is>
          <t>2009-03-23</t>
        </is>
      </c>
      <c r="W1433" t="inlineStr">
        <is>
          <t>1990-06-13</t>
        </is>
      </c>
      <c r="X1433" t="inlineStr">
        <is>
          <t>1990-06-13</t>
        </is>
      </c>
      <c r="Y1433" t="n">
        <v>317</v>
      </c>
      <c r="Z1433" t="n">
        <v>294</v>
      </c>
      <c r="AA1433" t="n">
        <v>299</v>
      </c>
      <c r="AB1433" t="n">
        <v>4</v>
      </c>
      <c r="AC1433" t="n">
        <v>4</v>
      </c>
      <c r="AD1433" t="n">
        <v>10</v>
      </c>
      <c r="AE1433" t="n">
        <v>10</v>
      </c>
      <c r="AF1433" t="n">
        <v>2</v>
      </c>
      <c r="AG1433" t="n">
        <v>2</v>
      </c>
      <c r="AH1433" t="n">
        <v>3</v>
      </c>
      <c r="AI1433" t="n">
        <v>3</v>
      </c>
      <c r="AJ1433" t="n">
        <v>3</v>
      </c>
      <c r="AK1433" t="n">
        <v>3</v>
      </c>
      <c r="AL1433" t="n">
        <v>2</v>
      </c>
      <c r="AM1433" t="n">
        <v>2</v>
      </c>
      <c r="AN1433" t="n">
        <v>1</v>
      </c>
      <c r="AO1433" t="n">
        <v>1</v>
      </c>
      <c r="AP1433" t="inlineStr">
        <is>
          <t>No</t>
        </is>
      </c>
      <c r="AQ1433" t="inlineStr">
        <is>
          <t>No</t>
        </is>
      </c>
      <c r="AS1433">
        <f>HYPERLINK("https://creighton-primo.hosted.exlibrisgroup.com/primo-explore/search?tab=default_tab&amp;search_scope=EVERYTHING&amp;vid=01CRU&amp;lang=en_US&amp;offset=0&amp;query=any,contains,991001200289702656","Catalog Record")</f>
        <v/>
      </c>
      <c r="AT1433">
        <f>HYPERLINK("http://www.worldcat.org/oclc/17300751","WorldCat Record")</f>
        <v/>
      </c>
      <c r="AU1433" t="inlineStr">
        <is>
          <t>15391156:eng</t>
        </is>
      </c>
      <c r="AV1433" t="inlineStr">
        <is>
          <t>17300751</t>
        </is>
      </c>
      <c r="AW1433" t="inlineStr">
        <is>
          <t>991001200289702656</t>
        </is>
      </c>
      <c r="AX1433" t="inlineStr">
        <is>
          <t>991001200289702656</t>
        </is>
      </c>
      <c r="AY1433" t="inlineStr">
        <is>
          <t>2267741320002656</t>
        </is>
      </c>
      <c r="AZ1433" t="inlineStr">
        <is>
          <t>BOOK</t>
        </is>
      </c>
      <c r="BB1433" t="inlineStr">
        <is>
          <t>9780917211003</t>
        </is>
      </c>
      <c r="BC1433" t="inlineStr">
        <is>
          <t>32285000191576</t>
        </is>
      </c>
      <c r="BD1433" t="inlineStr">
        <is>
          <t>893778636</t>
        </is>
      </c>
    </row>
    <row r="1434">
      <c r="A1434" t="inlineStr">
        <is>
          <t>No</t>
        </is>
      </c>
      <c r="B1434" t="inlineStr">
        <is>
          <t>RC607.A26 C37 1990</t>
        </is>
      </c>
      <c r="C1434" t="inlineStr">
        <is>
          <t>0                      RC 0607000A  26                 C  37          1990</t>
        </is>
      </c>
      <c r="D1434" t="inlineStr">
        <is>
          <t>Called to compassion and responsibility : a response to the HIV/AIDS crisis / National Conference of Catholic Bishops.</t>
        </is>
      </c>
      <c r="F1434" t="inlineStr">
        <is>
          <t>No</t>
        </is>
      </c>
      <c r="G1434" t="inlineStr">
        <is>
          <t>1</t>
        </is>
      </c>
      <c r="H1434" t="inlineStr">
        <is>
          <t>No</t>
        </is>
      </c>
      <c r="I1434" t="inlineStr">
        <is>
          <t>No</t>
        </is>
      </c>
      <c r="J1434" t="inlineStr">
        <is>
          <t>0</t>
        </is>
      </c>
      <c r="K1434" t="inlineStr">
        <is>
          <t>Catholic Church. National Conference of Catholic Bishops.</t>
        </is>
      </c>
      <c r="L1434" t="inlineStr">
        <is>
          <t>Washington, D.C. : United States Catholic Conference, [1989], c1990.</t>
        </is>
      </c>
      <c r="M1434" t="inlineStr">
        <is>
          <t>1990</t>
        </is>
      </c>
      <c r="O1434" t="inlineStr">
        <is>
          <t>eng</t>
        </is>
      </c>
      <c r="P1434" t="inlineStr">
        <is>
          <t>dcu</t>
        </is>
      </c>
      <c r="Q1434" t="inlineStr">
        <is>
          <t>Publication / Office for Publishing and Promotion Services, United States Catholic Conference ; no. 327-2</t>
        </is>
      </c>
      <c r="R1434" t="inlineStr">
        <is>
          <t xml:space="preserve">RC </t>
        </is>
      </c>
      <c r="S1434" t="n">
        <v>24</v>
      </c>
      <c r="T1434" t="n">
        <v>24</v>
      </c>
      <c r="U1434" t="inlineStr">
        <is>
          <t>2004-10-04</t>
        </is>
      </c>
      <c r="V1434" t="inlineStr">
        <is>
          <t>2004-10-04</t>
        </is>
      </c>
      <c r="W1434" t="inlineStr">
        <is>
          <t>1990-04-20</t>
        </is>
      </c>
      <c r="X1434" t="inlineStr">
        <is>
          <t>1990-04-20</t>
        </is>
      </c>
      <c r="Y1434" t="n">
        <v>96</v>
      </c>
      <c r="Z1434" t="n">
        <v>95</v>
      </c>
      <c r="AA1434" t="n">
        <v>102</v>
      </c>
      <c r="AB1434" t="n">
        <v>1</v>
      </c>
      <c r="AC1434" t="n">
        <v>1</v>
      </c>
      <c r="AD1434" t="n">
        <v>14</v>
      </c>
      <c r="AE1434" t="n">
        <v>14</v>
      </c>
      <c r="AF1434" t="n">
        <v>4</v>
      </c>
      <c r="AG1434" t="n">
        <v>4</v>
      </c>
      <c r="AH1434" t="n">
        <v>4</v>
      </c>
      <c r="AI1434" t="n">
        <v>4</v>
      </c>
      <c r="AJ1434" t="n">
        <v>12</v>
      </c>
      <c r="AK1434" t="n">
        <v>12</v>
      </c>
      <c r="AL1434" t="n">
        <v>0</v>
      </c>
      <c r="AM1434" t="n">
        <v>0</v>
      </c>
      <c r="AN1434" t="n">
        <v>0</v>
      </c>
      <c r="AO1434" t="n">
        <v>0</v>
      </c>
      <c r="AP1434" t="inlineStr">
        <is>
          <t>No</t>
        </is>
      </c>
      <c r="AQ1434" t="inlineStr">
        <is>
          <t>Yes</t>
        </is>
      </c>
      <c r="AR1434">
        <f>HYPERLINK("http://catalog.hathitrust.org/Record/012285426","HathiTrust Record")</f>
        <v/>
      </c>
      <c r="AS1434">
        <f>HYPERLINK("https://creighton-primo.hosted.exlibrisgroup.com/primo-explore/search?tab=default_tab&amp;search_scope=EVERYTHING&amp;vid=01CRU&amp;lang=en_US&amp;offset=0&amp;query=any,contains,991001669989702656","Catalog Record")</f>
        <v/>
      </c>
      <c r="AT1434">
        <f>HYPERLINK("http://www.worldcat.org/oclc/21266752","WorldCat Record")</f>
        <v/>
      </c>
      <c r="AU1434" t="inlineStr">
        <is>
          <t>23057415:eng</t>
        </is>
      </c>
      <c r="AV1434" t="inlineStr">
        <is>
          <t>21266752</t>
        </is>
      </c>
      <c r="AW1434" t="inlineStr">
        <is>
          <t>991001669989702656</t>
        </is>
      </c>
      <c r="AX1434" t="inlineStr">
        <is>
          <t>991001669989702656</t>
        </is>
      </c>
      <c r="AY1434" t="inlineStr">
        <is>
          <t>2260510770002656</t>
        </is>
      </c>
      <c r="AZ1434" t="inlineStr">
        <is>
          <t>BOOK</t>
        </is>
      </c>
      <c r="BB1434" t="inlineStr">
        <is>
          <t>9781555863272</t>
        </is>
      </c>
      <c r="BC1434" t="inlineStr">
        <is>
          <t>32285000022102</t>
        </is>
      </c>
      <c r="BD1434" t="inlineStr">
        <is>
          <t>893615291</t>
        </is>
      </c>
    </row>
    <row r="1435">
      <c r="A1435" t="inlineStr">
        <is>
          <t>No</t>
        </is>
      </c>
      <c r="B1435" t="inlineStr">
        <is>
          <t>RC607.A26 C4783 1995</t>
        </is>
      </c>
      <c r="C1435" t="inlineStr">
        <is>
          <t>0                      RC 0607000A  26                 C  4783        1995</t>
        </is>
      </c>
      <c r="D1435" t="inlineStr">
        <is>
          <t>The hurry-up song : a memoir of losing my brother / Clifford Chase.</t>
        </is>
      </c>
      <c r="F1435" t="inlineStr">
        <is>
          <t>No</t>
        </is>
      </c>
      <c r="G1435" t="inlineStr">
        <is>
          <t>1</t>
        </is>
      </c>
      <c r="H1435" t="inlineStr">
        <is>
          <t>No</t>
        </is>
      </c>
      <c r="I1435" t="inlineStr">
        <is>
          <t>No</t>
        </is>
      </c>
      <c r="J1435" t="inlineStr">
        <is>
          <t>0</t>
        </is>
      </c>
      <c r="K1435" t="inlineStr">
        <is>
          <t>Chase, Clifford.</t>
        </is>
      </c>
      <c r="L1435" t="inlineStr">
        <is>
          <t>[San Francisco] : HarperSan Francisco, c1995.</t>
        </is>
      </c>
      <c r="M1435" t="inlineStr">
        <is>
          <t>1995</t>
        </is>
      </c>
      <c r="N1435" t="inlineStr">
        <is>
          <t>1st ed.</t>
        </is>
      </c>
      <c r="O1435" t="inlineStr">
        <is>
          <t>eng</t>
        </is>
      </c>
      <c r="P1435" t="inlineStr">
        <is>
          <t>cau</t>
        </is>
      </c>
      <c r="R1435" t="inlineStr">
        <is>
          <t xml:space="preserve">RC </t>
        </is>
      </c>
      <c r="S1435" t="n">
        <v>2</v>
      </c>
      <c r="T1435" t="n">
        <v>2</v>
      </c>
      <c r="U1435" t="inlineStr">
        <is>
          <t>2010-01-25</t>
        </is>
      </c>
      <c r="V1435" t="inlineStr">
        <is>
          <t>2010-01-25</t>
        </is>
      </c>
      <c r="W1435" t="inlineStr">
        <is>
          <t>1997-02-07</t>
        </is>
      </c>
      <c r="X1435" t="inlineStr">
        <is>
          <t>1997-02-07</t>
        </is>
      </c>
      <c r="Y1435" t="n">
        <v>132</v>
      </c>
      <c r="Z1435" t="n">
        <v>128</v>
      </c>
      <c r="AA1435" t="n">
        <v>160</v>
      </c>
      <c r="AB1435" t="n">
        <v>2</v>
      </c>
      <c r="AC1435" t="n">
        <v>2</v>
      </c>
      <c r="AD1435" t="n">
        <v>4</v>
      </c>
      <c r="AE1435" t="n">
        <v>5</v>
      </c>
      <c r="AF1435" t="n">
        <v>0</v>
      </c>
      <c r="AG1435" t="n">
        <v>0</v>
      </c>
      <c r="AH1435" t="n">
        <v>0</v>
      </c>
      <c r="AI1435" t="n">
        <v>1</v>
      </c>
      <c r="AJ1435" t="n">
        <v>3</v>
      </c>
      <c r="AK1435" t="n">
        <v>4</v>
      </c>
      <c r="AL1435" t="n">
        <v>1</v>
      </c>
      <c r="AM1435" t="n">
        <v>1</v>
      </c>
      <c r="AN1435" t="n">
        <v>0</v>
      </c>
      <c r="AO1435" t="n">
        <v>0</v>
      </c>
      <c r="AP1435" t="inlineStr">
        <is>
          <t>No</t>
        </is>
      </c>
      <c r="AQ1435" t="inlineStr">
        <is>
          <t>Yes</t>
        </is>
      </c>
      <c r="AR1435">
        <f>HYPERLINK("http://catalog.hathitrust.org/Record/008744932","HathiTrust Record")</f>
        <v/>
      </c>
      <c r="AS1435">
        <f>HYPERLINK("https://creighton-primo.hosted.exlibrisgroup.com/primo-explore/search?tab=default_tab&amp;search_scope=EVERYTHING&amp;vid=01CRU&amp;lang=en_US&amp;offset=0&amp;query=any,contains,991002375259702656","Catalog Record")</f>
        <v/>
      </c>
      <c r="AT1435">
        <f>HYPERLINK("http://www.worldcat.org/oclc/30893668","WorldCat Record")</f>
        <v/>
      </c>
      <c r="AU1435" t="inlineStr">
        <is>
          <t>908273004:eng</t>
        </is>
      </c>
      <c r="AV1435" t="inlineStr">
        <is>
          <t>30893668</t>
        </is>
      </c>
      <c r="AW1435" t="inlineStr">
        <is>
          <t>991002375259702656</t>
        </is>
      </c>
      <c r="AX1435" t="inlineStr">
        <is>
          <t>991002375259702656</t>
        </is>
      </c>
      <c r="AY1435" t="inlineStr">
        <is>
          <t>2267200290002656</t>
        </is>
      </c>
      <c r="AZ1435" t="inlineStr">
        <is>
          <t>BOOK</t>
        </is>
      </c>
      <c r="BB1435" t="inlineStr">
        <is>
          <t>9780062510198</t>
        </is>
      </c>
      <c r="BC1435" t="inlineStr">
        <is>
          <t>32285002430014</t>
        </is>
      </c>
      <c r="BD1435" t="inlineStr">
        <is>
          <t>893798511</t>
        </is>
      </c>
    </row>
    <row r="1436">
      <c r="A1436" t="inlineStr">
        <is>
          <t>No</t>
        </is>
      </c>
      <c r="B1436" t="inlineStr">
        <is>
          <t>RC607.A26 D84 1996</t>
        </is>
      </c>
      <c r="C1436" t="inlineStr">
        <is>
          <t>0                      RC 0607000A  26                 D  84          1996</t>
        </is>
      </c>
      <c r="D1436" t="inlineStr">
        <is>
          <t>Inventing the AIDS virus / Peter Duesberg.</t>
        </is>
      </c>
      <c r="F1436" t="inlineStr">
        <is>
          <t>No</t>
        </is>
      </c>
      <c r="G1436" t="inlineStr">
        <is>
          <t>1</t>
        </is>
      </c>
      <c r="H1436" t="inlineStr">
        <is>
          <t>No</t>
        </is>
      </c>
      <c r="I1436" t="inlineStr">
        <is>
          <t>No</t>
        </is>
      </c>
      <c r="J1436" t="inlineStr">
        <is>
          <t>0</t>
        </is>
      </c>
      <c r="K1436" t="inlineStr">
        <is>
          <t>Duesberg, Peter.</t>
        </is>
      </c>
      <c r="L1436" t="inlineStr">
        <is>
          <t>Washington, D.C. : Regnery Publishing ; Lanham, MD : Distributed to the trade by National Book Network, c1996.</t>
        </is>
      </c>
      <c r="M1436" t="inlineStr">
        <is>
          <t>1996</t>
        </is>
      </c>
      <c r="O1436" t="inlineStr">
        <is>
          <t>eng</t>
        </is>
      </c>
      <c r="P1436" t="inlineStr">
        <is>
          <t>dcu</t>
        </is>
      </c>
      <c r="R1436" t="inlineStr">
        <is>
          <t xml:space="preserve">RC </t>
        </is>
      </c>
      <c r="S1436" t="n">
        <v>8</v>
      </c>
      <c r="T1436" t="n">
        <v>8</v>
      </c>
      <c r="U1436" t="inlineStr">
        <is>
          <t>2000-01-10</t>
        </is>
      </c>
      <c r="V1436" t="inlineStr">
        <is>
          <t>2000-01-10</t>
        </is>
      </c>
      <c r="W1436" t="inlineStr">
        <is>
          <t>1996-07-15</t>
        </is>
      </c>
      <c r="X1436" t="inlineStr">
        <is>
          <t>1996-07-15</t>
        </is>
      </c>
      <c r="Y1436" t="n">
        <v>771</v>
      </c>
      <c r="Z1436" t="n">
        <v>714</v>
      </c>
      <c r="AA1436" t="n">
        <v>732</v>
      </c>
      <c r="AB1436" t="n">
        <v>3</v>
      </c>
      <c r="AC1436" t="n">
        <v>3</v>
      </c>
      <c r="AD1436" t="n">
        <v>17</v>
      </c>
      <c r="AE1436" t="n">
        <v>17</v>
      </c>
      <c r="AF1436" t="n">
        <v>5</v>
      </c>
      <c r="AG1436" t="n">
        <v>5</v>
      </c>
      <c r="AH1436" t="n">
        <v>3</v>
      </c>
      <c r="AI1436" t="n">
        <v>3</v>
      </c>
      <c r="AJ1436" t="n">
        <v>11</v>
      </c>
      <c r="AK1436" t="n">
        <v>11</v>
      </c>
      <c r="AL1436" t="n">
        <v>1</v>
      </c>
      <c r="AM1436" t="n">
        <v>1</v>
      </c>
      <c r="AN1436" t="n">
        <v>1</v>
      </c>
      <c r="AO1436" t="n">
        <v>1</v>
      </c>
      <c r="AP1436" t="inlineStr">
        <is>
          <t>No</t>
        </is>
      </c>
      <c r="AQ1436" t="inlineStr">
        <is>
          <t>No</t>
        </is>
      </c>
      <c r="AS1436">
        <f>HYPERLINK("https://creighton-primo.hosted.exlibrisgroup.com/primo-explore/search?tab=default_tab&amp;search_scope=EVERYTHING&amp;vid=01CRU&amp;lang=en_US&amp;offset=0&amp;query=any,contains,991002560069702656","Catalog Record")</f>
        <v/>
      </c>
      <c r="AT1436">
        <f>HYPERLINK("http://www.worldcat.org/oclc/33276899","WorldCat Record")</f>
        <v/>
      </c>
      <c r="AU1436" t="inlineStr">
        <is>
          <t>138496196:eng</t>
        </is>
      </c>
      <c r="AV1436" t="inlineStr">
        <is>
          <t>33276899</t>
        </is>
      </c>
      <c r="AW1436" t="inlineStr">
        <is>
          <t>991002560069702656</t>
        </is>
      </c>
      <c r="AX1436" t="inlineStr">
        <is>
          <t>991002560069702656</t>
        </is>
      </c>
      <c r="AY1436" t="inlineStr">
        <is>
          <t>2257697720002656</t>
        </is>
      </c>
      <c r="AZ1436" t="inlineStr">
        <is>
          <t>BOOK</t>
        </is>
      </c>
      <c r="BB1436" t="inlineStr">
        <is>
          <t>9780895264701</t>
        </is>
      </c>
      <c r="BC1436" t="inlineStr">
        <is>
          <t>32285002212222</t>
        </is>
      </c>
      <c r="BD1436" t="inlineStr">
        <is>
          <t>893798727</t>
        </is>
      </c>
    </row>
    <row r="1437">
      <c r="A1437" t="inlineStr">
        <is>
          <t>No</t>
        </is>
      </c>
      <c r="B1437" t="inlineStr">
        <is>
          <t>RC607.A26 F35 1991</t>
        </is>
      </c>
      <c r="C1437" t="inlineStr">
        <is>
          <t>0                      RC 0607000A  26                 F  35          1991</t>
        </is>
      </c>
      <c r="D1437" t="inlineStr">
        <is>
          <t>The biology of AIDS / Hung Fan, Ross F. Connor [sic], Luis P. Villarreal.</t>
        </is>
      </c>
      <c r="F1437" t="inlineStr">
        <is>
          <t>No</t>
        </is>
      </c>
      <c r="G1437" t="inlineStr">
        <is>
          <t>1</t>
        </is>
      </c>
      <c r="H1437" t="inlineStr">
        <is>
          <t>No</t>
        </is>
      </c>
      <c r="I1437" t="inlineStr">
        <is>
          <t>Yes</t>
        </is>
      </c>
      <c r="J1437" t="inlineStr">
        <is>
          <t>0</t>
        </is>
      </c>
      <c r="K1437" t="inlineStr">
        <is>
          <t>Fan, Hung, 1947-</t>
        </is>
      </c>
      <c r="L1437" t="inlineStr">
        <is>
          <t>Boston : Jones and Bartlett, c1991.</t>
        </is>
      </c>
      <c r="M1437" t="inlineStr">
        <is>
          <t>1991</t>
        </is>
      </c>
      <c r="N1437" t="inlineStr">
        <is>
          <t>2nd ed.</t>
        </is>
      </c>
      <c r="O1437" t="inlineStr">
        <is>
          <t>eng</t>
        </is>
      </c>
      <c r="P1437" t="inlineStr">
        <is>
          <t>mau</t>
        </is>
      </c>
      <c r="Q1437" t="inlineStr">
        <is>
          <t>The Jones and Bartlett series in biology</t>
        </is>
      </c>
      <c r="R1437" t="inlineStr">
        <is>
          <t xml:space="preserve">RC </t>
        </is>
      </c>
      <c r="S1437" t="n">
        <v>52</v>
      </c>
      <c r="T1437" t="n">
        <v>52</v>
      </c>
      <c r="U1437" t="inlineStr">
        <is>
          <t>2010-10-29</t>
        </is>
      </c>
      <c r="V1437" t="inlineStr">
        <is>
          <t>2010-10-29</t>
        </is>
      </c>
      <c r="W1437" t="inlineStr">
        <is>
          <t>1992-05-08</t>
        </is>
      </c>
      <c r="X1437" t="inlineStr">
        <is>
          <t>1992-05-08</t>
        </is>
      </c>
      <c r="Y1437" t="n">
        <v>332</v>
      </c>
      <c r="Z1437" t="n">
        <v>292</v>
      </c>
      <c r="AA1437" t="n">
        <v>639</v>
      </c>
      <c r="AB1437" t="n">
        <v>3</v>
      </c>
      <c r="AC1437" t="n">
        <v>6</v>
      </c>
      <c r="AD1437" t="n">
        <v>6</v>
      </c>
      <c r="AE1437" t="n">
        <v>28</v>
      </c>
      <c r="AF1437" t="n">
        <v>2</v>
      </c>
      <c r="AG1437" t="n">
        <v>10</v>
      </c>
      <c r="AH1437" t="n">
        <v>0</v>
      </c>
      <c r="AI1437" t="n">
        <v>6</v>
      </c>
      <c r="AJ1437" t="n">
        <v>3</v>
      </c>
      <c r="AK1437" t="n">
        <v>15</v>
      </c>
      <c r="AL1437" t="n">
        <v>2</v>
      </c>
      <c r="AM1437" t="n">
        <v>4</v>
      </c>
      <c r="AN1437" t="n">
        <v>0</v>
      </c>
      <c r="AO1437" t="n">
        <v>1</v>
      </c>
      <c r="AP1437" t="inlineStr">
        <is>
          <t>No</t>
        </is>
      </c>
      <c r="AQ1437" t="inlineStr">
        <is>
          <t>No</t>
        </is>
      </c>
      <c r="AS1437">
        <f>HYPERLINK("https://creighton-primo.hosted.exlibrisgroup.com/primo-explore/search?tab=default_tab&amp;search_scope=EVERYTHING&amp;vid=01CRU&amp;lang=en_US&amp;offset=0&amp;query=any,contains,991001805799702656","Catalog Record")</f>
        <v/>
      </c>
      <c r="AT1437">
        <f>HYPERLINK("http://www.worldcat.org/oclc/22706361","WorldCat Record")</f>
        <v/>
      </c>
      <c r="AU1437" t="inlineStr">
        <is>
          <t>374690:eng</t>
        </is>
      </c>
      <c r="AV1437" t="inlineStr">
        <is>
          <t>22706361</t>
        </is>
      </c>
      <c r="AW1437" t="inlineStr">
        <is>
          <t>991001805799702656</t>
        </is>
      </c>
      <c r="AX1437" t="inlineStr">
        <is>
          <t>991001805799702656</t>
        </is>
      </c>
      <c r="AY1437" t="inlineStr">
        <is>
          <t>2257566510002656</t>
        </is>
      </c>
      <c r="AZ1437" t="inlineStr">
        <is>
          <t>BOOK</t>
        </is>
      </c>
      <c r="BB1437" t="inlineStr">
        <is>
          <t>9780867201789</t>
        </is>
      </c>
      <c r="BC1437" t="inlineStr">
        <is>
          <t>32285001039550</t>
        </is>
      </c>
      <c r="BD1437" t="inlineStr">
        <is>
          <t>893408381</t>
        </is>
      </c>
    </row>
    <row r="1438">
      <c r="A1438" t="inlineStr">
        <is>
          <t>No</t>
        </is>
      </c>
      <c r="B1438" t="inlineStr">
        <is>
          <t>RC607.A26 F48 1984</t>
        </is>
      </c>
      <c r="C1438" t="inlineStr">
        <is>
          <t>0                      RC 0607000A  26                 F  48          1984</t>
        </is>
      </c>
      <c r="D1438" t="inlineStr">
        <is>
          <t>The truth about AIDS : evolution of an epidemic / Ann Giudici Fettner and William A. Check ; foreword by Bijan Safai.</t>
        </is>
      </c>
      <c r="F1438" t="inlineStr">
        <is>
          <t>No</t>
        </is>
      </c>
      <c r="G1438" t="inlineStr">
        <is>
          <t>1</t>
        </is>
      </c>
      <c r="H1438" t="inlineStr">
        <is>
          <t>No</t>
        </is>
      </c>
      <c r="I1438" t="inlineStr">
        <is>
          <t>No</t>
        </is>
      </c>
      <c r="J1438" t="inlineStr">
        <is>
          <t>0</t>
        </is>
      </c>
      <c r="K1438" t="inlineStr">
        <is>
          <t>Fettner, Ann Giudici.</t>
        </is>
      </c>
      <c r="L1438" t="inlineStr">
        <is>
          <t>New York : Holt, Rinehart and Winston, c1984.</t>
        </is>
      </c>
      <c r="M1438" t="inlineStr">
        <is>
          <t>1984</t>
        </is>
      </c>
      <c r="N1438" t="inlineStr">
        <is>
          <t>1st ed.</t>
        </is>
      </c>
      <c r="O1438" t="inlineStr">
        <is>
          <t>eng</t>
        </is>
      </c>
      <c r="P1438" t="inlineStr">
        <is>
          <t>nyu</t>
        </is>
      </c>
      <c r="R1438" t="inlineStr">
        <is>
          <t xml:space="preserve">RC </t>
        </is>
      </c>
      <c r="S1438" t="n">
        <v>15</v>
      </c>
      <c r="T1438" t="n">
        <v>15</v>
      </c>
      <c r="U1438" t="inlineStr">
        <is>
          <t>1995-12-19</t>
        </is>
      </c>
      <c r="V1438" t="inlineStr">
        <is>
          <t>1995-12-19</t>
        </is>
      </c>
      <c r="W1438" t="inlineStr">
        <is>
          <t>1995-01-25</t>
        </is>
      </c>
      <c r="X1438" t="inlineStr">
        <is>
          <t>1995-01-25</t>
        </is>
      </c>
      <c r="Y1438" t="n">
        <v>579</v>
      </c>
      <c r="Z1438" t="n">
        <v>546</v>
      </c>
      <c r="AA1438" t="n">
        <v>878</v>
      </c>
      <c r="AB1438" t="n">
        <v>2</v>
      </c>
      <c r="AC1438" t="n">
        <v>5</v>
      </c>
      <c r="AD1438" t="n">
        <v>8</v>
      </c>
      <c r="AE1438" t="n">
        <v>19</v>
      </c>
      <c r="AF1438" t="n">
        <v>2</v>
      </c>
      <c r="AG1438" t="n">
        <v>5</v>
      </c>
      <c r="AH1438" t="n">
        <v>3</v>
      </c>
      <c r="AI1438" t="n">
        <v>3</v>
      </c>
      <c r="AJ1438" t="n">
        <v>4</v>
      </c>
      <c r="AK1438" t="n">
        <v>11</v>
      </c>
      <c r="AL1438" t="n">
        <v>1</v>
      </c>
      <c r="AM1438" t="n">
        <v>3</v>
      </c>
      <c r="AN1438" t="n">
        <v>0</v>
      </c>
      <c r="AO1438" t="n">
        <v>1</v>
      </c>
      <c r="AP1438" t="inlineStr">
        <is>
          <t>No</t>
        </is>
      </c>
      <c r="AQ1438" t="inlineStr">
        <is>
          <t>Yes</t>
        </is>
      </c>
      <c r="AR1438">
        <f>HYPERLINK("http://catalog.hathitrust.org/Record/000604594","HathiTrust Record")</f>
        <v/>
      </c>
      <c r="AS1438">
        <f>HYPERLINK("https://creighton-primo.hosted.exlibrisgroup.com/primo-explore/search?tab=default_tab&amp;search_scope=EVERYTHING&amp;vid=01CRU&amp;lang=en_US&amp;offset=0&amp;query=any,contains,991000326579702656","Catalog Record")</f>
        <v/>
      </c>
      <c r="AT1438">
        <f>HYPERLINK("http://www.worldcat.org/oclc/10183152","WorldCat Record")</f>
        <v/>
      </c>
      <c r="AU1438" t="inlineStr">
        <is>
          <t>3348995:eng</t>
        </is>
      </c>
      <c r="AV1438" t="inlineStr">
        <is>
          <t>10183152</t>
        </is>
      </c>
      <c r="AW1438" t="inlineStr">
        <is>
          <t>991000326579702656</t>
        </is>
      </c>
      <c r="AX1438" t="inlineStr">
        <is>
          <t>991000326579702656</t>
        </is>
      </c>
      <c r="AY1438" t="inlineStr">
        <is>
          <t>2270690700002656</t>
        </is>
      </c>
      <c r="AZ1438" t="inlineStr">
        <is>
          <t>BOOK</t>
        </is>
      </c>
      <c r="BB1438" t="inlineStr">
        <is>
          <t>9780030695391</t>
        </is>
      </c>
      <c r="BC1438" t="inlineStr">
        <is>
          <t>32285001778900</t>
        </is>
      </c>
      <c r="BD1438" t="inlineStr">
        <is>
          <t>893419368</t>
        </is>
      </c>
    </row>
    <row r="1439">
      <c r="A1439" t="inlineStr">
        <is>
          <t>No</t>
        </is>
      </c>
      <c r="B1439" t="inlineStr">
        <is>
          <t>RC607.A26 F55 1995</t>
        </is>
      </c>
      <c r="C1439" t="inlineStr">
        <is>
          <t>0                      RC 0607000A  26                 F  55          1995</t>
        </is>
      </c>
      <c r="D1439" t="inlineStr">
        <is>
          <t>I'll not go quietly : Mary Fisher speaks out / Mary Fisher ; with an introduction by Katie Couric.</t>
        </is>
      </c>
      <c r="F1439" t="inlineStr">
        <is>
          <t>No</t>
        </is>
      </c>
      <c r="G1439" t="inlineStr">
        <is>
          <t>1</t>
        </is>
      </c>
      <c r="H1439" t="inlineStr">
        <is>
          <t>No</t>
        </is>
      </c>
      <c r="I1439" t="inlineStr">
        <is>
          <t>No</t>
        </is>
      </c>
      <c r="J1439" t="inlineStr">
        <is>
          <t>0</t>
        </is>
      </c>
      <c r="K1439" t="inlineStr">
        <is>
          <t>Fisher, Mary, 1948-</t>
        </is>
      </c>
      <c r="L1439" t="inlineStr">
        <is>
          <t>New York : Scribner, c1995.</t>
        </is>
      </c>
      <c r="M1439" t="inlineStr">
        <is>
          <t>1995</t>
        </is>
      </c>
      <c r="O1439" t="inlineStr">
        <is>
          <t>eng</t>
        </is>
      </c>
      <c r="P1439" t="inlineStr">
        <is>
          <t>nyu</t>
        </is>
      </c>
      <c r="R1439" t="inlineStr">
        <is>
          <t xml:space="preserve">RC </t>
        </is>
      </c>
      <c r="S1439" t="n">
        <v>6</v>
      </c>
      <c r="T1439" t="n">
        <v>6</v>
      </c>
      <c r="U1439" t="inlineStr">
        <is>
          <t>2003-03-21</t>
        </is>
      </c>
      <c r="V1439" t="inlineStr">
        <is>
          <t>2003-03-21</t>
        </is>
      </c>
      <c r="W1439" t="inlineStr">
        <is>
          <t>1995-10-23</t>
        </is>
      </c>
      <c r="X1439" t="inlineStr">
        <is>
          <t>1995-10-23</t>
        </is>
      </c>
      <c r="Y1439" t="n">
        <v>433</v>
      </c>
      <c r="Z1439" t="n">
        <v>417</v>
      </c>
      <c r="AA1439" t="n">
        <v>424</v>
      </c>
      <c r="AB1439" t="n">
        <v>4</v>
      </c>
      <c r="AC1439" t="n">
        <v>4</v>
      </c>
      <c r="AD1439" t="n">
        <v>11</v>
      </c>
      <c r="AE1439" t="n">
        <v>11</v>
      </c>
      <c r="AF1439" t="n">
        <v>3</v>
      </c>
      <c r="AG1439" t="n">
        <v>3</v>
      </c>
      <c r="AH1439" t="n">
        <v>2</v>
      </c>
      <c r="AI1439" t="n">
        <v>2</v>
      </c>
      <c r="AJ1439" t="n">
        <v>4</v>
      </c>
      <c r="AK1439" t="n">
        <v>4</v>
      </c>
      <c r="AL1439" t="n">
        <v>2</v>
      </c>
      <c r="AM1439" t="n">
        <v>2</v>
      </c>
      <c r="AN1439" t="n">
        <v>0</v>
      </c>
      <c r="AO1439" t="n">
        <v>0</v>
      </c>
      <c r="AP1439" t="inlineStr">
        <is>
          <t>No</t>
        </is>
      </c>
      <c r="AQ1439" t="inlineStr">
        <is>
          <t>No</t>
        </is>
      </c>
      <c r="AS1439">
        <f>HYPERLINK("https://creighton-primo.hosted.exlibrisgroup.com/primo-explore/search?tab=default_tab&amp;search_scope=EVERYTHING&amp;vid=01CRU&amp;lang=en_US&amp;offset=0&amp;query=any,contains,991002466779702656","Catalog Record")</f>
        <v/>
      </c>
      <c r="AT1439">
        <f>HYPERLINK("http://www.worldcat.org/oclc/32132855","WorldCat Record")</f>
        <v/>
      </c>
      <c r="AU1439" t="inlineStr">
        <is>
          <t>34419333:eng</t>
        </is>
      </c>
      <c r="AV1439" t="inlineStr">
        <is>
          <t>32132855</t>
        </is>
      </c>
      <c r="AW1439" t="inlineStr">
        <is>
          <t>991002466779702656</t>
        </is>
      </c>
      <c r="AX1439" t="inlineStr">
        <is>
          <t>991002466779702656</t>
        </is>
      </c>
      <c r="AY1439" t="inlineStr">
        <is>
          <t>2262173100002656</t>
        </is>
      </c>
      <c r="AZ1439" t="inlineStr">
        <is>
          <t>BOOK</t>
        </is>
      </c>
      <c r="BB1439" t="inlineStr">
        <is>
          <t>9780684800745</t>
        </is>
      </c>
      <c r="BC1439" t="inlineStr">
        <is>
          <t>32285002096922</t>
        </is>
      </c>
      <c r="BD1439" t="inlineStr">
        <is>
          <t>893530031</t>
        </is>
      </c>
    </row>
    <row r="1440">
      <c r="A1440" t="inlineStr">
        <is>
          <t>No</t>
        </is>
      </c>
      <c r="B1440" t="inlineStr">
        <is>
          <t>RC607.A26 F56 1994</t>
        </is>
      </c>
      <c r="C1440" t="inlineStr">
        <is>
          <t>0                      RC 0607000A  26                 F  56          1994</t>
        </is>
      </c>
      <c r="D1440" t="inlineStr">
        <is>
          <t>Sleep with the angels : a mother challenges AIDS / Mary Fisher.</t>
        </is>
      </c>
      <c r="F1440" t="inlineStr">
        <is>
          <t>No</t>
        </is>
      </c>
      <c r="G1440" t="inlineStr">
        <is>
          <t>1</t>
        </is>
      </c>
      <c r="H1440" t="inlineStr">
        <is>
          <t>No</t>
        </is>
      </c>
      <c r="I1440" t="inlineStr">
        <is>
          <t>No</t>
        </is>
      </c>
      <c r="J1440" t="inlineStr">
        <is>
          <t>0</t>
        </is>
      </c>
      <c r="K1440" t="inlineStr">
        <is>
          <t>Fisher, Mary, 1948-</t>
        </is>
      </c>
      <c r="L1440" t="inlineStr">
        <is>
          <t>Wakefield, R.I. : Moyer Bell ; Emeryville, CA : Distributed in North America by Publishers Group West, c1994.</t>
        </is>
      </c>
      <c r="M1440" t="inlineStr">
        <is>
          <t>1994</t>
        </is>
      </c>
      <c r="N1440" t="inlineStr">
        <is>
          <t>1st ed.</t>
        </is>
      </c>
      <c r="O1440" t="inlineStr">
        <is>
          <t>eng</t>
        </is>
      </c>
      <c r="P1440" t="inlineStr">
        <is>
          <t>riu</t>
        </is>
      </c>
      <c r="R1440" t="inlineStr">
        <is>
          <t xml:space="preserve">RC </t>
        </is>
      </c>
      <c r="S1440" t="n">
        <v>9</v>
      </c>
      <c r="T1440" t="n">
        <v>9</v>
      </c>
      <c r="U1440" t="inlineStr">
        <is>
          <t>2003-03-21</t>
        </is>
      </c>
      <c r="V1440" t="inlineStr">
        <is>
          <t>2003-03-21</t>
        </is>
      </c>
      <c r="W1440" t="inlineStr">
        <is>
          <t>1994-05-09</t>
        </is>
      </c>
      <c r="X1440" t="inlineStr">
        <is>
          <t>1994-05-09</t>
        </is>
      </c>
      <c r="Y1440" t="n">
        <v>476</v>
      </c>
      <c r="Z1440" t="n">
        <v>456</v>
      </c>
      <c r="AA1440" t="n">
        <v>464</v>
      </c>
      <c r="AB1440" t="n">
        <v>1</v>
      </c>
      <c r="AC1440" t="n">
        <v>1</v>
      </c>
      <c r="AD1440" t="n">
        <v>6</v>
      </c>
      <c r="AE1440" t="n">
        <v>6</v>
      </c>
      <c r="AF1440" t="n">
        <v>1</v>
      </c>
      <c r="AG1440" t="n">
        <v>1</v>
      </c>
      <c r="AH1440" t="n">
        <v>2</v>
      </c>
      <c r="AI1440" t="n">
        <v>2</v>
      </c>
      <c r="AJ1440" t="n">
        <v>4</v>
      </c>
      <c r="AK1440" t="n">
        <v>4</v>
      </c>
      <c r="AL1440" t="n">
        <v>0</v>
      </c>
      <c r="AM1440" t="n">
        <v>0</v>
      </c>
      <c r="AN1440" t="n">
        <v>0</v>
      </c>
      <c r="AO1440" t="n">
        <v>0</v>
      </c>
      <c r="AP1440" t="inlineStr">
        <is>
          <t>No</t>
        </is>
      </c>
      <c r="AQ1440" t="inlineStr">
        <is>
          <t>Yes</t>
        </is>
      </c>
      <c r="AR1440">
        <f>HYPERLINK("http://catalog.hathitrust.org/Record/002992067","HathiTrust Record")</f>
        <v/>
      </c>
      <c r="AS1440">
        <f>HYPERLINK("https://creighton-primo.hosted.exlibrisgroup.com/primo-explore/search?tab=default_tab&amp;search_scope=EVERYTHING&amp;vid=01CRU&amp;lang=en_US&amp;offset=0&amp;query=any,contains,991002225629702656","Catalog Record")</f>
        <v/>
      </c>
      <c r="AT1440">
        <f>HYPERLINK("http://www.worldcat.org/oclc/28674845","WorldCat Record")</f>
        <v/>
      </c>
      <c r="AU1440" t="inlineStr">
        <is>
          <t>31145257:eng</t>
        </is>
      </c>
      <c r="AV1440" t="inlineStr">
        <is>
          <t>28674845</t>
        </is>
      </c>
      <c r="AW1440" t="inlineStr">
        <is>
          <t>991002225629702656</t>
        </is>
      </c>
      <c r="AX1440" t="inlineStr">
        <is>
          <t>991002225629702656</t>
        </is>
      </c>
      <c r="AY1440" t="inlineStr">
        <is>
          <t>2271460270002656</t>
        </is>
      </c>
      <c r="AZ1440" t="inlineStr">
        <is>
          <t>BOOK</t>
        </is>
      </c>
      <c r="BB1440" t="inlineStr">
        <is>
          <t>9781559211031</t>
        </is>
      </c>
      <c r="BC1440" t="inlineStr">
        <is>
          <t>32285001879773</t>
        </is>
      </c>
      <c r="BD1440" t="inlineStr">
        <is>
          <t>893591066</t>
        </is>
      </c>
    </row>
    <row r="1441">
      <c r="A1441" t="inlineStr">
        <is>
          <t>No</t>
        </is>
      </c>
      <c r="B1441" t="inlineStr">
        <is>
          <t>RC607.A26 G73 1986</t>
        </is>
      </c>
      <c r="C1441" t="inlineStr">
        <is>
          <t>0                      RC 0607000A  26                 G  73          1986</t>
        </is>
      </c>
      <c r="D1441" t="inlineStr">
        <is>
          <t>Chronicle : the human side of AIDS / by Mike Greenly.</t>
        </is>
      </c>
      <c r="F1441" t="inlineStr">
        <is>
          <t>No</t>
        </is>
      </c>
      <c r="G1441" t="inlineStr">
        <is>
          <t>1</t>
        </is>
      </c>
      <c r="H1441" t="inlineStr">
        <is>
          <t>No</t>
        </is>
      </c>
      <c r="I1441" t="inlineStr">
        <is>
          <t>No</t>
        </is>
      </c>
      <c r="J1441" t="inlineStr">
        <is>
          <t>0</t>
        </is>
      </c>
      <c r="K1441" t="inlineStr">
        <is>
          <t>Greenly, Mike, 1944-</t>
        </is>
      </c>
      <c r="L1441" t="inlineStr">
        <is>
          <t>New York NY : Irvington, c1986.</t>
        </is>
      </c>
      <c r="M1441" t="inlineStr">
        <is>
          <t>1986</t>
        </is>
      </c>
      <c r="O1441" t="inlineStr">
        <is>
          <t>eng</t>
        </is>
      </c>
      <c r="P1441" t="inlineStr">
        <is>
          <t>nyu</t>
        </is>
      </c>
      <c r="R1441" t="inlineStr">
        <is>
          <t xml:space="preserve">RC </t>
        </is>
      </c>
      <c r="S1441" t="n">
        <v>10</v>
      </c>
      <c r="T1441" t="n">
        <v>10</v>
      </c>
      <c r="U1441" t="inlineStr">
        <is>
          <t>1996-07-01</t>
        </is>
      </c>
      <c r="V1441" t="inlineStr">
        <is>
          <t>1996-07-01</t>
        </is>
      </c>
      <c r="W1441" t="inlineStr">
        <is>
          <t>1990-06-13</t>
        </is>
      </c>
      <c r="X1441" t="inlineStr">
        <is>
          <t>1990-06-13</t>
        </is>
      </c>
      <c r="Y1441" t="n">
        <v>166</v>
      </c>
      <c r="Z1441" t="n">
        <v>156</v>
      </c>
      <c r="AA1441" t="n">
        <v>157</v>
      </c>
      <c r="AB1441" t="n">
        <v>1</v>
      </c>
      <c r="AC1441" t="n">
        <v>1</v>
      </c>
      <c r="AD1441" t="n">
        <v>5</v>
      </c>
      <c r="AE1441" t="n">
        <v>5</v>
      </c>
      <c r="AF1441" t="n">
        <v>2</v>
      </c>
      <c r="AG1441" t="n">
        <v>2</v>
      </c>
      <c r="AH1441" t="n">
        <v>1</v>
      </c>
      <c r="AI1441" t="n">
        <v>1</v>
      </c>
      <c r="AJ1441" t="n">
        <v>4</v>
      </c>
      <c r="AK1441" t="n">
        <v>4</v>
      </c>
      <c r="AL1441" t="n">
        <v>0</v>
      </c>
      <c r="AM1441" t="n">
        <v>0</v>
      </c>
      <c r="AN1441" t="n">
        <v>0</v>
      </c>
      <c r="AO1441" t="n">
        <v>0</v>
      </c>
      <c r="AP1441" t="inlineStr">
        <is>
          <t>No</t>
        </is>
      </c>
      <c r="AQ1441" t="inlineStr">
        <is>
          <t>Yes</t>
        </is>
      </c>
      <c r="AR1441">
        <f>HYPERLINK("http://catalog.hathitrust.org/Record/006258859","HathiTrust Record")</f>
        <v/>
      </c>
      <c r="AS1441">
        <f>HYPERLINK("https://creighton-primo.hosted.exlibrisgroup.com/primo-explore/search?tab=default_tab&amp;search_scope=EVERYTHING&amp;vid=01CRU&amp;lang=en_US&amp;offset=0&amp;query=any,contains,991000840889702656","Catalog Record")</f>
        <v/>
      </c>
      <c r="AT1441">
        <f>HYPERLINK("http://www.worldcat.org/oclc/13525591","WorldCat Record")</f>
        <v/>
      </c>
      <c r="AU1441" t="inlineStr">
        <is>
          <t>7355626:eng</t>
        </is>
      </c>
      <c r="AV1441" t="inlineStr">
        <is>
          <t>13525591</t>
        </is>
      </c>
      <c r="AW1441" t="inlineStr">
        <is>
          <t>991000840889702656</t>
        </is>
      </c>
      <c r="AX1441" t="inlineStr">
        <is>
          <t>991000840889702656</t>
        </is>
      </c>
      <c r="AY1441" t="inlineStr">
        <is>
          <t>2262422110002656</t>
        </is>
      </c>
      <c r="AZ1441" t="inlineStr">
        <is>
          <t>BOOK</t>
        </is>
      </c>
      <c r="BB1441" t="inlineStr">
        <is>
          <t>9780829018004</t>
        </is>
      </c>
      <c r="BC1441" t="inlineStr">
        <is>
          <t>32285000191592</t>
        </is>
      </c>
      <c r="BD1441" t="inlineStr">
        <is>
          <t>893432351</t>
        </is>
      </c>
    </row>
    <row r="1442">
      <c r="A1442" t="inlineStr">
        <is>
          <t>No</t>
        </is>
      </c>
      <c r="B1442" t="inlineStr">
        <is>
          <t>RC607.A26 G776 1995</t>
        </is>
      </c>
      <c r="C1442" t="inlineStr">
        <is>
          <t>0                      RC 0607000A  26                 G  776         1995</t>
        </is>
      </c>
      <c r="D1442" t="inlineStr">
        <is>
          <t>Grief and AIDS / edited by Lorraine Sherr.</t>
        </is>
      </c>
      <c r="F1442" t="inlineStr">
        <is>
          <t>No</t>
        </is>
      </c>
      <c r="G1442" t="inlineStr">
        <is>
          <t>1</t>
        </is>
      </c>
      <c r="H1442" t="inlineStr">
        <is>
          <t>No</t>
        </is>
      </c>
      <c r="I1442" t="inlineStr">
        <is>
          <t>No</t>
        </is>
      </c>
      <c r="J1442" t="inlineStr">
        <is>
          <t>0</t>
        </is>
      </c>
      <c r="L1442" t="inlineStr">
        <is>
          <t>Chichester, West Sussex, England ; New York, NY : Wiley, 1995.</t>
        </is>
      </c>
      <c r="M1442" t="inlineStr">
        <is>
          <t>1995</t>
        </is>
      </c>
      <c r="O1442" t="inlineStr">
        <is>
          <t>eng</t>
        </is>
      </c>
      <c r="P1442" t="inlineStr">
        <is>
          <t>enk</t>
        </is>
      </c>
      <c r="R1442" t="inlineStr">
        <is>
          <t xml:space="preserve">RC </t>
        </is>
      </c>
      <c r="S1442" t="n">
        <v>15</v>
      </c>
      <c r="T1442" t="n">
        <v>15</v>
      </c>
      <c r="U1442" t="inlineStr">
        <is>
          <t>2005-03-19</t>
        </is>
      </c>
      <c r="V1442" t="inlineStr">
        <is>
          <t>2005-03-19</t>
        </is>
      </c>
      <c r="W1442" t="inlineStr">
        <is>
          <t>1996-08-08</t>
        </is>
      </c>
      <c r="X1442" t="inlineStr">
        <is>
          <t>1996-08-08</t>
        </is>
      </c>
      <c r="Y1442" t="n">
        <v>237</v>
      </c>
      <c r="Z1442" t="n">
        <v>147</v>
      </c>
      <c r="AA1442" t="n">
        <v>150</v>
      </c>
      <c r="AB1442" t="n">
        <v>1</v>
      </c>
      <c r="AC1442" t="n">
        <v>1</v>
      </c>
      <c r="AD1442" t="n">
        <v>7</v>
      </c>
      <c r="AE1442" t="n">
        <v>7</v>
      </c>
      <c r="AF1442" t="n">
        <v>1</v>
      </c>
      <c r="AG1442" t="n">
        <v>1</v>
      </c>
      <c r="AH1442" t="n">
        <v>2</v>
      </c>
      <c r="AI1442" t="n">
        <v>2</v>
      </c>
      <c r="AJ1442" t="n">
        <v>5</v>
      </c>
      <c r="AK1442" t="n">
        <v>5</v>
      </c>
      <c r="AL1442" t="n">
        <v>0</v>
      </c>
      <c r="AM1442" t="n">
        <v>0</v>
      </c>
      <c r="AN1442" t="n">
        <v>0</v>
      </c>
      <c r="AO1442" t="n">
        <v>0</v>
      </c>
      <c r="AP1442" t="inlineStr">
        <is>
          <t>No</t>
        </is>
      </c>
      <c r="AQ1442" t="inlineStr">
        <is>
          <t>Yes</t>
        </is>
      </c>
      <c r="AR1442">
        <f>HYPERLINK("http://catalog.hathitrust.org/Record/002991004","HathiTrust Record")</f>
        <v/>
      </c>
      <c r="AS1442">
        <f>HYPERLINK("https://creighton-primo.hosted.exlibrisgroup.com/primo-explore/search?tab=default_tab&amp;search_scope=EVERYTHING&amp;vid=01CRU&amp;lang=en_US&amp;offset=0&amp;query=any,contains,991002416879702656","Catalog Record")</f>
        <v/>
      </c>
      <c r="AT1442">
        <f>HYPERLINK("http://www.worldcat.org/oclc/31436180","WorldCat Record")</f>
        <v/>
      </c>
      <c r="AU1442" t="inlineStr">
        <is>
          <t>33683285:eng</t>
        </is>
      </c>
      <c r="AV1442" t="inlineStr">
        <is>
          <t>31436180</t>
        </is>
      </c>
      <c r="AW1442" t="inlineStr">
        <is>
          <t>991002416879702656</t>
        </is>
      </c>
      <c r="AX1442" t="inlineStr">
        <is>
          <t>991002416879702656</t>
        </is>
      </c>
      <c r="AY1442" t="inlineStr">
        <is>
          <t>2262286160002656</t>
        </is>
      </c>
      <c r="AZ1442" t="inlineStr">
        <is>
          <t>BOOK</t>
        </is>
      </c>
      <c r="BB1442" t="inlineStr">
        <is>
          <t>9780471953463</t>
        </is>
      </c>
      <c r="BC1442" t="inlineStr">
        <is>
          <t>32285002272267</t>
        </is>
      </c>
      <c r="BD1442" t="inlineStr">
        <is>
          <t>893341400</t>
        </is>
      </c>
    </row>
    <row r="1443">
      <c r="A1443" t="inlineStr">
        <is>
          <t>No</t>
        </is>
      </c>
      <c r="B1443" t="inlineStr">
        <is>
          <t>RC607.A26 G86 1989</t>
        </is>
      </c>
      <c r="C1443" t="inlineStr">
        <is>
          <t>0                      RC 0607000A  26                 G  86          1989</t>
        </is>
      </c>
      <c r="D1443" t="inlineStr">
        <is>
          <t>AIDS : testing and privacy / Martin Gunderson, David J. Mayo, Frank S. Rhame.</t>
        </is>
      </c>
      <c r="F1443" t="inlineStr">
        <is>
          <t>No</t>
        </is>
      </c>
      <c r="G1443" t="inlineStr">
        <is>
          <t>1</t>
        </is>
      </c>
      <c r="H1443" t="inlineStr">
        <is>
          <t>Yes</t>
        </is>
      </c>
      <c r="I1443" t="inlineStr">
        <is>
          <t>No</t>
        </is>
      </c>
      <c r="J1443" t="inlineStr">
        <is>
          <t>0</t>
        </is>
      </c>
      <c r="K1443" t="inlineStr">
        <is>
          <t>Gunderson, Martin, 1946-</t>
        </is>
      </c>
      <c r="L1443" t="inlineStr">
        <is>
          <t>Salt Lake City : University of Utah Press, 1989.</t>
        </is>
      </c>
      <c r="M1443" t="inlineStr">
        <is>
          <t>1989</t>
        </is>
      </c>
      <c r="O1443" t="inlineStr">
        <is>
          <t>eng</t>
        </is>
      </c>
      <c r="P1443" t="inlineStr">
        <is>
          <t>utu</t>
        </is>
      </c>
      <c r="Q1443" t="inlineStr">
        <is>
          <t>Ethics in a changing world ; v. 2</t>
        </is>
      </c>
      <c r="R1443" t="inlineStr">
        <is>
          <t xml:space="preserve">RC </t>
        </is>
      </c>
      <c r="S1443" t="n">
        <v>40</v>
      </c>
      <c r="T1443" t="n">
        <v>40</v>
      </c>
      <c r="U1443" t="inlineStr">
        <is>
          <t>2003-12-10</t>
        </is>
      </c>
      <c r="V1443" t="inlineStr">
        <is>
          <t>2003-12-10</t>
        </is>
      </c>
      <c r="W1443" t="inlineStr">
        <is>
          <t>1990-04-23</t>
        </is>
      </c>
      <c r="X1443" t="inlineStr">
        <is>
          <t>1990-04-23</t>
        </is>
      </c>
      <c r="Y1443" t="n">
        <v>408</v>
      </c>
      <c r="Z1443" t="n">
        <v>359</v>
      </c>
      <c r="AA1443" t="n">
        <v>366</v>
      </c>
      <c r="AB1443" t="n">
        <v>2</v>
      </c>
      <c r="AC1443" t="n">
        <v>2</v>
      </c>
      <c r="AD1443" t="n">
        <v>29</v>
      </c>
      <c r="AE1443" t="n">
        <v>29</v>
      </c>
      <c r="AF1443" t="n">
        <v>5</v>
      </c>
      <c r="AG1443" t="n">
        <v>5</v>
      </c>
      <c r="AH1443" t="n">
        <v>4</v>
      </c>
      <c r="AI1443" t="n">
        <v>4</v>
      </c>
      <c r="AJ1443" t="n">
        <v>11</v>
      </c>
      <c r="AK1443" t="n">
        <v>11</v>
      </c>
      <c r="AL1443" t="n">
        <v>0</v>
      </c>
      <c r="AM1443" t="n">
        <v>0</v>
      </c>
      <c r="AN1443" t="n">
        <v>15</v>
      </c>
      <c r="AO1443" t="n">
        <v>15</v>
      </c>
      <c r="AP1443" t="inlineStr">
        <is>
          <t>No</t>
        </is>
      </c>
      <c r="AQ1443" t="inlineStr">
        <is>
          <t>Yes</t>
        </is>
      </c>
      <c r="AR1443">
        <f>HYPERLINK("http://catalog.hathitrust.org/Record/001528480","HathiTrust Record")</f>
        <v/>
      </c>
      <c r="AS1443">
        <f>HYPERLINK("https://creighton-primo.hosted.exlibrisgroup.com/primo-explore/search?tab=default_tab&amp;search_scope=EVERYTHING&amp;vid=01CRU&amp;lang=en_US&amp;offset=0&amp;query=any,contains,991001387199702656","Catalog Record")</f>
        <v/>
      </c>
      <c r="AT1443">
        <f>HYPERLINK("http://www.worldcat.org/oclc/18738944","WorldCat Record")</f>
        <v/>
      </c>
      <c r="AU1443" t="inlineStr">
        <is>
          <t>196785730:eng</t>
        </is>
      </c>
      <c r="AV1443" t="inlineStr">
        <is>
          <t>18738944</t>
        </is>
      </c>
      <c r="AW1443" t="inlineStr">
        <is>
          <t>991001387199702656</t>
        </is>
      </c>
      <c r="AX1443" t="inlineStr">
        <is>
          <t>991001387199702656</t>
        </is>
      </c>
      <c r="AY1443" t="inlineStr">
        <is>
          <t>2261159550002656</t>
        </is>
      </c>
      <c r="AZ1443" t="inlineStr">
        <is>
          <t>BOOK</t>
        </is>
      </c>
      <c r="BB1443" t="inlineStr">
        <is>
          <t>9780874803174</t>
        </is>
      </c>
      <c r="BC1443" t="inlineStr">
        <is>
          <t>32285000124858</t>
        </is>
      </c>
      <c r="BD1443" t="inlineStr">
        <is>
          <t>893715408</t>
        </is>
      </c>
    </row>
    <row r="1444">
      <c r="A1444" t="inlineStr">
        <is>
          <t>No</t>
        </is>
      </c>
      <c r="B1444" t="inlineStr">
        <is>
          <t>RC607.A26 H416 1996</t>
        </is>
      </c>
      <c r="C1444" t="inlineStr">
        <is>
          <t>0                      RC 0607000A  26                 H  416         1996</t>
        </is>
      </c>
      <c r="D1444" t="inlineStr">
        <is>
          <t>Heaven's coast : a memoir / Mark Doty.</t>
        </is>
      </c>
      <c r="F1444" t="inlineStr">
        <is>
          <t>No</t>
        </is>
      </c>
      <c r="G1444" t="inlineStr">
        <is>
          <t>1</t>
        </is>
      </c>
      <c r="H1444" t="inlineStr">
        <is>
          <t>No</t>
        </is>
      </c>
      <c r="I1444" t="inlineStr">
        <is>
          <t>No</t>
        </is>
      </c>
      <c r="J1444" t="inlineStr">
        <is>
          <t>0</t>
        </is>
      </c>
      <c r="K1444" t="inlineStr">
        <is>
          <t>Doty, Mark.</t>
        </is>
      </c>
      <c r="L1444" t="inlineStr">
        <is>
          <t>New York, NY : HarperCollinsPublishers, c1996.</t>
        </is>
      </c>
      <c r="M1444" t="inlineStr">
        <is>
          <t>1996</t>
        </is>
      </c>
      <c r="N1444" t="inlineStr">
        <is>
          <t>1st ed.</t>
        </is>
      </c>
      <c r="O1444" t="inlineStr">
        <is>
          <t>eng</t>
        </is>
      </c>
      <c r="P1444" t="inlineStr">
        <is>
          <t>nyu</t>
        </is>
      </c>
      <c r="R1444" t="inlineStr">
        <is>
          <t xml:space="preserve">RC </t>
        </is>
      </c>
      <c r="S1444" t="n">
        <v>2</v>
      </c>
      <c r="T1444" t="n">
        <v>2</v>
      </c>
      <c r="U1444" t="inlineStr">
        <is>
          <t>1997-09-15</t>
        </is>
      </c>
      <c r="V1444" t="inlineStr">
        <is>
          <t>1997-09-15</t>
        </is>
      </c>
      <c r="W1444" t="inlineStr">
        <is>
          <t>1996-04-15</t>
        </is>
      </c>
      <c r="X1444" t="inlineStr">
        <is>
          <t>1996-04-15</t>
        </is>
      </c>
      <c r="Y1444" t="n">
        <v>481</v>
      </c>
      <c r="Z1444" t="n">
        <v>450</v>
      </c>
      <c r="AA1444" t="n">
        <v>621</v>
      </c>
      <c r="AB1444" t="n">
        <v>3</v>
      </c>
      <c r="AC1444" t="n">
        <v>4</v>
      </c>
      <c r="AD1444" t="n">
        <v>12</v>
      </c>
      <c r="AE1444" t="n">
        <v>19</v>
      </c>
      <c r="AF1444" t="n">
        <v>4</v>
      </c>
      <c r="AG1444" t="n">
        <v>8</v>
      </c>
      <c r="AH1444" t="n">
        <v>4</v>
      </c>
      <c r="AI1444" t="n">
        <v>5</v>
      </c>
      <c r="AJ1444" t="n">
        <v>5</v>
      </c>
      <c r="AK1444" t="n">
        <v>8</v>
      </c>
      <c r="AL1444" t="n">
        <v>1</v>
      </c>
      <c r="AM1444" t="n">
        <v>2</v>
      </c>
      <c r="AN1444" t="n">
        <v>0</v>
      </c>
      <c r="AO1444" t="n">
        <v>0</v>
      </c>
      <c r="AP1444" t="inlineStr">
        <is>
          <t>No</t>
        </is>
      </c>
      <c r="AQ1444" t="inlineStr">
        <is>
          <t>Yes</t>
        </is>
      </c>
      <c r="AR1444">
        <f>HYPERLINK("http://catalog.hathitrust.org/Record/003055393","HathiTrust Record")</f>
        <v/>
      </c>
      <c r="AS1444">
        <f>HYPERLINK("https://creighton-primo.hosted.exlibrisgroup.com/primo-explore/search?tab=default_tab&amp;search_scope=EVERYTHING&amp;vid=01CRU&amp;lang=en_US&amp;offset=0&amp;query=any,contains,991002597729702656","Catalog Record")</f>
        <v/>
      </c>
      <c r="AT1444">
        <f>HYPERLINK("http://www.worldcat.org/oclc/34029880","WorldCat Record")</f>
        <v/>
      </c>
      <c r="AU1444" t="inlineStr">
        <is>
          <t>26679836:eng</t>
        </is>
      </c>
      <c r="AV1444" t="inlineStr">
        <is>
          <t>34029880</t>
        </is>
      </c>
      <c r="AW1444" t="inlineStr">
        <is>
          <t>991002597729702656</t>
        </is>
      </c>
      <c r="AX1444" t="inlineStr">
        <is>
          <t>991002597729702656</t>
        </is>
      </c>
      <c r="AY1444" t="inlineStr">
        <is>
          <t>2271454010002656</t>
        </is>
      </c>
      <c r="AZ1444" t="inlineStr">
        <is>
          <t>BOOK</t>
        </is>
      </c>
      <c r="BB1444" t="inlineStr">
        <is>
          <t>9780060172107</t>
        </is>
      </c>
      <c r="BC1444" t="inlineStr">
        <is>
          <t>32285002152899</t>
        </is>
      </c>
      <c r="BD1444" t="inlineStr">
        <is>
          <t>893323132</t>
        </is>
      </c>
    </row>
    <row r="1445">
      <c r="A1445" t="inlineStr">
        <is>
          <t>No</t>
        </is>
      </c>
      <c r="B1445" t="inlineStr">
        <is>
          <t>RC607.A26 H45 1991</t>
        </is>
      </c>
      <c r="C1445" t="inlineStr">
        <is>
          <t>0                      RC 0607000A  26                 H  45          1991</t>
        </is>
      </c>
      <c r="D1445" t="inlineStr">
        <is>
          <t>AIDS, trading fears for facts : a guide for young people / Karen Hein, Theresa Foy DiGeronimo, and the editors of Consumer Reports Books.</t>
        </is>
      </c>
      <c r="F1445" t="inlineStr">
        <is>
          <t>No</t>
        </is>
      </c>
      <c r="G1445" t="inlineStr">
        <is>
          <t>1</t>
        </is>
      </c>
      <c r="H1445" t="inlineStr">
        <is>
          <t>No</t>
        </is>
      </c>
      <c r="I1445" t="inlineStr">
        <is>
          <t>No</t>
        </is>
      </c>
      <c r="J1445" t="inlineStr">
        <is>
          <t>0</t>
        </is>
      </c>
      <c r="K1445" t="inlineStr">
        <is>
          <t>Hein, Karen.</t>
        </is>
      </c>
      <c r="L1445" t="inlineStr">
        <is>
          <t>Yonkers, N.Y. : Consumers Reports Books, 1991.</t>
        </is>
      </c>
      <c r="M1445" t="inlineStr">
        <is>
          <t>1991</t>
        </is>
      </c>
      <c r="N1445" t="inlineStr">
        <is>
          <t>Updated ed.</t>
        </is>
      </c>
      <c r="O1445" t="inlineStr">
        <is>
          <t>eng</t>
        </is>
      </c>
      <c r="P1445" t="inlineStr">
        <is>
          <t>nyu</t>
        </is>
      </c>
      <c r="R1445" t="inlineStr">
        <is>
          <t xml:space="preserve">RC </t>
        </is>
      </c>
      <c r="S1445" t="n">
        <v>12</v>
      </c>
      <c r="T1445" t="n">
        <v>12</v>
      </c>
      <c r="U1445" t="inlineStr">
        <is>
          <t>2001-02-24</t>
        </is>
      </c>
      <c r="V1445" t="inlineStr">
        <is>
          <t>2001-02-24</t>
        </is>
      </c>
      <c r="W1445" t="inlineStr">
        <is>
          <t>1997-02-07</t>
        </is>
      </c>
      <c r="X1445" t="inlineStr">
        <is>
          <t>1997-02-07</t>
        </is>
      </c>
      <c r="Y1445" t="n">
        <v>156</v>
      </c>
      <c r="Z1445" t="n">
        <v>143</v>
      </c>
      <c r="AA1445" t="n">
        <v>196</v>
      </c>
      <c r="AB1445" t="n">
        <v>1</v>
      </c>
      <c r="AC1445" t="n">
        <v>2</v>
      </c>
      <c r="AD1445" t="n">
        <v>1</v>
      </c>
      <c r="AE1445" t="n">
        <v>1</v>
      </c>
      <c r="AF1445" t="n">
        <v>0</v>
      </c>
      <c r="AG1445" t="n">
        <v>0</v>
      </c>
      <c r="AH1445" t="n">
        <v>0</v>
      </c>
      <c r="AI1445" t="n">
        <v>0</v>
      </c>
      <c r="AJ1445" t="n">
        <v>1</v>
      </c>
      <c r="AK1445" t="n">
        <v>1</v>
      </c>
      <c r="AL1445" t="n">
        <v>0</v>
      </c>
      <c r="AM1445" t="n">
        <v>0</v>
      </c>
      <c r="AN1445" t="n">
        <v>0</v>
      </c>
      <c r="AO1445" t="n">
        <v>0</v>
      </c>
      <c r="AP1445" t="inlineStr">
        <is>
          <t>No</t>
        </is>
      </c>
      <c r="AQ1445" t="inlineStr">
        <is>
          <t>No</t>
        </is>
      </c>
      <c r="AS1445">
        <f>HYPERLINK("https://creighton-primo.hosted.exlibrisgroup.com/primo-explore/search?tab=default_tab&amp;search_scope=EVERYTHING&amp;vid=01CRU&amp;lang=en_US&amp;offset=0&amp;query=any,contains,991001919049702656","Catalog Record")</f>
        <v/>
      </c>
      <c r="AT1445">
        <f>HYPERLINK("http://www.worldcat.org/oclc/24219033","WorldCat Record")</f>
        <v/>
      </c>
      <c r="AU1445" t="inlineStr">
        <is>
          <t>26291106:eng</t>
        </is>
      </c>
      <c r="AV1445" t="inlineStr">
        <is>
          <t>24219033</t>
        </is>
      </c>
      <c r="AW1445" t="inlineStr">
        <is>
          <t>991001919049702656</t>
        </is>
      </c>
      <c r="AX1445" t="inlineStr">
        <is>
          <t>991001919049702656</t>
        </is>
      </c>
      <c r="AY1445" t="inlineStr">
        <is>
          <t>2269313170002656</t>
        </is>
      </c>
      <c r="AZ1445" t="inlineStr">
        <is>
          <t>BOOK</t>
        </is>
      </c>
      <c r="BB1445" t="inlineStr">
        <is>
          <t>9780890434819</t>
        </is>
      </c>
      <c r="BC1445" t="inlineStr">
        <is>
          <t>32285002415007</t>
        </is>
      </c>
      <c r="BD1445" t="inlineStr">
        <is>
          <t>893779195</t>
        </is>
      </c>
    </row>
    <row r="1446">
      <c r="A1446" t="inlineStr">
        <is>
          <t>No</t>
        </is>
      </c>
      <c r="B1446" t="inlineStr">
        <is>
          <t>RC607.A26 H558 2000</t>
        </is>
      </c>
      <c r="C1446" t="inlineStr">
        <is>
          <t>0                      RC 0607000A  26                 H  558         2000</t>
        </is>
      </c>
      <c r="D1446" t="inlineStr">
        <is>
          <t>HIV/AIDS at year 2000 : a sourcebook for social workers / edited by Vincent J. Lynch.</t>
        </is>
      </c>
      <c r="F1446" t="inlineStr">
        <is>
          <t>No</t>
        </is>
      </c>
      <c r="G1446" t="inlineStr">
        <is>
          <t>1</t>
        </is>
      </c>
      <c r="H1446" t="inlineStr">
        <is>
          <t>No</t>
        </is>
      </c>
      <c r="I1446" t="inlineStr">
        <is>
          <t>No</t>
        </is>
      </c>
      <c r="J1446" t="inlineStr">
        <is>
          <t>0</t>
        </is>
      </c>
      <c r="L1446" t="inlineStr">
        <is>
          <t>Boston : Allyn and Bacon, c2000.</t>
        </is>
      </c>
      <c r="M1446" t="inlineStr">
        <is>
          <t>2000</t>
        </is>
      </c>
      <c r="O1446" t="inlineStr">
        <is>
          <t>eng</t>
        </is>
      </c>
      <c r="P1446" t="inlineStr">
        <is>
          <t>meu</t>
        </is>
      </c>
      <c r="R1446" t="inlineStr">
        <is>
          <t xml:space="preserve">RC </t>
        </is>
      </c>
      <c r="S1446" t="n">
        <v>5</v>
      </c>
      <c r="T1446" t="n">
        <v>5</v>
      </c>
      <c r="U1446" t="inlineStr">
        <is>
          <t>2008-03-24</t>
        </is>
      </c>
      <c r="V1446" t="inlineStr">
        <is>
          <t>2008-03-24</t>
        </is>
      </c>
      <c r="W1446" t="inlineStr">
        <is>
          <t>2004-02-24</t>
        </is>
      </c>
      <c r="X1446" t="inlineStr">
        <is>
          <t>2004-02-24</t>
        </is>
      </c>
      <c r="Y1446" t="n">
        <v>174</v>
      </c>
      <c r="Z1446" t="n">
        <v>141</v>
      </c>
      <c r="AA1446" t="n">
        <v>145</v>
      </c>
      <c r="AB1446" t="n">
        <v>1</v>
      </c>
      <c r="AC1446" t="n">
        <v>1</v>
      </c>
      <c r="AD1446" t="n">
        <v>4</v>
      </c>
      <c r="AE1446" t="n">
        <v>4</v>
      </c>
      <c r="AF1446" t="n">
        <v>0</v>
      </c>
      <c r="AG1446" t="n">
        <v>0</v>
      </c>
      <c r="AH1446" t="n">
        <v>0</v>
      </c>
      <c r="AI1446" t="n">
        <v>0</v>
      </c>
      <c r="AJ1446" t="n">
        <v>4</v>
      </c>
      <c r="AK1446" t="n">
        <v>4</v>
      </c>
      <c r="AL1446" t="n">
        <v>0</v>
      </c>
      <c r="AM1446" t="n">
        <v>0</v>
      </c>
      <c r="AN1446" t="n">
        <v>0</v>
      </c>
      <c r="AO1446" t="n">
        <v>0</v>
      </c>
      <c r="AP1446" t="inlineStr">
        <is>
          <t>No</t>
        </is>
      </c>
      <c r="AQ1446" t="inlineStr">
        <is>
          <t>Yes</t>
        </is>
      </c>
      <c r="AR1446">
        <f>HYPERLINK("http://catalog.hathitrust.org/Record/003343719","HathiTrust Record")</f>
        <v/>
      </c>
      <c r="AS1446">
        <f>HYPERLINK("https://creighton-primo.hosted.exlibrisgroup.com/primo-explore/search?tab=default_tab&amp;search_scope=EVERYTHING&amp;vid=01CRU&amp;lang=en_US&amp;offset=0&amp;query=any,contains,991004232729702656","Catalog Record")</f>
        <v/>
      </c>
      <c r="AT1446">
        <f>HYPERLINK("http://www.worldcat.org/oclc/40163512","WorldCat Record")</f>
        <v/>
      </c>
      <c r="AU1446" t="inlineStr">
        <is>
          <t>25228799:eng</t>
        </is>
      </c>
      <c r="AV1446" t="inlineStr">
        <is>
          <t>40163512</t>
        </is>
      </c>
      <c r="AW1446" t="inlineStr">
        <is>
          <t>991004232729702656</t>
        </is>
      </c>
      <c r="AX1446" t="inlineStr">
        <is>
          <t>991004232729702656</t>
        </is>
      </c>
      <c r="AY1446" t="inlineStr">
        <is>
          <t>2263273120002656</t>
        </is>
      </c>
      <c r="AZ1446" t="inlineStr">
        <is>
          <t>BOOK</t>
        </is>
      </c>
      <c r="BB1446" t="inlineStr">
        <is>
          <t>9780205290062</t>
        </is>
      </c>
      <c r="BC1446" t="inlineStr">
        <is>
          <t>32285004890439</t>
        </is>
      </c>
      <c r="BD1446" t="inlineStr">
        <is>
          <t>893349766</t>
        </is>
      </c>
    </row>
    <row r="1447">
      <c r="A1447" t="inlineStr">
        <is>
          <t>No</t>
        </is>
      </c>
      <c r="B1447" t="inlineStr">
        <is>
          <t>RC607.A26 I45 1990</t>
        </is>
      </c>
      <c r="C1447" t="inlineStr">
        <is>
          <t>0                      RC 0607000A  26                 I  45          1990</t>
        </is>
      </c>
      <c r="D1447" t="inlineStr">
        <is>
          <t>Proceedings of the Fourth International Conference : to live: why? AIDS : November 13-15, 1989, Vatican City Synod Hall / organized by the Pontifical Council for Pastoral Assistance to Health Care Workers.</t>
        </is>
      </c>
      <c r="F1447" t="inlineStr">
        <is>
          <t>No</t>
        </is>
      </c>
      <c r="G1447" t="inlineStr">
        <is>
          <t>1</t>
        </is>
      </c>
      <c r="H1447" t="inlineStr">
        <is>
          <t>No</t>
        </is>
      </c>
      <c r="I1447" t="inlineStr">
        <is>
          <t>No</t>
        </is>
      </c>
      <c r="J1447" t="inlineStr">
        <is>
          <t>0</t>
        </is>
      </c>
      <c r="L1447" t="inlineStr">
        <is>
          <t>Vatican City : Vatican Polyglot Press, 1990.</t>
        </is>
      </c>
      <c r="M1447" t="inlineStr">
        <is>
          <t>1990</t>
        </is>
      </c>
      <c r="O1447" t="inlineStr">
        <is>
          <t>eng</t>
        </is>
      </c>
      <c r="P1447" t="inlineStr">
        <is>
          <t xml:space="preserve">vc </t>
        </is>
      </c>
      <c r="R1447" t="inlineStr">
        <is>
          <t xml:space="preserve">RC </t>
        </is>
      </c>
      <c r="S1447" t="n">
        <v>9</v>
      </c>
      <c r="T1447" t="n">
        <v>9</v>
      </c>
      <c r="U1447" t="inlineStr">
        <is>
          <t>1997-03-18</t>
        </is>
      </c>
      <c r="V1447" t="inlineStr">
        <is>
          <t>1997-03-18</t>
        </is>
      </c>
      <c r="W1447" t="inlineStr">
        <is>
          <t>1991-01-31</t>
        </is>
      </c>
      <c r="X1447" t="inlineStr">
        <is>
          <t>1991-01-31</t>
        </is>
      </c>
      <c r="Y1447" t="n">
        <v>10</v>
      </c>
      <c r="Z1447" t="n">
        <v>10</v>
      </c>
      <c r="AA1447" t="n">
        <v>10</v>
      </c>
      <c r="AB1447" t="n">
        <v>1</v>
      </c>
      <c r="AC1447" t="n">
        <v>1</v>
      </c>
      <c r="AD1447" t="n">
        <v>2</v>
      </c>
      <c r="AE1447" t="n">
        <v>2</v>
      </c>
      <c r="AF1447" t="n">
        <v>0</v>
      </c>
      <c r="AG1447" t="n">
        <v>0</v>
      </c>
      <c r="AH1447" t="n">
        <v>0</v>
      </c>
      <c r="AI1447" t="n">
        <v>0</v>
      </c>
      <c r="AJ1447" t="n">
        <v>2</v>
      </c>
      <c r="AK1447" t="n">
        <v>2</v>
      </c>
      <c r="AL1447" t="n">
        <v>0</v>
      </c>
      <c r="AM1447" t="n">
        <v>0</v>
      </c>
      <c r="AN1447" t="n">
        <v>0</v>
      </c>
      <c r="AO1447" t="n">
        <v>0</v>
      </c>
      <c r="AP1447" t="inlineStr">
        <is>
          <t>No</t>
        </is>
      </c>
      <c r="AQ1447" t="inlineStr">
        <is>
          <t>No</t>
        </is>
      </c>
      <c r="AS1447">
        <f>HYPERLINK("https://creighton-primo.hosted.exlibrisgroup.com/primo-explore/search?tab=default_tab&amp;search_scope=EVERYTHING&amp;vid=01CRU&amp;lang=en_US&amp;offset=0&amp;query=any,contains,991001814729702656","Catalog Record")</f>
        <v/>
      </c>
      <c r="AT1447">
        <f>HYPERLINK("http://www.worldcat.org/oclc/22786571","WorldCat Record")</f>
        <v/>
      </c>
      <c r="AU1447" t="inlineStr">
        <is>
          <t>24528300:eng</t>
        </is>
      </c>
      <c r="AV1447" t="inlineStr">
        <is>
          <t>22786571</t>
        </is>
      </c>
      <c r="AW1447" t="inlineStr">
        <is>
          <t>991001814729702656</t>
        </is>
      </c>
      <c r="AX1447" t="inlineStr">
        <is>
          <t>991001814729702656</t>
        </is>
      </c>
      <c r="AY1447" t="inlineStr">
        <is>
          <t>2267870470002656</t>
        </is>
      </c>
      <c r="AZ1447" t="inlineStr">
        <is>
          <t>BOOK</t>
        </is>
      </c>
      <c r="BC1447" t="inlineStr">
        <is>
          <t>32285000462852</t>
        </is>
      </c>
      <c r="BD1447" t="inlineStr">
        <is>
          <t>893334631</t>
        </is>
      </c>
    </row>
    <row r="1448">
      <c r="A1448" t="inlineStr">
        <is>
          <t>No</t>
        </is>
      </c>
      <c r="B1448" t="inlineStr">
        <is>
          <t>RC607.A26 J654 1995</t>
        </is>
      </c>
      <c r="C1448" t="inlineStr">
        <is>
          <t>0                      RC 0607000A  26                 J  654         1995</t>
        </is>
      </c>
      <c r="D1448" t="inlineStr">
        <is>
          <t>HIV-negative : how the uninfected are affected by AIDS / William I. Johnston ; foreword by Eric E. Rofes.</t>
        </is>
      </c>
      <c r="F1448" t="inlineStr">
        <is>
          <t>No</t>
        </is>
      </c>
      <c r="G1448" t="inlineStr">
        <is>
          <t>1</t>
        </is>
      </c>
      <c r="H1448" t="inlineStr">
        <is>
          <t>No</t>
        </is>
      </c>
      <c r="I1448" t="inlineStr">
        <is>
          <t>No</t>
        </is>
      </c>
      <c r="J1448" t="inlineStr">
        <is>
          <t>0</t>
        </is>
      </c>
      <c r="K1448" t="inlineStr">
        <is>
          <t>Johnston, William I.</t>
        </is>
      </c>
      <c r="L1448" t="inlineStr">
        <is>
          <t>New York : Plenum Press, c1995.</t>
        </is>
      </c>
      <c r="M1448" t="inlineStr">
        <is>
          <t>1995</t>
        </is>
      </c>
      <c r="O1448" t="inlineStr">
        <is>
          <t>eng</t>
        </is>
      </c>
      <c r="P1448" t="inlineStr">
        <is>
          <t>nyu</t>
        </is>
      </c>
      <c r="R1448" t="inlineStr">
        <is>
          <t xml:space="preserve">RC </t>
        </is>
      </c>
      <c r="S1448" t="n">
        <v>13</v>
      </c>
      <c r="T1448" t="n">
        <v>13</v>
      </c>
      <c r="U1448" t="inlineStr">
        <is>
          <t>2002-04-17</t>
        </is>
      </c>
      <c r="V1448" t="inlineStr">
        <is>
          <t>2002-04-17</t>
        </is>
      </c>
      <c r="W1448" t="inlineStr">
        <is>
          <t>1995-06-06</t>
        </is>
      </c>
      <c r="X1448" t="inlineStr">
        <is>
          <t>1995-06-06</t>
        </is>
      </c>
      <c r="Y1448" t="n">
        <v>489</v>
      </c>
      <c r="Z1448" t="n">
        <v>438</v>
      </c>
      <c r="AA1448" t="n">
        <v>486</v>
      </c>
      <c r="AB1448" t="n">
        <v>2</v>
      </c>
      <c r="AC1448" t="n">
        <v>2</v>
      </c>
      <c r="AD1448" t="n">
        <v>12</v>
      </c>
      <c r="AE1448" t="n">
        <v>14</v>
      </c>
      <c r="AF1448" t="n">
        <v>3</v>
      </c>
      <c r="AG1448" t="n">
        <v>5</v>
      </c>
      <c r="AH1448" t="n">
        <v>1</v>
      </c>
      <c r="AI1448" t="n">
        <v>1</v>
      </c>
      <c r="AJ1448" t="n">
        <v>7</v>
      </c>
      <c r="AK1448" t="n">
        <v>8</v>
      </c>
      <c r="AL1448" t="n">
        <v>1</v>
      </c>
      <c r="AM1448" t="n">
        <v>1</v>
      </c>
      <c r="AN1448" t="n">
        <v>1</v>
      </c>
      <c r="AO1448" t="n">
        <v>1</v>
      </c>
      <c r="AP1448" t="inlineStr">
        <is>
          <t>No</t>
        </is>
      </c>
      <c r="AQ1448" t="inlineStr">
        <is>
          <t>Yes</t>
        </is>
      </c>
      <c r="AR1448">
        <f>HYPERLINK("http://catalog.hathitrust.org/Record/002991235","HathiTrust Record")</f>
        <v/>
      </c>
      <c r="AS1448">
        <f>HYPERLINK("https://creighton-primo.hosted.exlibrisgroup.com/primo-explore/search?tab=default_tab&amp;search_scope=EVERYTHING&amp;vid=01CRU&amp;lang=en_US&amp;offset=0&amp;query=any,contains,991002462979702656","Catalog Record")</f>
        <v/>
      </c>
      <c r="AT1448">
        <f>HYPERLINK("http://www.worldcat.org/oclc/32089986","WorldCat Record")</f>
        <v/>
      </c>
      <c r="AU1448" t="inlineStr">
        <is>
          <t>894995:eng</t>
        </is>
      </c>
      <c r="AV1448" t="inlineStr">
        <is>
          <t>32089986</t>
        </is>
      </c>
      <c r="AW1448" t="inlineStr">
        <is>
          <t>991002462979702656</t>
        </is>
      </c>
      <c r="AX1448" t="inlineStr">
        <is>
          <t>991002462979702656</t>
        </is>
      </c>
      <c r="AY1448" t="inlineStr">
        <is>
          <t>2255351990002656</t>
        </is>
      </c>
      <c r="AZ1448" t="inlineStr">
        <is>
          <t>BOOK</t>
        </is>
      </c>
      <c r="BB1448" t="inlineStr">
        <is>
          <t>9780306449475</t>
        </is>
      </c>
      <c r="BC1448" t="inlineStr">
        <is>
          <t>32285002050333</t>
        </is>
      </c>
      <c r="BD1448" t="inlineStr">
        <is>
          <t>893685384</t>
        </is>
      </c>
    </row>
    <row r="1449">
      <c r="A1449" t="inlineStr">
        <is>
          <t>No</t>
        </is>
      </c>
      <c r="B1449" t="inlineStr">
        <is>
          <t>RC607.A26 K3559 1996</t>
        </is>
      </c>
      <c r="C1449" t="inlineStr">
        <is>
          <t>0                      RC 0607000A  26                 K  3559        1996</t>
        </is>
      </c>
      <c r="D1449" t="inlineStr">
        <is>
          <t>Answering your questions about AIDS / Seth C. Kalichman.</t>
        </is>
      </c>
      <c r="F1449" t="inlineStr">
        <is>
          <t>No</t>
        </is>
      </c>
      <c r="G1449" t="inlineStr">
        <is>
          <t>1</t>
        </is>
      </c>
      <c r="H1449" t="inlineStr">
        <is>
          <t>No</t>
        </is>
      </c>
      <c r="I1449" t="inlineStr">
        <is>
          <t>No</t>
        </is>
      </c>
      <c r="J1449" t="inlineStr">
        <is>
          <t>0</t>
        </is>
      </c>
      <c r="K1449" t="inlineStr">
        <is>
          <t>Kalichman, Seth C.</t>
        </is>
      </c>
      <c r="L1449" t="inlineStr">
        <is>
          <t>Washington, D.C. : American Psychological Association, c1996.</t>
        </is>
      </c>
      <c r="M1449" t="inlineStr">
        <is>
          <t>1996</t>
        </is>
      </c>
      <c r="N1449" t="inlineStr">
        <is>
          <t>1st ed.</t>
        </is>
      </c>
      <c r="O1449" t="inlineStr">
        <is>
          <t>eng</t>
        </is>
      </c>
      <c r="P1449" t="inlineStr">
        <is>
          <t>dcu</t>
        </is>
      </c>
      <c r="R1449" t="inlineStr">
        <is>
          <t xml:space="preserve">RC </t>
        </is>
      </c>
      <c r="S1449" t="n">
        <v>25</v>
      </c>
      <c r="T1449" t="n">
        <v>25</v>
      </c>
      <c r="U1449" t="inlineStr">
        <is>
          <t>2003-12-10</t>
        </is>
      </c>
      <c r="V1449" t="inlineStr">
        <is>
          <t>2003-12-10</t>
        </is>
      </c>
      <c r="W1449" t="inlineStr">
        <is>
          <t>1997-01-13</t>
        </is>
      </c>
      <c r="X1449" t="inlineStr">
        <is>
          <t>1997-01-13</t>
        </is>
      </c>
      <c r="Y1449" t="n">
        <v>281</v>
      </c>
      <c r="Z1449" t="n">
        <v>248</v>
      </c>
      <c r="AA1449" t="n">
        <v>349</v>
      </c>
      <c r="AB1449" t="n">
        <v>2</v>
      </c>
      <c r="AC1449" t="n">
        <v>3</v>
      </c>
      <c r="AD1449" t="n">
        <v>10</v>
      </c>
      <c r="AE1449" t="n">
        <v>15</v>
      </c>
      <c r="AF1449" t="n">
        <v>1</v>
      </c>
      <c r="AG1449" t="n">
        <v>3</v>
      </c>
      <c r="AH1449" t="n">
        <v>4</v>
      </c>
      <c r="AI1449" t="n">
        <v>4</v>
      </c>
      <c r="AJ1449" t="n">
        <v>6</v>
      </c>
      <c r="AK1449" t="n">
        <v>8</v>
      </c>
      <c r="AL1449" t="n">
        <v>1</v>
      </c>
      <c r="AM1449" t="n">
        <v>2</v>
      </c>
      <c r="AN1449" t="n">
        <v>0</v>
      </c>
      <c r="AO1449" t="n">
        <v>0</v>
      </c>
      <c r="AP1449" t="inlineStr">
        <is>
          <t>No</t>
        </is>
      </c>
      <c r="AQ1449" t="inlineStr">
        <is>
          <t>No</t>
        </is>
      </c>
      <c r="AS1449">
        <f>HYPERLINK("https://creighton-primo.hosted.exlibrisgroup.com/primo-explore/search?tab=default_tab&amp;search_scope=EVERYTHING&amp;vid=01CRU&amp;lang=en_US&amp;offset=0&amp;query=any,contains,991002599829702656","Catalog Record")</f>
        <v/>
      </c>
      <c r="AT1449">
        <f>HYPERLINK("http://www.worldcat.org/oclc/34076220","WorldCat Record")</f>
        <v/>
      </c>
      <c r="AU1449" t="inlineStr">
        <is>
          <t>23566512:eng</t>
        </is>
      </c>
      <c r="AV1449" t="inlineStr">
        <is>
          <t>34076220</t>
        </is>
      </c>
      <c r="AW1449" t="inlineStr">
        <is>
          <t>991002599829702656</t>
        </is>
      </c>
      <c r="AX1449" t="inlineStr">
        <is>
          <t>991002599829702656</t>
        </is>
      </c>
      <c r="AY1449" t="inlineStr">
        <is>
          <t>2269628470002656</t>
        </is>
      </c>
      <c r="AZ1449" t="inlineStr">
        <is>
          <t>BOOK</t>
        </is>
      </c>
      <c r="BB1449" t="inlineStr">
        <is>
          <t>9781557983398</t>
        </is>
      </c>
      <c r="BC1449" t="inlineStr">
        <is>
          <t>32285002406378</t>
        </is>
      </c>
      <c r="BD1449" t="inlineStr">
        <is>
          <t>893245366</t>
        </is>
      </c>
    </row>
    <row r="1450">
      <c r="A1450" t="inlineStr">
        <is>
          <t>No</t>
        </is>
      </c>
      <c r="B1450" t="inlineStr">
        <is>
          <t>RC607.A26 K58 1990</t>
        </is>
      </c>
      <c r="C1450" t="inlineStr">
        <is>
          <t>0                      RC 0607000A  26                 K  58          1990</t>
        </is>
      </c>
      <c r="D1450" t="inlineStr">
        <is>
          <t>What every therapist should know about AIDS / Samuel Knapp, Leon VandeCreek.</t>
        </is>
      </c>
      <c r="F1450" t="inlineStr">
        <is>
          <t>No</t>
        </is>
      </c>
      <c r="G1450" t="inlineStr">
        <is>
          <t>1</t>
        </is>
      </c>
      <c r="H1450" t="inlineStr">
        <is>
          <t>No</t>
        </is>
      </c>
      <c r="I1450" t="inlineStr">
        <is>
          <t>No</t>
        </is>
      </c>
      <c r="J1450" t="inlineStr">
        <is>
          <t>0</t>
        </is>
      </c>
      <c r="K1450" t="inlineStr">
        <is>
          <t>Knapp, Samuel.</t>
        </is>
      </c>
      <c r="L1450" t="inlineStr">
        <is>
          <t>Sarasota, Fla. : Professional Resource Exchange, c1990.</t>
        </is>
      </c>
      <c r="M1450" t="inlineStr">
        <is>
          <t>1990</t>
        </is>
      </c>
      <c r="O1450" t="inlineStr">
        <is>
          <t>eng</t>
        </is>
      </c>
      <c r="P1450" t="inlineStr">
        <is>
          <t>flu</t>
        </is>
      </c>
      <c r="Q1450" t="inlineStr">
        <is>
          <t>Practitioner's resource series</t>
        </is>
      </c>
      <c r="R1450" t="inlineStr">
        <is>
          <t xml:space="preserve">RC </t>
        </is>
      </c>
      <c r="S1450" t="n">
        <v>27</v>
      </c>
      <c r="T1450" t="n">
        <v>27</v>
      </c>
      <c r="U1450" t="inlineStr">
        <is>
          <t>2002-04-17</t>
        </is>
      </c>
      <c r="V1450" t="inlineStr">
        <is>
          <t>2002-04-17</t>
        </is>
      </c>
      <c r="W1450" t="inlineStr">
        <is>
          <t>1991-04-30</t>
        </is>
      </c>
      <c r="X1450" t="inlineStr">
        <is>
          <t>1991-04-30</t>
        </is>
      </c>
      <c r="Y1450" t="n">
        <v>57</v>
      </c>
      <c r="Z1450" t="n">
        <v>54</v>
      </c>
      <c r="AA1450" t="n">
        <v>56</v>
      </c>
      <c r="AB1450" t="n">
        <v>1</v>
      </c>
      <c r="AC1450" t="n">
        <v>1</v>
      </c>
      <c r="AD1450" t="n">
        <v>3</v>
      </c>
      <c r="AE1450" t="n">
        <v>3</v>
      </c>
      <c r="AF1450" t="n">
        <v>2</v>
      </c>
      <c r="AG1450" t="n">
        <v>2</v>
      </c>
      <c r="AH1450" t="n">
        <v>0</v>
      </c>
      <c r="AI1450" t="n">
        <v>0</v>
      </c>
      <c r="AJ1450" t="n">
        <v>3</v>
      </c>
      <c r="AK1450" t="n">
        <v>3</v>
      </c>
      <c r="AL1450" t="n">
        <v>0</v>
      </c>
      <c r="AM1450" t="n">
        <v>0</v>
      </c>
      <c r="AN1450" t="n">
        <v>0</v>
      </c>
      <c r="AO1450" t="n">
        <v>0</v>
      </c>
      <c r="AP1450" t="inlineStr">
        <is>
          <t>No</t>
        </is>
      </c>
      <c r="AQ1450" t="inlineStr">
        <is>
          <t>Yes</t>
        </is>
      </c>
      <c r="AR1450">
        <f>HYPERLINK("http://catalog.hathitrust.org/Record/003513753","HathiTrust Record")</f>
        <v/>
      </c>
      <c r="AS1450">
        <f>HYPERLINK("https://creighton-primo.hosted.exlibrisgroup.com/primo-explore/search?tab=default_tab&amp;search_scope=EVERYTHING&amp;vid=01CRU&amp;lang=en_US&amp;offset=0&amp;query=any,contains,991001764049702656","Catalog Record")</f>
        <v/>
      </c>
      <c r="AT1450">
        <f>HYPERLINK("http://www.worldcat.org/oclc/22297495","WorldCat Record")</f>
        <v/>
      </c>
      <c r="AU1450" t="inlineStr">
        <is>
          <t>24648431:eng</t>
        </is>
      </c>
      <c r="AV1450" t="inlineStr">
        <is>
          <t>22297495</t>
        </is>
      </c>
      <c r="AW1450" t="inlineStr">
        <is>
          <t>991001764049702656</t>
        </is>
      </c>
      <c r="AX1450" t="inlineStr">
        <is>
          <t>991001764049702656</t>
        </is>
      </c>
      <c r="AY1450" t="inlineStr">
        <is>
          <t>2266259490002656</t>
        </is>
      </c>
      <c r="AZ1450" t="inlineStr">
        <is>
          <t>BOOK</t>
        </is>
      </c>
      <c r="BB1450" t="inlineStr">
        <is>
          <t>9780943158587</t>
        </is>
      </c>
      <c r="BC1450" t="inlineStr">
        <is>
          <t>32285000570134</t>
        </is>
      </c>
      <c r="BD1450" t="inlineStr">
        <is>
          <t>893256496</t>
        </is>
      </c>
    </row>
    <row r="1451">
      <c r="A1451" t="inlineStr">
        <is>
          <t>No</t>
        </is>
      </c>
      <c r="B1451" t="inlineStr">
        <is>
          <t>RC607.A26 K73 1989</t>
        </is>
      </c>
      <c r="C1451" t="inlineStr">
        <is>
          <t>0                      RC 0607000A  26                 K  73          1989</t>
        </is>
      </c>
      <c r="D1451" t="inlineStr">
        <is>
          <t>Reports from the holocaust : the making of an AIDS activist / Larry Kramer.</t>
        </is>
      </c>
      <c r="F1451" t="inlineStr">
        <is>
          <t>No</t>
        </is>
      </c>
      <c r="G1451" t="inlineStr">
        <is>
          <t>1</t>
        </is>
      </c>
      <c r="H1451" t="inlineStr">
        <is>
          <t>No</t>
        </is>
      </c>
      <c r="I1451" t="inlineStr">
        <is>
          <t>No</t>
        </is>
      </c>
      <c r="J1451" t="inlineStr">
        <is>
          <t>0</t>
        </is>
      </c>
      <c r="K1451" t="inlineStr">
        <is>
          <t>Kramer, Larry.</t>
        </is>
      </c>
      <c r="L1451" t="inlineStr">
        <is>
          <t>New York : St. Martin's Press, c1989.</t>
        </is>
      </c>
      <c r="M1451" t="inlineStr">
        <is>
          <t>1989</t>
        </is>
      </c>
      <c r="N1451" t="inlineStr">
        <is>
          <t>1st ed.</t>
        </is>
      </c>
      <c r="O1451" t="inlineStr">
        <is>
          <t>eng</t>
        </is>
      </c>
      <c r="P1451" t="inlineStr">
        <is>
          <t>nyu</t>
        </is>
      </c>
      <c r="R1451" t="inlineStr">
        <is>
          <t xml:space="preserve">RC </t>
        </is>
      </c>
      <c r="S1451" t="n">
        <v>5</v>
      </c>
      <c r="T1451" t="n">
        <v>5</v>
      </c>
      <c r="U1451" t="inlineStr">
        <is>
          <t>1993-10-02</t>
        </is>
      </c>
      <c r="V1451" t="inlineStr">
        <is>
          <t>1993-10-02</t>
        </is>
      </c>
      <c r="W1451" t="inlineStr">
        <is>
          <t>1990-09-20</t>
        </is>
      </c>
      <c r="X1451" t="inlineStr">
        <is>
          <t>1990-09-20</t>
        </is>
      </c>
      <c r="Y1451" t="n">
        <v>394</v>
      </c>
      <c r="Z1451" t="n">
        <v>358</v>
      </c>
      <c r="AA1451" t="n">
        <v>515</v>
      </c>
      <c r="AB1451" t="n">
        <v>1</v>
      </c>
      <c r="AC1451" t="n">
        <v>2</v>
      </c>
      <c r="AD1451" t="n">
        <v>9</v>
      </c>
      <c r="AE1451" t="n">
        <v>15</v>
      </c>
      <c r="AF1451" t="n">
        <v>1</v>
      </c>
      <c r="AG1451" t="n">
        <v>2</v>
      </c>
      <c r="AH1451" t="n">
        <v>2</v>
      </c>
      <c r="AI1451" t="n">
        <v>4</v>
      </c>
      <c r="AJ1451" t="n">
        <v>8</v>
      </c>
      <c r="AK1451" t="n">
        <v>10</v>
      </c>
      <c r="AL1451" t="n">
        <v>0</v>
      </c>
      <c r="AM1451" t="n">
        <v>1</v>
      </c>
      <c r="AN1451" t="n">
        <v>0</v>
      </c>
      <c r="AO1451" t="n">
        <v>1</v>
      </c>
      <c r="AP1451" t="inlineStr">
        <is>
          <t>No</t>
        </is>
      </c>
      <c r="AQ1451" t="inlineStr">
        <is>
          <t>No</t>
        </is>
      </c>
      <c r="AS1451">
        <f>HYPERLINK("https://creighton-primo.hosted.exlibrisgroup.com/primo-explore/search?tab=default_tab&amp;search_scope=EVERYTHING&amp;vid=01CRU&amp;lang=en_US&amp;offset=0&amp;query=any,contains,991001416229702656","Catalog Record")</f>
        <v/>
      </c>
      <c r="AT1451">
        <f>HYPERLINK("http://www.worldcat.org/oclc/18949181","WorldCat Record")</f>
        <v/>
      </c>
      <c r="AU1451" t="inlineStr">
        <is>
          <t>19439030:eng</t>
        </is>
      </c>
      <c r="AV1451" t="inlineStr">
        <is>
          <t>18949181</t>
        </is>
      </c>
      <c r="AW1451" t="inlineStr">
        <is>
          <t>991001416229702656</t>
        </is>
      </c>
      <c r="AX1451" t="inlineStr">
        <is>
          <t>991001416229702656</t>
        </is>
      </c>
      <c r="AY1451" t="inlineStr">
        <is>
          <t>2270561690002656</t>
        </is>
      </c>
      <c r="AZ1451" t="inlineStr">
        <is>
          <t>BOOK</t>
        </is>
      </c>
      <c r="BB1451" t="inlineStr">
        <is>
          <t>9780312026349</t>
        </is>
      </c>
      <c r="BC1451" t="inlineStr">
        <is>
          <t>32285000277516</t>
        </is>
      </c>
      <c r="BD1451" t="inlineStr">
        <is>
          <t>893238113</t>
        </is>
      </c>
    </row>
    <row r="1452">
      <c r="A1452" t="inlineStr">
        <is>
          <t>No</t>
        </is>
      </c>
      <c r="B1452" t="inlineStr">
        <is>
          <t>RC607.A26 L36 1988</t>
        </is>
      </c>
      <c r="C1452" t="inlineStr">
        <is>
          <t>0                      RC 0607000A  26                 L  36          1988</t>
        </is>
      </c>
      <c r="D1452" t="inlineStr">
        <is>
          <t>AIDS : the facts / John Langone.</t>
        </is>
      </c>
      <c r="F1452" t="inlineStr">
        <is>
          <t>No</t>
        </is>
      </c>
      <c r="G1452" t="inlineStr">
        <is>
          <t>1</t>
        </is>
      </c>
      <c r="H1452" t="inlineStr">
        <is>
          <t>No</t>
        </is>
      </c>
      <c r="I1452" t="inlineStr">
        <is>
          <t>No</t>
        </is>
      </c>
      <c r="J1452" t="inlineStr">
        <is>
          <t>0</t>
        </is>
      </c>
      <c r="K1452" t="inlineStr">
        <is>
          <t>Langone, John, 1929-2006.</t>
        </is>
      </c>
      <c r="L1452" t="inlineStr">
        <is>
          <t>Boston : Little, Brown, c1988.</t>
        </is>
      </c>
      <c r="M1452" t="inlineStr">
        <is>
          <t>1988</t>
        </is>
      </c>
      <c r="N1452" t="inlineStr">
        <is>
          <t>1st ed.</t>
        </is>
      </c>
      <c r="O1452" t="inlineStr">
        <is>
          <t>eng</t>
        </is>
      </c>
      <c r="P1452" t="inlineStr">
        <is>
          <t>mau</t>
        </is>
      </c>
      <c r="R1452" t="inlineStr">
        <is>
          <t xml:space="preserve">RC </t>
        </is>
      </c>
      <c r="S1452" t="n">
        <v>29</v>
      </c>
      <c r="T1452" t="n">
        <v>29</v>
      </c>
      <c r="U1452" t="inlineStr">
        <is>
          <t>2002-02-28</t>
        </is>
      </c>
      <c r="V1452" t="inlineStr">
        <is>
          <t>2002-02-28</t>
        </is>
      </c>
      <c r="W1452" t="inlineStr">
        <is>
          <t>1990-06-13</t>
        </is>
      </c>
      <c r="X1452" t="inlineStr">
        <is>
          <t>1990-06-13</t>
        </is>
      </c>
      <c r="Y1452" t="n">
        <v>761</v>
      </c>
      <c r="Z1452" t="n">
        <v>704</v>
      </c>
      <c r="AA1452" t="n">
        <v>872</v>
      </c>
      <c r="AB1452" t="n">
        <v>4</v>
      </c>
      <c r="AC1452" t="n">
        <v>4</v>
      </c>
      <c r="AD1452" t="n">
        <v>18</v>
      </c>
      <c r="AE1452" t="n">
        <v>19</v>
      </c>
      <c r="AF1452" t="n">
        <v>3</v>
      </c>
      <c r="AG1452" t="n">
        <v>3</v>
      </c>
      <c r="AH1452" t="n">
        <v>4</v>
      </c>
      <c r="AI1452" t="n">
        <v>4</v>
      </c>
      <c r="AJ1452" t="n">
        <v>10</v>
      </c>
      <c r="AK1452" t="n">
        <v>11</v>
      </c>
      <c r="AL1452" t="n">
        <v>2</v>
      </c>
      <c r="AM1452" t="n">
        <v>2</v>
      </c>
      <c r="AN1452" t="n">
        <v>2</v>
      </c>
      <c r="AO1452" t="n">
        <v>2</v>
      </c>
      <c r="AP1452" t="inlineStr">
        <is>
          <t>No</t>
        </is>
      </c>
      <c r="AQ1452" t="inlineStr">
        <is>
          <t>No</t>
        </is>
      </c>
      <c r="AS1452">
        <f>HYPERLINK("https://creighton-primo.hosted.exlibrisgroup.com/primo-explore/search?tab=default_tab&amp;search_scope=EVERYTHING&amp;vid=01CRU&amp;lang=en_US&amp;offset=0&amp;query=any,contains,991001158979702656","Catalog Record")</f>
        <v/>
      </c>
      <c r="AT1452">
        <f>HYPERLINK("http://www.worldcat.org/oclc/16872267","WorldCat Record")</f>
        <v/>
      </c>
      <c r="AU1452" t="inlineStr">
        <is>
          <t>13597411:eng</t>
        </is>
      </c>
      <c r="AV1452" t="inlineStr">
        <is>
          <t>16872267</t>
        </is>
      </c>
      <c r="AW1452" t="inlineStr">
        <is>
          <t>991001158979702656</t>
        </is>
      </c>
      <c r="AX1452" t="inlineStr">
        <is>
          <t>991001158979702656</t>
        </is>
      </c>
      <c r="AY1452" t="inlineStr">
        <is>
          <t>2255818020002656</t>
        </is>
      </c>
      <c r="AZ1452" t="inlineStr">
        <is>
          <t>BOOK</t>
        </is>
      </c>
      <c r="BB1452" t="inlineStr">
        <is>
          <t>9780316514125</t>
        </is>
      </c>
      <c r="BC1452" t="inlineStr">
        <is>
          <t>32285000191600</t>
        </is>
      </c>
      <c r="BD1452" t="inlineStr">
        <is>
          <t>893237917</t>
        </is>
      </c>
    </row>
    <row r="1453">
      <c r="A1453" t="inlineStr">
        <is>
          <t>No</t>
        </is>
      </c>
      <c r="B1453" t="inlineStr">
        <is>
          <t>RC607.A26 L58 1992</t>
        </is>
      </c>
      <c r="C1453" t="inlineStr">
        <is>
          <t>0                      RC 0607000A  26                 L  58          1992</t>
        </is>
      </c>
      <c r="D1453" t="inlineStr">
        <is>
          <t>Living and dying with AIDS / edited by Paul I. Ahmed with the assistance of Nancy Ahmed.</t>
        </is>
      </c>
      <c r="F1453" t="inlineStr">
        <is>
          <t>No</t>
        </is>
      </c>
      <c r="G1453" t="inlineStr">
        <is>
          <t>1</t>
        </is>
      </c>
      <c r="H1453" t="inlineStr">
        <is>
          <t>No</t>
        </is>
      </c>
      <c r="I1453" t="inlineStr">
        <is>
          <t>No</t>
        </is>
      </c>
      <c r="J1453" t="inlineStr">
        <is>
          <t>0</t>
        </is>
      </c>
      <c r="L1453" t="inlineStr">
        <is>
          <t>New York : Plenum Press, c1992.</t>
        </is>
      </c>
      <c r="M1453" t="inlineStr">
        <is>
          <t>1992</t>
        </is>
      </c>
      <c r="O1453" t="inlineStr">
        <is>
          <t>eng</t>
        </is>
      </c>
      <c r="P1453" t="inlineStr">
        <is>
          <t>nyu</t>
        </is>
      </c>
      <c r="Q1453" t="inlineStr">
        <is>
          <t>The Language of science</t>
        </is>
      </c>
      <c r="R1453" t="inlineStr">
        <is>
          <t xml:space="preserve">RC </t>
        </is>
      </c>
      <c r="S1453" t="n">
        <v>39</v>
      </c>
      <c r="T1453" t="n">
        <v>39</v>
      </c>
      <c r="U1453" t="inlineStr">
        <is>
          <t>2005-03-19</t>
        </is>
      </c>
      <c r="V1453" t="inlineStr">
        <is>
          <t>2005-03-19</t>
        </is>
      </c>
      <c r="W1453" t="inlineStr">
        <is>
          <t>1992-07-28</t>
        </is>
      </c>
      <c r="X1453" t="inlineStr">
        <is>
          <t>1992-07-28</t>
        </is>
      </c>
      <c r="Y1453" t="n">
        <v>276</v>
      </c>
      <c r="Z1453" t="n">
        <v>200</v>
      </c>
      <c r="AA1453" t="n">
        <v>226</v>
      </c>
      <c r="AB1453" t="n">
        <v>3</v>
      </c>
      <c r="AC1453" t="n">
        <v>3</v>
      </c>
      <c r="AD1453" t="n">
        <v>13</v>
      </c>
      <c r="AE1453" t="n">
        <v>15</v>
      </c>
      <c r="AF1453" t="n">
        <v>1</v>
      </c>
      <c r="AG1453" t="n">
        <v>3</v>
      </c>
      <c r="AH1453" t="n">
        <v>4</v>
      </c>
      <c r="AI1453" t="n">
        <v>4</v>
      </c>
      <c r="AJ1453" t="n">
        <v>8</v>
      </c>
      <c r="AK1453" t="n">
        <v>9</v>
      </c>
      <c r="AL1453" t="n">
        <v>2</v>
      </c>
      <c r="AM1453" t="n">
        <v>2</v>
      </c>
      <c r="AN1453" t="n">
        <v>1</v>
      </c>
      <c r="AO1453" t="n">
        <v>1</v>
      </c>
      <c r="AP1453" t="inlineStr">
        <is>
          <t>No</t>
        </is>
      </c>
      <c r="AQ1453" t="inlineStr">
        <is>
          <t>No</t>
        </is>
      </c>
      <c r="AS1453">
        <f>HYPERLINK("https://creighton-primo.hosted.exlibrisgroup.com/primo-explore/search?tab=default_tab&amp;search_scope=EVERYTHING&amp;vid=01CRU&amp;lang=en_US&amp;offset=0&amp;query=any,contains,991001923919702656","Catalog Record")</f>
        <v/>
      </c>
      <c r="AT1453">
        <f>HYPERLINK("http://www.worldcat.org/oclc/24288269","WorldCat Record")</f>
        <v/>
      </c>
      <c r="AU1453" t="inlineStr">
        <is>
          <t>364414108:eng</t>
        </is>
      </c>
      <c r="AV1453" t="inlineStr">
        <is>
          <t>24288269</t>
        </is>
      </c>
      <c r="AW1453" t="inlineStr">
        <is>
          <t>991001923919702656</t>
        </is>
      </c>
      <c r="AX1453" t="inlineStr">
        <is>
          <t>991001923919702656</t>
        </is>
      </c>
      <c r="AY1453" t="inlineStr">
        <is>
          <t>2269082110002656</t>
        </is>
      </c>
      <c r="AZ1453" t="inlineStr">
        <is>
          <t>BOOK</t>
        </is>
      </c>
      <c r="BB1453" t="inlineStr">
        <is>
          <t>9780306438516</t>
        </is>
      </c>
      <c r="BC1453" t="inlineStr">
        <is>
          <t>32285001195659</t>
        </is>
      </c>
      <c r="BD1453" t="inlineStr">
        <is>
          <t>893590747</t>
        </is>
      </c>
    </row>
    <row r="1454">
      <c r="A1454" t="inlineStr">
        <is>
          <t>No</t>
        </is>
      </c>
      <c r="B1454" t="inlineStr">
        <is>
          <t>RC607.A26 M36 1993</t>
        </is>
      </c>
      <c r="C1454" t="inlineStr">
        <is>
          <t>0                      RC 0607000A  26                 M  36          1993</t>
        </is>
      </c>
      <c r="D1454" t="inlineStr">
        <is>
          <t>When someone you know has AIDS : a practical guide / by Leonard J. Martelli ... [et al.].</t>
        </is>
      </c>
      <c r="F1454" t="inlineStr">
        <is>
          <t>No</t>
        </is>
      </c>
      <c r="G1454" t="inlineStr">
        <is>
          <t>1</t>
        </is>
      </c>
      <c r="H1454" t="inlineStr">
        <is>
          <t>No</t>
        </is>
      </c>
      <c r="I1454" t="inlineStr">
        <is>
          <t>No</t>
        </is>
      </c>
      <c r="J1454" t="inlineStr">
        <is>
          <t>0</t>
        </is>
      </c>
      <c r="L1454" t="inlineStr">
        <is>
          <t>New York : Crown Trade Paperbacks, c1993.</t>
        </is>
      </c>
      <c r="M1454" t="inlineStr">
        <is>
          <t>1993</t>
        </is>
      </c>
      <c r="N1454" t="inlineStr">
        <is>
          <t>Rev. and updated ed.</t>
        </is>
      </c>
      <c r="O1454" t="inlineStr">
        <is>
          <t>eng</t>
        </is>
      </c>
      <c r="P1454" t="inlineStr">
        <is>
          <t>nyu</t>
        </is>
      </c>
      <c r="R1454" t="inlineStr">
        <is>
          <t xml:space="preserve">RC </t>
        </is>
      </c>
      <c r="S1454" t="n">
        <v>24</v>
      </c>
      <c r="T1454" t="n">
        <v>24</v>
      </c>
      <c r="U1454" t="inlineStr">
        <is>
          <t>2002-02-03</t>
        </is>
      </c>
      <c r="V1454" t="inlineStr">
        <is>
          <t>2002-02-03</t>
        </is>
      </c>
      <c r="W1454" t="inlineStr">
        <is>
          <t>1995-10-23</t>
        </is>
      </c>
      <c r="X1454" t="inlineStr">
        <is>
          <t>1995-10-23</t>
        </is>
      </c>
      <c r="Y1454" t="n">
        <v>192</v>
      </c>
      <c r="Z1454" t="n">
        <v>181</v>
      </c>
      <c r="AA1454" t="n">
        <v>872</v>
      </c>
      <c r="AB1454" t="n">
        <v>1</v>
      </c>
      <c r="AC1454" t="n">
        <v>6</v>
      </c>
      <c r="AD1454" t="n">
        <v>1</v>
      </c>
      <c r="AE1454" t="n">
        <v>19</v>
      </c>
      <c r="AF1454" t="n">
        <v>0</v>
      </c>
      <c r="AG1454" t="n">
        <v>8</v>
      </c>
      <c r="AH1454" t="n">
        <v>0</v>
      </c>
      <c r="AI1454" t="n">
        <v>2</v>
      </c>
      <c r="AJ1454" t="n">
        <v>1</v>
      </c>
      <c r="AK1454" t="n">
        <v>11</v>
      </c>
      <c r="AL1454" t="n">
        <v>0</v>
      </c>
      <c r="AM1454" t="n">
        <v>0</v>
      </c>
      <c r="AN1454" t="n">
        <v>0</v>
      </c>
      <c r="AO1454" t="n">
        <v>1</v>
      </c>
      <c r="AP1454" t="inlineStr">
        <is>
          <t>No</t>
        </is>
      </c>
      <c r="AQ1454" t="inlineStr">
        <is>
          <t>Yes</t>
        </is>
      </c>
      <c r="AR1454">
        <f>HYPERLINK("http://catalog.hathitrust.org/Record/008744960","HathiTrust Record")</f>
        <v/>
      </c>
      <c r="AS1454">
        <f>HYPERLINK("https://creighton-primo.hosted.exlibrisgroup.com/primo-explore/search?tab=default_tab&amp;search_scope=EVERYTHING&amp;vid=01CRU&amp;lang=en_US&amp;offset=0&amp;query=any,contains,991002132689702656","Catalog Record")</f>
        <v/>
      </c>
      <c r="AT1454">
        <f>HYPERLINK("http://www.worldcat.org/oclc/27338918","WorldCat Record")</f>
        <v/>
      </c>
      <c r="AU1454" t="inlineStr">
        <is>
          <t>9080980:eng</t>
        </is>
      </c>
      <c r="AV1454" t="inlineStr">
        <is>
          <t>27338918</t>
        </is>
      </c>
      <c r="AW1454" t="inlineStr">
        <is>
          <t>991002132689702656</t>
        </is>
      </c>
      <c r="AX1454" t="inlineStr">
        <is>
          <t>991002132689702656</t>
        </is>
      </c>
      <c r="AY1454" t="inlineStr">
        <is>
          <t>2271557450002656</t>
        </is>
      </c>
      <c r="AZ1454" t="inlineStr">
        <is>
          <t>BOOK</t>
        </is>
      </c>
      <c r="BB1454" t="inlineStr">
        <is>
          <t>9780517880395</t>
        </is>
      </c>
      <c r="BC1454" t="inlineStr">
        <is>
          <t>32285002097342</t>
        </is>
      </c>
      <c r="BD1454" t="inlineStr">
        <is>
          <t>893792062</t>
        </is>
      </c>
    </row>
    <row r="1455">
      <c r="A1455" t="inlineStr">
        <is>
          <t>No</t>
        </is>
      </c>
      <c r="B1455" t="inlineStr">
        <is>
          <t>RC607.A26 M66 1988</t>
        </is>
      </c>
      <c r="C1455" t="inlineStr">
        <is>
          <t>0                      RC 0607000A  26                 M  66          1988</t>
        </is>
      </c>
      <c r="D1455" t="inlineStr">
        <is>
          <t>Borrowed time : an AIDS memoir / Paul Monette.</t>
        </is>
      </c>
      <c r="F1455" t="inlineStr">
        <is>
          <t>No</t>
        </is>
      </c>
      <c r="G1455" t="inlineStr">
        <is>
          <t>1</t>
        </is>
      </c>
      <c r="H1455" t="inlineStr">
        <is>
          <t>No</t>
        </is>
      </c>
      <c r="I1455" t="inlineStr">
        <is>
          <t>No</t>
        </is>
      </c>
      <c r="J1455" t="inlineStr">
        <is>
          <t>0</t>
        </is>
      </c>
      <c r="K1455" t="inlineStr">
        <is>
          <t>Monette, Paul.</t>
        </is>
      </c>
      <c r="L1455" t="inlineStr">
        <is>
          <t>San Diego : Harcourt Brace Jovanovich, c1988.</t>
        </is>
      </c>
      <c r="M1455" t="inlineStr">
        <is>
          <t>1988</t>
        </is>
      </c>
      <c r="N1455" t="inlineStr">
        <is>
          <t>1st ed.</t>
        </is>
      </c>
      <c r="O1455" t="inlineStr">
        <is>
          <t>eng</t>
        </is>
      </c>
      <c r="P1455" t="inlineStr">
        <is>
          <t>cau</t>
        </is>
      </c>
      <c r="R1455" t="inlineStr">
        <is>
          <t xml:space="preserve">RC </t>
        </is>
      </c>
      <c r="S1455" t="n">
        <v>8</v>
      </c>
      <c r="T1455" t="n">
        <v>8</v>
      </c>
      <c r="U1455" t="inlineStr">
        <is>
          <t>2004-10-18</t>
        </is>
      </c>
      <c r="V1455" t="inlineStr">
        <is>
          <t>2004-10-18</t>
        </is>
      </c>
      <c r="W1455" t="inlineStr">
        <is>
          <t>1992-04-01</t>
        </is>
      </c>
      <c r="X1455" t="inlineStr">
        <is>
          <t>1992-04-01</t>
        </is>
      </c>
      <c r="Y1455" t="n">
        <v>1069</v>
      </c>
      <c r="Z1455" t="n">
        <v>1012</v>
      </c>
      <c r="AA1455" t="n">
        <v>1509</v>
      </c>
      <c r="AB1455" t="n">
        <v>16</v>
      </c>
      <c r="AC1455" t="n">
        <v>20</v>
      </c>
      <c r="AD1455" t="n">
        <v>23</v>
      </c>
      <c r="AE1455" t="n">
        <v>42</v>
      </c>
      <c r="AF1455" t="n">
        <v>6</v>
      </c>
      <c r="AG1455" t="n">
        <v>14</v>
      </c>
      <c r="AH1455" t="n">
        <v>3</v>
      </c>
      <c r="AI1455" t="n">
        <v>8</v>
      </c>
      <c r="AJ1455" t="n">
        <v>12</v>
      </c>
      <c r="AK1455" t="n">
        <v>20</v>
      </c>
      <c r="AL1455" t="n">
        <v>4</v>
      </c>
      <c r="AM1455" t="n">
        <v>8</v>
      </c>
      <c r="AN1455" t="n">
        <v>1</v>
      </c>
      <c r="AO1455" t="n">
        <v>1</v>
      </c>
      <c r="AP1455" t="inlineStr">
        <is>
          <t>No</t>
        </is>
      </c>
      <c r="AQ1455" t="inlineStr">
        <is>
          <t>Yes</t>
        </is>
      </c>
      <c r="AR1455">
        <f>HYPERLINK("http://catalog.hathitrust.org/Record/001102999","HathiTrust Record")</f>
        <v/>
      </c>
      <c r="AS1455">
        <f>HYPERLINK("https://creighton-primo.hosted.exlibrisgroup.com/primo-explore/search?tab=default_tab&amp;search_scope=EVERYTHING&amp;vid=01CRU&amp;lang=en_US&amp;offset=0&amp;query=any,contains,991001253809702656","Catalog Record")</f>
        <v/>
      </c>
      <c r="AT1455">
        <f>HYPERLINK("http://www.worldcat.org/oclc/17726716","WorldCat Record")</f>
        <v/>
      </c>
      <c r="AU1455" t="inlineStr">
        <is>
          <t>45662740:eng</t>
        </is>
      </c>
      <c r="AV1455" t="inlineStr">
        <is>
          <t>17726716</t>
        </is>
      </c>
      <c r="AW1455" t="inlineStr">
        <is>
          <t>991001253809702656</t>
        </is>
      </c>
      <c r="AX1455" t="inlineStr">
        <is>
          <t>991001253809702656</t>
        </is>
      </c>
      <c r="AY1455" t="inlineStr">
        <is>
          <t>2258860020002656</t>
        </is>
      </c>
      <c r="AZ1455" t="inlineStr">
        <is>
          <t>BOOK</t>
        </is>
      </c>
      <c r="BB1455" t="inlineStr">
        <is>
          <t>9780151135981</t>
        </is>
      </c>
      <c r="BC1455" t="inlineStr">
        <is>
          <t>32285001047637</t>
        </is>
      </c>
      <c r="BD1455" t="inlineStr">
        <is>
          <t>893897649</t>
        </is>
      </c>
    </row>
    <row r="1456">
      <c r="A1456" t="inlineStr">
        <is>
          <t>No</t>
        </is>
      </c>
      <c r="B1456" t="inlineStr">
        <is>
          <t>RC607.A26 N49 1992</t>
        </is>
      </c>
      <c r="C1456" t="inlineStr">
        <is>
          <t>0                      RC 0607000A  26                 N  49          1992</t>
        </is>
      </c>
      <c r="D1456" t="inlineStr">
        <is>
          <t>AIDS issues : a handbook / David E. Newton.</t>
        </is>
      </c>
      <c r="F1456" t="inlineStr">
        <is>
          <t>No</t>
        </is>
      </c>
      <c r="G1456" t="inlineStr">
        <is>
          <t>1</t>
        </is>
      </c>
      <c r="H1456" t="inlineStr">
        <is>
          <t>No</t>
        </is>
      </c>
      <c r="I1456" t="inlineStr">
        <is>
          <t>No</t>
        </is>
      </c>
      <c r="J1456" t="inlineStr">
        <is>
          <t>0</t>
        </is>
      </c>
      <c r="K1456" t="inlineStr">
        <is>
          <t>Newton, David E.</t>
        </is>
      </c>
      <c r="L1456" t="inlineStr">
        <is>
          <t>Hillside, N.J., U.S.A. : Enslow Publishers, c1992.</t>
        </is>
      </c>
      <c r="M1456" t="inlineStr">
        <is>
          <t>1992</t>
        </is>
      </c>
      <c r="O1456" t="inlineStr">
        <is>
          <t>eng</t>
        </is>
      </c>
      <c r="P1456" t="inlineStr">
        <is>
          <t>nju</t>
        </is>
      </c>
      <c r="Q1456" t="inlineStr">
        <is>
          <t>Issues in focus</t>
        </is>
      </c>
      <c r="R1456" t="inlineStr">
        <is>
          <t xml:space="preserve">RC </t>
        </is>
      </c>
      <c r="S1456" t="n">
        <v>31</v>
      </c>
      <c r="T1456" t="n">
        <v>31</v>
      </c>
      <c r="U1456" t="inlineStr">
        <is>
          <t>2005-03-30</t>
        </is>
      </c>
      <c r="V1456" t="inlineStr">
        <is>
          <t>2005-03-30</t>
        </is>
      </c>
      <c r="W1456" t="inlineStr">
        <is>
          <t>1995-07-21</t>
        </is>
      </c>
      <c r="X1456" t="inlineStr">
        <is>
          <t>1995-07-21</t>
        </is>
      </c>
      <c r="Y1456" t="n">
        <v>366</v>
      </c>
      <c r="Z1456" t="n">
        <v>353</v>
      </c>
      <c r="AA1456" t="n">
        <v>353</v>
      </c>
      <c r="AB1456" t="n">
        <v>3</v>
      </c>
      <c r="AC1456" t="n">
        <v>3</v>
      </c>
      <c r="AD1456" t="n">
        <v>1</v>
      </c>
      <c r="AE1456" t="n">
        <v>1</v>
      </c>
      <c r="AF1456" t="n">
        <v>0</v>
      </c>
      <c r="AG1456" t="n">
        <v>0</v>
      </c>
      <c r="AH1456" t="n">
        <v>0</v>
      </c>
      <c r="AI1456" t="n">
        <v>0</v>
      </c>
      <c r="AJ1456" t="n">
        <v>1</v>
      </c>
      <c r="AK1456" t="n">
        <v>1</v>
      </c>
      <c r="AL1456" t="n">
        <v>0</v>
      </c>
      <c r="AM1456" t="n">
        <v>0</v>
      </c>
      <c r="AN1456" t="n">
        <v>0</v>
      </c>
      <c r="AO1456" t="n">
        <v>0</v>
      </c>
      <c r="AP1456" t="inlineStr">
        <is>
          <t>No</t>
        </is>
      </c>
      <c r="AQ1456" t="inlineStr">
        <is>
          <t>No</t>
        </is>
      </c>
      <c r="AS1456">
        <f>HYPERLINK("https://creighton-primo.hosted.exlibrisgroup.com/primo-explore/search?tab=default_tab&amp;search_scope=EVERYTHING&amp;vid=01CRU&amp;lang=en_US&amp;offset=0&amp;query=any,contains,991002018759702656","Catalog Record")</f>
        <v/>
      </c>
      <c r="AT1456">
        <f>HYPERLINK("http://www.worldcat.org/oclc/25675842","WorldCat Record")</f>
        <v/>
      </c>
      <c r="AU1456" t="inlineStr">
        <is>
          <t>28682206:eng</t>
        </is>
      </c>
      <c r="AV1456" t="inlineStr">
        <is>
          <t>25675842</t>
        </is>
      </c>
      <c r="AW1456" t="inlineStr">
        <is>
          <t>991002018759702656</t>
        </is>
      </c>
      <c r="AX1456" t="inlineStr">
        <is>
          <t>991002018759702656</t>
        </is>
      </c>
      <c r="AY1456" t="inlineStr">
        <is>
          <t>2267004930002656</t>
        </is>
      </c>
      <c r="AZ1456" t="inlineStr">
        <is>
          <t>BOOK</t>
        </is>
      </c>
      <c r="BB1456" t="inlineStr">
        <is>
          <t>9780894903380</t>
        </is>
      </c>
      <c r="BC1456" t="inlineStr">
        <is>
          <t>32285002075256</t>
        </is>
      </c>
      <c r="BD1456" t="inlineStr">
        <is>
          <t>893347020</t>
        </is>
      </c>
    </row>
    <row r="1457">
      <c r="A1457" t="inlineStr">
        <is>
          <t>No</t>
        </is>
      </c>
      <c r="B1457" t="inlineStr">
        <is>
          <t>RC607.A26 N6 1989</t>
        </is>
      </c>
      <c r="C1457" t="inlineStr">
        <is>
          <t>0                      RC 0607000A  26                 N  6           1989</t>
        </is>
      </c>
      <c r="D1457" t="inlineStr">
        <is>
          <t>No longer immune : a counselor's guide to AIDS / Craig D. Kain, editor ; foreword by Bernard Siegel.</t>
        </is>
      </c>
      <c r="F1457" t="inlineStr">
        <is>
          <t>No</t>
        </is>
      </c>
      <c r="G1457" t="inlineStr">
        <is>
          <t>1</t>
        </is>
      </c>
      <c r="H1457" t="inlineStr">
        <is>
          <t>No</t>
        </is>
      </c>
      <c r="I1457" t="inlineStr">
        <is>
          <t>No</t>
        </is>
      </c>
      <c r="J1457" t="inlineStr">
        <is>
          <t>0</t>
        </is>
      </c>
      <c r="L1457" t="inlineStr">
        <is>
          <t>Alexandria, Va. : American Association for Counseling and Development, c1989.</t>
        </is>
      </c>
      <c r="M1457" t="inlineStr">
        <is>
          <t>1989</t>
        </is>
      </c>
      <c r="O1457" t="inlineStr">
        <is>
          <t>eng</t>
        </is>
      </c>
      <c r="P1457" t="inlineStr">
        <is>
          <t>vau</t>
        </is>
      </c>
      <c r="R1457" t="inlineStr">
        <is>
          <t xml:space="preserve">RC </t>
        </is>
      </c>
      <c r="S1457" t="n">
        <v>27</v>
      </c>
      <c r="T1457" t="n">
        <v>27</v>
      </c>
      <c r="U1457" t="inlineStr">
        <is>
          <t>2005-03-19</t>
        </is>
      </c>
      <c r="V1457" t="inlineStr">
        <is>
          <t>2005-03-19</t>
        </is>
      </c>
      <c r="W1457" t="inlineStr">
        <is>
          <t>1992-05-05</t>
        </is>
      </c>
      <c r="X1457" t="inlineStr">
        <is>
          <t>1992-05-05</t>
        </is>
      </c>
      <c r="Y1457" t="n">
        <v>225</v>
      </c>
      <c r="Z1457" t="n">
        <v>204</v>
      </c>
      <c r="AA1457" t="n">
        <v>212</v>
      </c>
      <c r="AB1457" t="n">
        <v>1</v>
      </c>
      <c r="AC1457" t="n">
        <v>1</v>
      </c>
      <c r="AD1457" t="n">
        <v>7</v>
      </c>
      <c r="AE1457" t="n">
        <v>7</v>
      </c>
      <c r="AF1457" t="n">
        <v>4</v>
      </c>
      <c r="AG1457" t="n">
        <v>4</v>
      </c>
      <c r="AH1457" t="n">
        <v>1</v>
      </c>
      <c r="AI1457" t="n">
        <v>1</v>
      </c>
      <c r="AJ1457" t="n">
        <v>4</v>
      </c>
      <c r="AK1457" t="n">
        <v>4</v>
      </c>
      <c r="AL1457" t="n">
        <v>0</v>
      </c>
      <c r="AM1457" t="n">
        <v>0</v>
      </c>
      <c r="AN1457" t="n">
        <v>0</v>
      </c>
      <c r="AO1457" t="n">
        <v>0</v>
      </c>
      <c r="AP1457" t="inlineStr">
        <is>
          <t>No</t>
        </is>
      </c>
      <c r="AQ1457" t="inlineStr">
        <is>
          <t>No</t>
        </is>
      </c>
      <c r="AS1457">
        <f>HYPERLINK("https://creighton-primo.hosted.exlibrisgroup.com/primo-explore/search?tab=default_tab&amp;search_scope=EVERYTHING&amp;vid=01CRU&amp;lang=en_US&amp;offset=0&amp;query=any,contains,991001461479702656","Catalog Record")</f>
        <v/>
      </c>
      <c r="AT1457">
        <f>HYPERLINK("http://www.worldcat.org/oclc/19455478","WorldCat Record")</f>
        <v/>
      </c>
      <c r="AU1457" t="inlineStr">
        <is>
          <t>21177335:eng</t>
        </is>
      </c>
      <c r="AV1457" t="inlineStr">
        <is>
          <t>19455478</t>
        </is>
      </c>
      <c r="AW1457" t="inlineStr">
        <is>
          <t>991001461479702656</t>
        </is>
      </c>
      <c r="AX1457" t="inlineStr">
        <is>
          <t>991001461479702656</t>
        </is>
      </c>
      <c r="AY1457" t="inlineStr">
        <is>
          <t>2270659490002656</t>
        </is>
      </c>
      <c r="AZ1457" t="inlineStr">
        <is>
          <t>BOOK</t>
        </is>
      </c>
      <c r="BB1457" t="inlineStr">
        <is>
          <t>9781556200649</t>
        </is>
      </c>
      <c r="BC1457" t="inlineStr">
        <is>
          <t>32285001037927</t>
        </is>
      </c>
      <c r="BD1457" t="inlineStr">
        <is>
          <t>893602618</t>
        </is>
      </c>
    </row>
    <row r="1458">
      <c r="A1458" t="inlineStr">
        <is>
          <t>No</t>
        </is>
      </c>
      <c r="B1458" t="inlineStr">
        <is>
          <t>RC607.A26 P43 1986</t>
        </is>
      </c>
      <c r="C1458" t="inlineStr">
        <is>
          <t>0                      RC 0607000A  26                 P  43          1986</t>
        </is>
      </c>
      <c r="D1458" t="inlineStr">
        <is>
          <t>The screaming room : a mother's journal of her son's struggle with AIDS : a true story of love, dedication and courage / by Barbara Peabody.</t>
        </is>
      </c>
      <c r="F1458" t="inlineStr">
        <is>
          <t>No</t>
        </is>
      </c>
      <c r="G1458" t="inlineStr">
        <is>
          <t>1</t>
        </is>
      </c>
      <c r="H1458" t="inlineStr">
        <is>
          <t>No</t>
        </is>
      </c>
      <c r="I1458" t="inlineStr">
        <is>
          <t>No</t>
        </is>
      </c>
      <c r="J1458" t="inlineStr">
        <is>
          <t>0</t>
        </is>
      </c>
      <c r="K1458" t="inlineStr">
        <is>
          <t>Peabody, Barbara.</t>
        </is>
      </c>
      <c r="L1458" t="inlineStr">
        <is>
          <t>San Diego, Calif. : Oak Tree Publishers, c1986.</t>
        </is>
      </c>
      <c r="M1458" t="inlineStr">
        <is>
          <t>1986</t>
        </is>
      </c>
      <c r="N1458" t="inlineStr">
        <is>
          <t>1st ed.</t>
        </is>
      </c>
      <c r="O1458" t="inlineStr">
        <is>
          <t>eng</t>
        </is>
      </c>
      <c r="P1458" t="inlineStr">
        <is>
          <t>cau</t>
        </is>
      </c>
      <c r="R1458" t="inlineStr">
        <is>
          <t xml:space="preserve">RC </t>
        </is>
      </c>
      <c r="S1458" t="n">
        <v>7</v>
      </c>
      <c r="T1458" t="n">
        <v>7</v>
      </c>
      <c r="U1458" t="inlineStr">
        <is>
          <t>2001-02-24</t>
        </is>
      </c>
      <c r="V1458" t="inlineStr">
        <is>
          <t>2001-02-24</t>
        </is>
      </c>
      <c r="W1458" t="inlineStr">
        <is>
          <t>1990-06-01</t>
        </is>
      </c>
      <c r="X1458" t="inlineStr">
        <is>
          <t>1990-06-01</t>
        </is>
      </c>
      <c r="Y1458" t="n">
        <v>486</v>
      </c>
      <c r="Z1458" t="n">
        <v>458</v>
      </c>
      <c r="AA1458" t="n">
        <v>582</v>
      </c>
      <c r="AB1458" t="n">
        <v>8</v>
      </c>
      <c r="AC1458" t="n">
        <v>9</v>
      </c>
      <c r="AD1458" t="n">
        <v>6</v>
      </c>
      <c r="AE1458" t="n">
        <v>9</v>
      </c>
      <c r="AF1458" t="n">
        <v>2</v>
      </c>
      <c r="AG1458" t="n">
        <v>2</v>
      </c>
      <c r="AH1458" t="n">
        <v>0</v>
      </c>
      <c r="AI1458" t="n">
        <v>0</v>
      </c>
      <c r="AJ1458" t="n">
        <v>3</v>
      </c>
      <c r="AK1458" t="n">
        <v>5</v>
      </c>
      <c r="AL1458" t="n">
        <v>2</v>
      </c>
      <c r="AM1458" t="n">
        <v>3</v>
      </c>
      <c r="AN1458" t="n">
        <v>0</v>
      </c>
      <c r="AO1458" t="n">
        <v>0</v>
      </c>
      <c r="AP1458" t="inlineStr">
        <is>
          <t>No</t>
        </is>
      </c>
      <c r="AQ1458" t="inlineStr">
        <is>
          <t>Yes</t>
        </is>
      </c>
      <c r="AR1458">
        <f>HYPERLINK("http://catalog.hathitrust.org/Record/000849779","HathiTrust Record")</f>
        <v/>
      </c>
      <c r="AS1458">
        <f>HYPERLINK("https://creighton-primo.hosted.exlibrisgroup.com/primo-explore/search?tab=default_tab&amp;search_scope=EVERYTHING&amp;vid=01CRU&amp;lang=en_US&amp;offset=0&amp;query=any,contains,991000785709702656","Catalog Record")</f>
        <v/>
      </c>
      <c r="AT1458">
        <f>HYPERLINK("http://www.worldcat.org/oclc/13124365","WorldCat Record")</f>
        <v/>
      </c>
      <c r="AU1458" t="inlineStr">
        <is>
          <t>5683698:eng</t>
        </is>
      </c>
      <c r="AV1458" t="inlineStr">
        <is>
          <t>13124365</t>
        </is>
      </c>
      <c r="AW1458" t="inlineStr">
        <is>
          <t>991000785709702656</t>
        </is>
      </c>
      <c r="AX1458" t="inlineStr">
        <is>
          <t>991000785709702656</t>
        </is>
      </c>
      <c r="AY1458" t="inlineStr">
        <is>
          <t>2255402630002656</t>
        </is>
      </c>
      <c r="AZ1458" t="inlineStr">
        <is>
          <t>BOOK</t>
        </is>
      </c>
      <c r="BB1458" t="inlineStr">
        <is>
          <t>9780866790307</t>
        </is>
      </c>
      <c r="BC1458" t="inlineStr">
        <is>
          <t>32285000180207</t>
        </is>
      </c>
      <c r="BD1458" t="inlineStr">
        <is>
          <t>893683744</t>
        </is>
      </c>
    </row>
    <row r="1459">
      <c r="A1459" t="inlineStr">
        <is>
          <t>No</t>
        </is>
      </c>
      <c r="B1459" t="inlineStr">
        <is>
          <t>RC607.A26 P64 1991</t>
        </is>
      </c>
      <c r="C1459" t="inlineStr">
        <is>
          <t>0                      RC 0607000A  26                 P  64          1991</t>
        </is>
      </c>
      <c r="D1459" t="inlineStr">
        <is>
          <t>The caregivers' journey : when you love someone with AIDS / Mel Pohl, Deniston Kay, and Doug Toft.</t>
        </is>
      </c>
      <c r="F1459" t="inlineStr">
        <is>
          <t>No</t>
        </is>
      </c>
      <c r="G1459" t="inlineStr">
        <is>
          <t>1</t>
        </is>
      </c>
      <c r="H1459" t="inlineStr">
        <is>
          <t>No</t>
        </is>
      </c>
      <c r="I1459" t="inlineStr">
        <is>
          <t>No</t>
        </is>
      </c>
      <c r="J1459" t="inlineStr">
        <is>
          <t>0</t>
        </is>
      </c>
      <c r="K1459" t="inlineStr">
        <is>
          <t>Pohl, Mel.</t>
        </is>
      </c>
      <c r="L1459" t="inlineStr">
        <is>
          <t>New York, NY : HarperCollins, 1991.</t>
        </is>
      </c>
      <c r="M1459" t="inlineStr">
        <is>
          <t>1991</t>
        </is>
      </c>
      <c r="N1459" t="inlineStr">
        <is>
          <t>1st HarperCollins ed.</t>
        </is>
      </c>
      <c r="O1459" t="inlineStr">
        <is>
          <t>eng</t>
        </is>
      </c>
      <c r="P1459" t="inlineStr">
        <is>
          <t>nyu</t>
        </is>
      </c>
      <c r="R1459" t="inlineStr">
        <is>
          <t xml:space="preserve">RC </t>
        </is>
      </c>
      <c r="S1459" t="n">
        <v>21</v>
      </c>
      <c r="T1459" t="n">
        <v>21</v>
      </c>
      <c r="U1459" t="inlineStr">
        <is>
          <t>2002-03-24</t>
        </is>
      </c>
      <c r="V1459" t="inlineStr">
        <is>
          <t>2002-03-24</t>
        </is>
      </c>
      <c r="W1459" t="inlineStr">
        <is>
          <t>1992-08-04</t>
        </is>
      </c>
      <c r="X1459" t="inlineStr">
        <is>
          <t>1992-08-04</t>
        </is>
      </c>
      <c r="Y1459" t="n">
        <v>170</v>
      </c>
      <c r="Z1459" t="n">
        <v>159</v>
      </c>
      <c r="AA1459" t="n">
        <v>256</v>
      </c>
      <c r="AB1459" t="n">
        <v>1</v>
      </c>
      <c r="AC1459" t="n">
        <v>1</v>
      </c>
      <c r="AD1459" t="n">
        <v>3</v>
      </c>
      <c r="AE1459" t="n">
        <v>3</v>
      </c>
      <c r="AF1459" t="n">
        <v>2</v>
      </c>
      <c r="AG1459" t="n">
        <v>2</v>
      </c>
      <c r="AH1459" t="n">
        <v>0</v>
      </c>
      <c r="AI1459" t="n">
        <v>0</v>
      </c>
      <c r="AJ1459" t="n">
        <v>2</v>
      </c>
      <c r="AK1459" t="n">
        <v>2</v>
      </c>
      <c r="AL1459" t="n">
        <v>0</v>
      </c>
      <c r="AM1459" t="n">
        <v>0</v>
      </c>
      <c r="AN1459" t="n">
        <v>0</v>
      </c>
      <c r="AO1459" t="n">
        <v>0</v>
      </c>
      <c r="AP1459" t="inlineStr">
        <is>
          <t>No</t>
        </is>
      </c>
      <c r="AQ1459" t="inlineStr">
        <is>
          <t>Yes</t>
        </is>
      </c>
      <c r="AR1459">
        <f>HYPERLINK("http://catalog.hathitrust.org/Record/008744964","HathiTrust Record")</f>
        <v/>
      </c>
      <c r="AS1459">
        <f>HYPERLINK("https://creighton-primo.hosted.exlibrisgroup.com/primo-explore/search?tab=default_tab&amp;search_scope=EVERYTHING&amp;vid=01CRU&amp;lang=en_US&amp;offset=0&amp;query=any,contains,991001813639702656","Catalog Record")</f>
        <v/>
      </c>
      <c r="AT1459">
        <f>HYPERLINK("http://www.worldcat.org/oclc/22767153","WorldCat Record")</f>
        <v/>
      </c>
      <c r="AU1459" t="inlineStr">
        <is>
          <t>23770359:eng</t>
        </is>
      </c>
      <c r="AV1459" t="inlineStr">
        <is>
          <t>22767153</t>
        </is>
      </c>
      <c r="AW1459" t="inlineStr">
        <is>
          <t>991001813639702656</t>
        </is>
      </c>
      <c r="AX1459" t="inlineStr">
        <is>
          <t>991001813639702656</t>
        </is>
      </c>
      <c r="AY1459" t="inlineStr">
        <is>
          <t>2261608030002656</t>
        </is>
      </c>
      <c r="AZ1459" t="inlineStr">
        <is>
          <t>BOOK</t>
        </is>
      </c>
      <c r="BB1459" t="inlineStr">
        <is>
          <t>9780062553393</t>
        </is>
      </c>
      <c r="BC1459" t="inlineStr">
        <is>
          <t>32285001196491</t>
        </is>
      </c>
      <c r="BD1459" t="inlineStr">
        <is>
          <t>893690941</t>
        </is>
      </c>
    </row>
    <row r="1460">
      <c r="A1460" t="inlineStr">
        <is>
          <t>No</t>
        </is>
      </c>
      <c r="B1460" t="inlineStr">
        <is>
          <t>RC607.A26 P7946 1990</t>
        </is>
      </c>
      <c r="C1460" t="inlineStr">
        <is>
          <t>0                      RC 0607000A  26                 P  7946        1990</t>
        </is>
      </c>
      <c r="D1460" t="inlineStr">
        <is>
          <t>Psychosocial perspectives on AIDS : etiology, prevention, and treatment / edited by Lydia Temoshok, Andrew Baum.</t>
        </is>
      </c>
      <c r="F1460" t="inlineStr">
        <is>
          <t>No</t>
        </is>
      </c>
      <c r="G1460" t="inlineStr">
        <is>
          <t>1</t>
        </is>
      </c>
      <c r="H1460" t="inlineStr">
        <is>
          <t>No</t>
        </is>
      </c>
      <c r="I1460" t="inlineStr">
        <is>
          <t>No</t>
        </is>
      </c>
      <c r="J1460" t="inlineStr">
        <is>
          <t>0</t>
        </is>
      </c>
      <c r="L1460" t="inlineStr">
        <is>
          <t>Hillsdale, N.J. : L. Erlbaum, 1990.</t>
        </is>
      </c>
      <c r="M1460" t="inlineStr">
        <is>
          <t>1990</t>
        </is>
      </c>
      <c r="O1460" t="inlineStr">
        <is>
          <t>eng</t>
        </is>
      </c>
      <c r="P1460" t="inlineStr">
        <is>
          <t>nju</t>
        </is>
      </c>
      <c r="R1460" t="inlineStr">
        <is>
          <t xml:space="preserve">RC </t>
        </is>
      </c>
      <c r="S1460" t="n">
        <v>32</v>
      </c>
      <c r="T1460" t="n">
        <v>32</v>
      </c>
      <c r="U1460" t="inlineStr">
        <is>
          <t>2003-10-24</t>
        </is>
      </c>
      <c r="V1460" t="inlineStr">
        <is>
          <t>2003-10-24</t>
        </is>
      </c>
      <c r="W1460" t="inlineStr">
        <is>
          <t>1992-05-22</t>
        </is>
      </c>
      <c r="X1460" t="inlineStr">
        <is>
          <t>1992-05-22</t>
        </is>
      </c>
      <c r="Y1460" t="n">
        <v>284</v>
      </c>
      <c r="Z1460" t="n">
        <v>229</v>
      </c>
      <c r="AA1460" t="n">
        <v>256</v>
      </c>
      <c r="AB1460" t="n">
        <v>1</v>
      </c>
      <c r="AC1460" t="n">
        <v>1</v>
      </c>
      <c r="AD1460" t="n">
        <v>11</v>
      </c>
      <c r="AE1460" t="n">
        <v>11</v>
      </c>
      <c r="AF1460" t="n">
        <v>2</v>
      </c>
      <c r="AG1460" t="n">
        <v>2</v>
      </c>
      <c r="AH1460" t="n">
        <v>3</v>
      </c>
      <c r="AI1460" t="n">
        <v>3</v>
      </c>
      <c r="AJ1460" t="n">
        <v>9</v>
      </c>
      <c r="AK1460" t="n">
        <v>9</v>
      </c>
      <c r="AL1460" t="n">
        <v>0</v>
      </c>
      <c r="AM1460" t="n">
        <v>0</v>
      </c>
      <c r="AN1460" t="n">
        <v>0</v>
      </c>
      <c r="AO1460" t="n">
        <v>0</v>
      </c>
      <c r="AP1460" t="inlineStr">
        <is>
          <t>No</t>
        </is>
      </c>
      <c r="AQ1460" t="inlineStr">
        <is>
          <t>No</t>
        </is>
      </c>
      <c r="AS1460">
        <f>HYPERLINK("https://creighton-primo.hosted.exlibrisgroup.com/primo-explore/search?tab=default_tab&amp;search_scope=EVERYTHING&amp;vid=01CRU&amp;lang=en_US&amp;offset=0&amp;query=any,contains,991001657589702656","Catalog Record")</f>
        <v/>
      </c>
      <c r="AT1460">
        <f>HYPERLINK("http://www.worldcat.org/oclc/21150243","WorldCat Record")</f>
        <v/>
      </c>
      <c r="AU1460" t="inlineStr">
        <is>
          <t>908302638:eng</t>
        </is>
      </c>
      <c r="AV1460" t="inlineStr">
        <is>
          <t>21150243</t>
        </is>
      </c>
      <c r="AW1460" t="inlineStr">
        <is>
          <t>991001657589702656</t>
        </is>
      </c>
      <c r="AX1460" t="inlineStr">
        <is>
          <t>991001657589702656</t>
        </is>
      </c>
      <c r="AY1460" t="inlineStr">
        <is>
          <t>2263154430002656</t>
        </is>
      </c>
      <c r="AZ1460" t="inlineStr">
        <is>
          <t>BOOK</t>
        </is>
      </c>
      <c r="BB1460" t="inlineStr">
        <is>
          <t>9780805802078</t>
        </is>
      </c>
      <c r="BC1460" t="inlineStr">
        <is>
          <t>32285001118172</t>
        </is>
      </c>
      <c r="BD1460" t="inlineStr">
        <is>
          <t>893414374</t>
        </is>
      </c>
    </row>
    <row r="1461">
      <c r="A1461" t="inlineStr">
        <is>
          <t>No</t>
        </is>
      </c>
      <c r="B1461" t="inlineStr">
        <is>
          <t>RC607.A26 R53 1988</t>
        </is>
      </c>
      <c r="C1461" t="inlineStr">
        <is>
          <t>0                      RC 0607000A  26                 R  53          1988</t>
        </is>
      </c>
      <c r="D1461" t="inlineStr">
        <is>
          <t>Women and AIDS / Diane Richardson.</t>
        </is>
      </c>
      <c r="F1461" t="inlineStr">
        <is>
          <t>No</t>
        </is>
      </c>
      <c r="G1461" t="inlineStr">
        <is>
          <t>1</t>
        </is>
      </c>
      <c r="H1461" t="inlineStr">
        <is>
          <t>Yes</t>
        </is>
      </c>
      <c r="I1461" t="inlineStr">
        <is>
          <t>No</t>
        </is>
      </c>
      <c r="J1461" t="inlineStr">
        <is>
          <t>0</t>
        </is>
      </c>
      <c r="K1461" t="inlineStr">
        <is>
          <t>Richardson, Diane, 1953-</t>
        </is>
      </c>
      <c r="L1461" t="inlineStr">
        <is>
          <t>New York : Methuen, 1988.</t>
        </is>
      </c>
      <c r="M1461" t="inlineStr">
        <is>
          <t>1988</t>
        </is>
      </c>
      <c r="O1461" t="inlineStr">
        <is>
          <t>eng</t>
        </is>
      </c>
      <c r="P1461" t="inlineStr">
        <is>
          <t>nyu</t>
        </is>
      </c>
      <c r="R1461" t="inlineStr">
        <is>
          <t xml:space="preserve">RC </t>
        </is>
      </c>
      <c r="S1461" t="n">
        <v>37</v>
      </c>
      <c r="T1461" t="n">
        <v>55</v>
      </c>
      <c r="U1461" t="inlineStr">
        <is>
          <t>2006-03-19</t>
        </is>
      </c>
      <c r="V1461" t="inlineStr">
        <is>
          <t>2006-03-19</t>
        </is>
      </c>
      <c r="W1461" t="inlineStr">
        <is>
          <t>1991-11-19</t>
        </is>
      </c>
      <c r="X1461" t="inlineStr">
        <is>
          <t>1991-11-19</t>
        </is>
      </c>
      <c r="Y1461" t="n">
        <v>506</v>
      </c>
      <c r="Z1461" t="n">
        <v>472</v>
      </c>
      <c r="AA1461" t="n">
        <v>525</v>
      </c>
      <c r="AB1461" t="n">
        <v>5</v>
      </c>
      <c r="AC1461" t="n">
        <v>5</v>
      </c>
      <c r="AD1461" t="n">
        <v>15</v>
      </c>
      <c r="AE1461" t="n">
        <v>16</v>
      </c>
      <c r="AF1461" t="n">
        <v>5</v>
      </c>
      <c r="AG1461" t="n">
        <v>5</v>
      </c>
      <c r="AH1461" t="n">
        <v>3</v>
      </c>
      <c r="AI1461" t="n">
        <v>4</v>
      </c>
      <c r="AJ1461" t="n">
        <v>7</v>
      </c>
      <c r="AK1461" t="n">
        <v>8</v>
      </c>
      <c r="AL1461" t="n">
        <v>3</v>
      </c>
      <c r="AM1461" t="n">
        <v>3</v>
      </c>
      <c r="AN1461" t="n">
        <v>1</v>
      </c>
      <c r="AO1461" t="n">
        <v>1</v>
      </c>
      <c r="AP1461" t="inlineStr">
        <is>
          <t>No</t>
        </is>
      </c>
      <c r="AQ1461" t="inlineStr">
        <is>
          <t>No</t>
        </is>
      </c>
      <c r="AS1461">
        <f>HYPERLINK("https://creighton-primo.hosted.exlibrisgroup.com/primo-explore/search?tab=default_tab&amp;search_scope=EVERYTHING&amp;vid=01CRU&amp;lang=en_US&amp;offset=0&amp;query=any,contains,991001786259702656","Catalog Record")</f>
        <v/>
      </c>
      <c r="AT1461">
        <f>HYPERLINK("http://www.worldcat.org/oclc/16131422","WorldCat Record")</f>
        <v/>
      </c>
      <c r="AU1461" t="inlineStr">
        <is>
          <t>22610890:eng</t>
        </is>
      </c>
      <c r="AV1461" t="inlineStr">
        <is>
          <t>16131422</t>
        </is>
      </c>
      <c r="AW1461" t="inlineStr">
        <is>
          <t>991001786259702656</t>
        </is>
      </c>
      <c r="AX1461" t="inlineStr">
        <is>
          <t>991001786259702656</t>
        </is>
      </c>
      <c r="AY1461" t="inlineStr">
        <is>
          <t>2268719080002656</t>
        </is>
      </c>
      <c r="AZ1461" t="inlineStr">
        <is>
          <t>BOOK</t>
        </is>
      </c>
      <c r="BB1461" t="inlineStr">
        <is>
          <t>9780416017410</t>
        </is>
      </c>
      <c r="BC1461" t="inlineStr">
        <is>
          <t>32285000824945</t>
        </is>
      </c>
      <c r="BD1461" t="inlineStr">
        <is>
          <t>893715725</t>
        </is>
      </c>
    </row>
    <row r="1462">
      <c r="A1462" t="inlineStr">
        <is>
          <t>No</t>
        </is>
      </c>
      <c r="B1462" t="inlineStr">
        <is>
          <t>RC607.A26 S4916 1995</t>
        </is>
      </c>
      <c r="C1462" t="inlineStr">
        <is>
          <t>0                      RC 0607000A  26                 S  4916        1995</t>
        </is>
      </c>
      <c r="D1462" t="inlineStr">
        <is>
          <t>People with HIV and those who help them : challenges, integration, intervention / R. Dennis Shelby.</t>
        </is>
      </c>
      <c r="F1462" t="inlineStr">
        <is>
          <t>No</t>
        </is>
      </c>
      <c r="G1462" t="inlineStr">
        <is>
          <t>1</t>
        </is>
      </c>
      <c r="H1462" t="inlineStr">
        <is>
          <t>No</t>
        </is>
      </c>
      <c r="I1462" t="inlineStr">
        <is>
          <t>No</t>
        </is>
      </c>
      <c r="J1462" t="inlineStr">
        <is>
          <t>0</t>
        </is>
      </c>
      <c r="K1462" t="inlineStr">
        <is>
          <t>Shelby, R. Dennis.</t>
        </is>
      </c>
      <c r="L1462" t="inlineStr">
        <is>
          <t>Binghamton, N.Y. : Haworth Press, c1995.</t>
        </is>
      </c>
      <c r="M1462" t="inlineStr">
        <is>
          <t>1995</t>
        </is>
      </c>
      <c r="O1462" t="inlineStr">
        <is>
          <t>eng</t>
        </is>
      </c>
      <c r="P1462" t="inlineStr">
        <is>
          <t>nyu</t>
        </is>
      </c>
      <c r="Q1462" t="inlineStr">
        <is>
          <t>Haworth social work practice</t>
        </is>
      </c>
      <c r="R1462" t="inlineStr">
        <is>
          <t xml:space="preserve">RC </t>
        </is>
      </c>
      <c r="S1462" t="n">
        <v>16</v>
      </c>
      <c r="T1462" t="n">
        <v>16</v>
      </c>
      <c r="U1462" t="inlineStr">
        <is>
          <t>2002-03-24</t>
        </is>
      </c>
      <c r="V1462" t="inlineStr">
        <is>
          <t>2002-03-24</t>
        </is>
      </c>
      <c r="W1462" t="inlineStr">
        <is>
          <t>1996-06-26</t>
        </is>
      </c>
      <c r="X1462" t="inlineStr">
        <is>
          <t>1996-06-26</t>
        </is>
      </c>
      <c r="Y1462" t="n">
        <v>238</v>
      </c>
      <c r="Z1462" t="n">
        <v>192</v>
      </c>
      <c r="AA1462" t="n">
        <v>218</v>
      </c>
      <c r="AB1462" t="n">
        <v>3</v>
      </c>
      <c r="AC1462" t="n">
        <v>3</v>
      </c>
      <c r="AD1462" t="n">
        <v>11</v>
      </c>
      <c r="AE1462" t="n">
        <v>11</v>
      </c>
      <c r="AF1462" t="n">
        <v>3</v>
      </c>
      <c r="AG1462" t="n">
        <v>3</v>
      </c>
      <c r="AH1462" t="n">
        <v>3</v>
      </c>
      <c r="AI1462" t="n">
        <v>3</v>
      </c>
      <c r="AJ1462" t="n">
        <v>7</v>
      </c>
      <c r="AK1462" t="n">
        <v>7</v>
      </c>
      <c r="AL1462" t="n">
        <v>2</v>
      </c>
      <c r="AM1462" t="n">
        <v>2</v>
      </c>
      <c r="AN1462" t="n">
        <v>1</v>
      </c>
      <c r="AO1462" t="n">
        <v>1</v>
      </c>
      <c r="AP1462" t="inlineStr">
        <is>
          <t>No</t>
        </is>
      </c>
      <c r="AQ1462" t="inlineStr">
        <is>
          <t>Yes</t>
        </is>
      </c>
      <c r="AR1462">
        <f>HYPERLINK("http://catalog.hathitrust.org/Record/003011592","HathiTrust Record")</f>
        <v/>
      </c>
      <c r="AS1462">
        <f>HYPERLINK("https://creighton-primo.hosted.exlibrisgroup.com/primo-explore/search?tab=default_tab&amp;search_scope=EVERYTHING&amp;vid=01CRU&amp;lang=en_US&amp;offset=0&amp;query=any,contains,991002383919702656","Catalog Record")</f>
        <v/>
      </c>
      <c r="AT1462">
        <f>HYPERLINK("http://www.worldcat.org/oclc/30976520","WorldCat Record")</f>
        <v/>
      </c>
      <c r="AU1462" t="inlineStr">
        <is>
          <t>322014218:eng</t>
        </is>
      </c>
      <c r="AV1462" t="inlineStr">
        <is>
          <t>30976520</t>
        </is>
      </c>
      <c r="AW1462" t="inlineStr">
        <is>
          <t>991002383919702656</t>
        </is>
      </c>
      <c r="AX1462" t="inlineStr">
        <is>
          <t>991002383919702656</t>
        </is>
      </c>
      <c r="AY1462" t="inlineStr">
        <is>
          <t>2261159090002656</t>
        </is>
      </c>
      <c r="AZ1462" t="inlineStr">
        <is>
          <t>BOOK</t>
        </is>
      </c>
      <c r="BB1462" t="inlineStr">
        <is>
          <t>9781560238652</t>
        </is>
      </c>
      <c r="BC1462" t="inlineStr">
        <is>
          <t>32285002173648</t>
        </is>
      </c>
      <c r="BD1462" t="inlineStr">
        <is>
          <t>893517219</t>
        </is>
      </c>
    </row>
    <row r="1463">
      <c r="A1463" t="inlineStr">
        <is>
          <t>No</t>
        </is>
      </c>
      <c r="B1463" t="inlineStr">
        <is>
          <t>RC607.A26 T56 1992</t>
        </is>
      </c>
      <c r="C1463" t="inlineStr">
        <is>
          <t>0                      RC 0607000A  26                 T  56          1992</t>
        </is>
      </c>
      <c r="D1463" t="inlineStr">
        <is>
          <t>The time of AIDS : social analysis, theory, and method / [edited by] Gilbert Herdt, Shirley Lindenbaum.</t>
        </is>
      </c>
      <c r="F1463" t="inlineStr">
        <is>
          <t>No</t>
        </is>
      </c>
      <c r="G1463" t="inlineStr">
        <is>
          <t>1</t>
        </is>
      </c>
      <c r="H1463" t="inlineStr">
        <is>
          <t>No</t>
        </is>
      </c>
      <c r="I1463" t="inlineStr">
        <is>
          <t>No</t>
        </is>
      </c>
      <c r="J1463" t="inlineStr">
        <is>
          <t>0</t>
        </is>
      </c>
      <c r="L1463" t="inlineStr">
        <is>
          <t>Newbury Park : Sage Publications, c1992.</t>
        </is>
      </c>
      <c r="M1463" t="inlineStr">
        <is>
          <t>1992</t>
        </is>
      </c>
      <c r="O1463" t="inlineStr">
        <is>
          <t>eng</t>
        </is>
      </c>
      <c r="P1463" t="inlineStr">
        <is>
          <t>cau</t>
        </is>
      </c>
      <c r="R1463" t="inlineStr">
        <is>
          <t xml:space="preserve">RC </t>
        </is>
      </c>
      <c r="S1463" t="n">
        <v>2</v>
      </c>
      <c r="T1463" t="n">
        <v>2</v>
      </c>
      <c r="U1463" t="inlineStr">
        <is>
          <t>2009-03-23</t>
        </is>
      </c>
      <c r="V1463" t="inlineStr">
        <is>
          <t>2009-03-23</t>
        </is>
      </c>
      <c r="W1463" t="inlineStr">
        <is>
          <t>2007-03-28</t>
        </is>
      </c>
      <c r="X1463" t="inlineStr">
        <is>
          <t>2007-03-28</t>
        </is>
      </c>
      <c r="Y1463" t="n">
        <v>315</v>
      </c>
      <c r="Z1463" t="n">
        <v>196</v>
      </c>
      <c r="AA1463" t="n">
        <v>203</v>
      </c>
      <c r="AB1463" t="n">
        <v>1</v>
      </c>
      <c r="AC1463" t="n">
        <v>1</v>
      </c>
      <c r="AD1463" t="n">
        <v>12</v>
      </c>
      <c r="AE1463" t="n">
        <v>12</v>
      </c>
      <c r="AF1463" t="n">
        <v>3</v>
      </c>
      <c r="AG1463" t="n">
        <v>3</v>
      </c>
      <c r="AH1463" t="n">
        <v>5</v>
      </c>
      <c r="AI1463" t="n">
        <v>5</v>
      </c>
      <c r="AJ1463" t="n">
        <v>7</v>
      </c>
      <c r="AK1463" t="n">
        <v>7</v>
      </c>
      <c r="AL1463" t="n">
        <v>0</v>
      </c>
      <c r="AM1463" t="n">
        <v>0</v>
      </c>
      <c r="AN1463" t="n">
        <v>1</v>
      </c>
      <c r="AO1463" t="n">
        <v>1</v>
      </c>
      <c r="AP1463" t="inlineStr">
        <is>
          <t>No</t>
        </is>
      </c>
      <c r="AQ1463" t="inlineStr">
        <is>
          <t>No</t>
        </is>
      </c>
      <c r="AS1463">
        <f>HYPERLINK("https://creighton-primo.hosted.exlibrisgroup.com/primo-explore/search?tab=default_tab&amp;search_scope=EVERYTHING&amp;vid=01CRU&amp;lang=en_US&amp;offset=0&amp;query=any,contains,991005054759702656","Catalog Record")</f>
        <v/>
      </c>
      <c r="AT1463">
        <f>HYPERLINK("http://www.worldcat.org/oclc/24793022","WorldCat Record")</f>
        <v/>
      </c>
      <c r="AU1463" t="inlineStr">
        <is>
          <t>836797149:eng</t>
        </is>
      </c>
      <c r="AV1463" t="inlineStr">
        <is>
          <t>24793022</t>
        </is>
      </c>
      <c r="AW1463" t="inlineStr">
        <is>
          <t>991005054759702656</t>
        </is>
      </c>
      <c r="AX1463" t="inlineStr">
        <is>
          <t>991005054759702656</t>
        </is>
      </c>
      <c r="AY1463" t="inlineStr">
        <is>
          <t>2258322640002656</t>
        </is>
      </c>
      <c r="AZ1463" t="inlineStr">
        <is>
          <t>BOOK</t>
        </is>
      </c>
      <c r="BB1463" t="inlineStr">
        <is>
          <t>9780803943728</t>
        </is>
      </c>
      <c r="BC1463" t="inlineStr">
        <is>
          <t>32285005284079</t>
        </is>
      </c>
      <c r="BD1463" t="inlineStr">
        <is>
          <t>893889607</t>
        </is>
      </c>
    </row>
    <row r="1464">
      <c r="A1464" t="inlineStr">
        <is>
          <t>No</t>
        </is>
      </c>
      <c r="B1464" t="inlineStr">
        <is>
          <t>RC607.A26 U58 1993</t>
        </is>
      </c>
      <c r="C1464" t="inlineStr">
        <is>
          <t>0                      RC 0607000A  26                 U  58          1993</t>
        </is>
      </c>
      <c r="D1464" t="inlineStr">
        <is>
          <t>Until the cure : caring for women with HIV / edited by Ann Kurth ; foreword by Jonathan Mann.</t>
        </is>
      </c>
      <c r="F1464" t="inlineStr">
        <is>
          <t>No</t>
        </is>
      </c>
      <c r="G1464" t="inlineStr">
        <is>
          <t>1</t>
        </is>
      </c>
      <c r="H1464" t="inlineStr">
        <is>
          <t>No</t>
        </is>
      </c>
      <c r="I1464" t="inlineStr">
        <is>
          <t>No</t>
        </is>
      </c>
      <c r="J1464" t="inlineStr">
        <is>
          <t>0</t>
        </is>
      </c>
      <c r="L1464" t="inlineStr">
        <is>
          <t>New Haven : Yale University Press, c1993.</t>
        </is>
      </c>
      <c r="M1464" t="inlineStr">
        <is>
          <t>1993</t>
        </is>
      </c>
      <c r="O1464" t="inlineStr">
        <is>
          <t>eng</t>
        </is>
      </c>
      <c r="P1464" t="inlineStr">
        <is>
          <t>ctu</t>
        </is>
      </c>
      <c r="Q1464" t="inlineStr">
        <is>
          <t>[A Yale fastback]</t>
        </is>
      </c>
      <c r="R1464" t="inlineStr">
        <is>
          <t xml:space="preserve">RC </t>
        </is>
      </c>
      <c r="S1464" t="n">
        <v>7</v>
      </c>
      <c r="T1464" t="n">
        <v>7</v>
      </c>
      <c r="U1464" t="inlineStr">
        <is>
          <t>2003-03-26</t>
        </is>
      </c>
      <c r="V1464" t="inlineStr">
        <is>
          <t>2003-03-26</t>
        </is>
      </c>
      <c r="W1464" t="inlineStr">
        <is>
          <t>1998-12-07</t>
        </is>
      </c>
      <c r="X1464" t="inlineStr">
        <is>
          <t>1998-12-07</t>
        </is>
      </c>
      <c r="Y1464" t="n">
        <v>483</v>
      </c>
      <c r="Z1464" t="n">
        <v>419</v>
      </c>
      <c r="AA1464" t="n">
        <v>600</v>
      </c>
      <c r="AB1464" t="n">
        <v>2</v>
      </c>
      <c r="AC1464" t="n">
        <v>2</v>
      </c>
      <c r="AD1464" t="n">
        <v>12</v>
      </c>
      <c r="AE1464" t="n">
        <v>22</v>
      </c>
      <c r="AF1464" t="n">
        <v>3</v>
      </c>
      <c r="AG1464" t="n">
        <v>9</v>
      </c>
      <c r="AH1464" t="n">
        <v>3</v>
      </c>
      <c r="AI1464" t="n">
        <v>6</v>
      </c>
      <c r="AJ1464" t="n">
        <v>8</v>
      </c>
      <c r="AK1464" t="n">
        <v>12</v>
      </c>
      <c r="AL1464" t="n">
        <v>1</v>
      </c>
      <c r="AM1464" t="n">
        <v>1</v>
      </c>
      <c r="AN1464" t="n">
        <v>1</v>
      </c>
      <c r="AO1464" t="n">
        <v>1</v>
      </c>
      <c r="AP1464" t="inlineStr">
        <is>
          <t>No</t>
        </is>
      </c>
      <c r="AQ1464" t="inlineStr">
        <is>
          <t>No</t>
        </is>
      </c>
      <c r="AS1464">
        <f>HYPERLINK("https://creighton-primo.hosted.exlibrisgroup.com/primo-explore/search?tab=default_tab&amp;search_scope=EVERYTHING&amp;vid=01CRU&amp;lang=en_US&amp;offset=0&amp;query=any,contains,991002209989702656","Catalog Record")</f>
        <v/>
      </c>
      <c r="AT1464">
        <f>HYPERLINK("http://www.worldcat.org/oclc/28421309","WorldCat Record")</f>
        <v/>
      </c>
      <c r="AU1464" t="inlineStr">
        <is>
          <t>836841975:eng</t>
        </is>
      </c>
      <c r="AV1464" t="inlineStr">
        <is>
          <t>28421309</t>
        </is>
      </c>
      <c r="AW1464" t="inlineStr">
        <is>
          <t>991002209989702656</t>
        </is>
      </c>
      <c r="AX1464" t="inlineStr">
        <is>
          <t>991002209989702656</t>
        </is>
      </c>
      <c r="AY1464" t="inlineStr">
        <is>
          <t>2260346820002656</t>
        </is>
      </c>
      <c r="AZ1464" t="inlineStr">
        <is>
          <t>BOOK</t>
        </is>
      </c>
      <c r="BB1464" t="inlineStr">
        <is>
          <t>9780300058062</t>
        </is>
      </c>
      <c r="BC1464" t="inlineStr">
        <is>
          <t>32285003494092</t>
        </is>
      </c>
      <c r="BD1464" t="inlineStr">
        <is>
          <t>893504133</t>
        </is>
      </c>
    </row>
    <row r="1465">
      <c r="A1465" t="inlineStr">
        <is>
          <t>No</t>
        </is>
      </c>
      <c r="B1465" t="inlineStr">
        <is>
          <t>RC607.A26 W383 1998</t>
        </is>
      </c>
      <c r="C1465" t="inlineStr">
        <is>
          <t>0                      RC 0607000A  26                 W  383         1998</t>
        </is>
      </c>
      <c r="D1465" t="inlineStr">
        <is>
          <t>The AIDS dictionary / Sarah Barbara Watstein, with Karen Chandler.</t>
        </is>
      </c>
      <c r="F1465" t="inlineStr">
        <is>
          <t>No</t>
        </is>
      </c>
      <c r="G1465" t="inlineStr">
        <is>
          <t>1</t>
        </is>
      </c>
      <c r="H1465" t="inlineStr">
        <is>
          <t>No</t>
        </is>
      </c>
      <c r="I1465" t="inlineStr">
        <is>
          <t>No</t>
        </is>
      </c>
      <c r="J1465" t="inlineStr">
        <is>
          <t>0</t>
        </is>
      </c>
      <c r="K1465" t="inlineStr">
        <is>
          <t>Watstein, Sarah.</t>
        </is>
      </c>
      <c r="L1465" t="inlineStr">
        <is>
          <t>New York : Facts on File, c1998.</t>
        </is>
      </c>
      <c r="M1465" t="inlineStr">
        <is>
          <t>1997</t>
        </is>
      </c>
      <c r="O1465" t="inlineStr">
        <is>
          <t>eng</t>
        </is>
      </c>
      <c r="P1465" t="inlineStr">
        <is>
          <t>nyu</t>
        </is>
      </c>
      <c r="R1465" t="inlineStr">
        <is>
          <t xml:space="preserve">RC </t>
        </is>
      </c>
      <c r="S1465" t="n">
        <v>4</v>
      </c>
      <c r="T1465" t="n">
        <v>4</v>
      </c>
      <c r="U1465" t="inlineStr">
        <is>
          <t>2008-03-24</t>
        </is>
      </c>
      <c r="V1465" t="inlineStr">
        <is>
          <t>2008-03-24</t>
        </is>
      </c>
      <c r="W1465" t="inlineStr">
        <is>
          <t>1998-10-27</t>
        </is>
      </c>
      <c r="X1465" t="inlineStr">
        <is>
          <t>1998-10-27</t>
        </is>
      </c>
      <c r="Y1465" t="n">
        <v>799</v>
      </c>
      <c r="Z1465" t="n">
        <v>715</v>
      </c>
      <c r="AA1465" t="n">
        <v>745</v>
      </c>
      <c r="AB1465" t="n">
        <v>3</v>
      </c>
      <c r="AC1465" t="n">
        <v>3</v>
      </c>
      <c r="AD1465" t="n">
        <v>11</v>
      </c>
      <c r="AE1465" t="n">
        <v>13</v>
      </c>
      <c r="AF1465" t="n">
        <v>2</v>
      </c>
      <c r="AG1465" t="n">
        <v>3</v>
      </c>
      <c r="AH1465" t="n">
        <v>2</v>
      </c>
      <c r="AI1465" t="n">
        <v>3</v>
      </c>
      <c r="AJ1465" t="n">
        <v>5</v>
      </c>
      <c r="AK1465" t="n">
        <v>7</v>
      </c>
      <c r="AL1465" t="n">
        <v>2</v>
      </c>
      <c r="AM1465" t="n">
        <v>2</v>
      </c>
      <c r="AN1465" t="n">
        <v>1</v>
      </c>
      <c r="AO1465" t="n">
        <v>1</v>
      </c>
      <c r="AP1465" t="inlineStr">
        <is>
          <t>No</t>
        </is>
      </c>
      <c r="AQ1465" t="inlineStr">
        <is>
          <t>No</t>
        </is>
      </c>
      <c r="AS1465">
        <f>HYPERLINK("https://creighton-primo.hosted.exlibrisgroup.com/primo-explore/search?tab=default_tab&amp;search_scope=EVERYTHING&amp;vid=01CRU&amp;lang=en_US&amp;offset=0&amp;query=any,contains,991002865079702656","Catalog Record")</f>
        <v/>
      </c>
      <c r="AT1465">
        <f>HYPERLINK("http://www.worldcat.org/oclc/36521004","WorldCat Record")</f>
        <v/>
      </c>
      <c r="AU1465" t="inlineStr">
        <is>
          <t>20696001:eng</t>
        </is>
      </c>
      <c r="AV1465" t="inlineStr">
        <is>
          <t>36521004</t>
        </is>
      </c>
      <c r="AW1465" t="inlineStr">
        <is>
          <t>991002865079702656</t>
        </is>
      </c>
      <c r="AX1465" t="inlineStr">
        <is>
          <t>991002865079702656</t>
        </is>
      </c>
      <c r="AY1465" t="inlineStr">
        <is>
          <t>2268980460002656</t>
        </is>
      </c>
      <c r="AZ1465" t="inlineStr">
        <is>
          <t>BOOK</t>
        </is>
      </c>
      <c r="BB1465" t="inlineStr">
        <is>
          <t>9780816031498</t>
        </is>
      </c>
      <c r="BC1465" t="inlineStr">
        <is>
          <t>32285003477998</t>
        </is>
      </c>
      <c r="BD1465" t="inlineStr">
        <is>
          <t>893517852</t>
        </is>
      </c>
    </row>
    <row r="1466">
      <c r="A1466" t="inlineStr">
        <is>
          <t>No</t>
        </is>
      </c>
      <c r="B1466" t="inlineStr">
        <is>
          <t>RC607.A26 W495 1988</t>
        </is>
      </c>
      <c r="C1466" t="inlineStr">
        <is>
          <t>0                      RC 0607000A  26                 W  495         1988</t>
        </is>
      </c>
      <c r="D1466" t="inlineStr">
        <is>
          <t>Someone was here : profiles in the AIDS epidemic / George Whitmore.</t>
        </is>
      </c>
      <c r="F1466" t="inlineStr">
        <is>
          <t>No</t>
        </is>
      </c>
      <c r="G1466" t="inlineStr">
        <is>
          <t>1</t>
        </is>
      </c>
      <c r="H1466" t="inlineStr">
        <is>
          <t>No</t>
        </is>
      </c>
      <c r="I1466" t="inlineStr">
        <is>
          <t>No</t>
        </is>
      </c>
      <c r="J1466" t="inlineStr">
        <is>
          <t>0</t>
        </is>
      </c>
      <c r="K1466" t="inlineStr">
        <is>
          <t>Whitmore, George, 1945-1989.</t>
        </is>
      </c>
      <c r="L1466" t="inlineStr">
        <is>
          <t>New York : New American Library, 1988.</t>
        </is>
      </c>
      <c r="M1466" t="inlineStr">
        <is>
          <t>1988</t>
        </is>
      </c>
      <c r="O1466" t="inlineStr">
        <is>
          <t>eng</t>
        </is>
      </c>
      <c r="P1466" t="inlineStr">
        <is>
          <t>nyu</t>
        </is>
      </c>
      <c r="R1466" t="inlineStr">
        <is>
          <t xml:space="preserve">RC </t>
        </is>
      </c>
      <c r="S1466" t="n">
        <v>3</v>
      </c>
      <c r="T1466" t="n">
        <v>3</v>
      </c>
      <c r="U1466" t="inlineStr">
        <is>
          <t>2001-02-24</t>
        </is>
      </c>
      <c r="V1466" t="inlineStr">
        <is>
          <t>2001-02-24</t>
        </is>
      </c>
      <c r="W1466" t="inlineStr">
        <is>
          <t>1995-08-09</t>
        </is>
      </c>
      <c r="X1466" t="inlineStr">
        <is>
          <t>1995-08-09</t>
        </is>
      </c>
      <c r="Y1466" t="n">
        <v>567</v>
      </c>
      <c r="Z1466" t="n">
        <v>526</v>
      </c>
      <c r="AA1466" t="n">
        <v>670</v>
      </c>
      <c r="AB1466" t="n">
        <v>5</v>
      </c>
      <c r="AC1466" t="n">
        <v>5</v>
      </c>
      <c r="AD1466" t="n">
        <v>20</v>
      </c>
      <c r="AE1466" t="n">
        <v>23</v>
      </c>
      <c r="AF1466" t="n">
        <v>6</v>
      </c>
      <c r="AG1466" t="n">
        <v>9</v>
      </c>
      <c r="AH1466" t="n">
        <v>2</v>
      </c>
      <c r="AI1466" t="n">
        <v>3</v>
      </c>
      <c r="AJ1466" t="n">
        <v>9</v>
      </c>
      <c r="AK1466" t="n">
        <v>9</v>
      </c>
      <c r="AL1466" t="n">
        <v>3</v>
      </c>
      <c r="AM1466" t="n">
        <v>3</v>
      </c>
      <c r="AN1466" t="n">
        <v>3</v>
      </c>
      <c r="AO1466" t="n">
        <v>3</v>
      </c>
      <c r="AP1466" t="inlineStr">
        <is>
          <t>No</t>
        </is>
      </c>
      <c r="AQ1466" t="inlineStr">
        <is>
          <t>Yes</t>
        </is>
      </c>
      <c r="AR1466">
        <f>HYPERLINK("http://catalog.hathitrust.org/Record/000937753","HathiTrust Record")</f>
        <v/>
      </c>
      <c r="AS1466">
        <f>HYPERLINK("https://creighton-primo.hosted.exlibrisgroup.com/primo-explore/search?tab=default_tab&amp;search_scope=EVERYTHING&amp;vid=01CRU&amp;lang=en_US&amp;offset=0&amp;query=any,contains,991001178259702656","Catalog Record")</f>
        <v/>
      </c>
      <c r="AT1466">
        <f>HYPERLINK("http://www.worldcat.org/oclc/17105335","WorldCat Record")</f>
        <v/>
      </c>
      <c r="AU1466" t="inlineStr">
        <is>
          <t>866256727:eng</t>
        </is>
      </c>
      <c r="AV1466" t="inlineStr">
        <is>
          <t>17105335</t>
        </is>
      </c>
      <c r="AW1466" t="inlineStr">
        <is>
          <t>991001178259702656</t>
        </is>
      </c>
      <c r="AX1466" t="inlineStr">
        <is>
          <t>991001178259702656</t>
        </is>
      </c>
      <c r="AY1466" t="inlineStr">
        <is>
          <t>2267205810002656</t>
        </is>
      </c>
      <c r="AZ1466" t="inlineStr">
        <is>
          <t>BOOK</t>
        </is>
      </c>
      <c r="BB1466" t="inlineStr">
        <is>
          <t>9780453006019</t>
        </is>
      </c>
      <c r="BC1466" t="inlineStr">
        <is>
          <t>32285002063146</t>
        </is>
      </c>
      <c r="BD1466" t="inlineStr">
        <is>
          <t>893602391</t>
        </is>
      </c>
    </row>
    <row r="1467">
      <c r="A1467" t="inlineStr">
        <is>
          <t>No</t>
        </is>
      </c>
      <c r="B1467" t="inlineStr">
        <is>
          <t>RC607.A26 W52 1990</t>
        </is>
      </c>
      <c r="C1467" t="inlineStr">
        <is>
          <t>0                      RC 0607000A  26                 W  52          1990</t>
        </is>
      </c>
      <c r="D1467" t="inlineStr">
        <is>
          <t>Nutrition and HIV : your choices make a difference / [Peggy A. Wickwire] ; Tennessee Department of Health AIDS Program.</t>
        </is>
      </c>
      <c r="F1467" t="inlineStr">
        <is>
          <t>No</t>
        </is>
      </c>
      <c r="G1467" t="inlineStr">
        <is>
          <t>1</t>
        </is>
      </c>
      <c r="H1467" t="inlineStr">
        <is>
          <t>No</t>
        </is>
      </c>
      <c r="I1467" t="inlineStr">
        <is>
          <t>Yes</t>
        </is>
      </c>
      <c r="J1467" t="inlineStr">
        <is>
          <t>0</t>
        </is>
      </c>
      <c r="K1467" t="inlineStr">
        <is>
          <t>Wickwire, Peggy A.</t>
        </is>
      </c>
      <c r="L1467" t="inlineStr">
        <is>
          <t>[Nashville, Tenn.] : Tennessee Dept. of Health AIDS Program, c1990.</t>
        </is>
      </c>
      <c r="M1467" t="inlineStr">
        <is>
          <t>1990</t>
        </is>
      </c>
      <c r="O1467" t="inlineStr">
        <is>
          <t>eng</t>
        </is>
      </c>
      <c r="P1467" t="inlineStr">
        <is>
          <t>tnu</t>
        </is>
      </c>
      <c r="R1467" t="inlineStr">
        <is>
          <t xml:space="preserve">RC </t>
        </is>
      </c>
      <c r="S1467" t="n">
        <v>4</v>
      </c>
      <c r="T1467" t="n">
        <v>4</v>
      </c>
      <c r="U1467" t="inlineStr">
        <is>
          <t>1999-02-21</t>
        </is>
      </c>
      <c r="V1467" t="inlineStr">
        <is>
          <t>1999-02-21</t>
        </is>
      </c>
      <c r="W1467" t="inlineStr">
        <is>
          <t>1998-11-04</t>
        </is>
      </c>
      <c r="X1467" t="inlineStr">
        <is>
          <t>1998-11-04</t>
        </is>
      </c>
      <c r="Y1467" t="n">
        <v>36</v>
      </c>
      <c r="Z1467" t="n">
        <v>35</v>
      </c>
      <c r="AA1467" t="n">
        <v>58</v>
      </c>
      <c r="AB1467" t="n">
        <v>1</v>
      </c>
      <c r="AC1467" t="n">
        <v>2</v>
      </c>
      <c r="AD1467" t="n">
        <v>0</v>
      </c>
      <c r="AE1467" t="n">
        <v>0</v>
      </c>
      <c r="AF1467" t="n">
        <v>0</v>
      </c>
      <c r="AG1467" t="n">
        <v>0</v>
      </c>
      <c r="AH1467" t="n">
        <v>0</v>
      </c>
      <c r="AI1467" t="n">
        <v>0</v>
      </c>
      <c r="AJ1467" t="n">
        <v>0</v>
      </c>
      <c r="AK1467" t="n">
        <v>0</v>
      </c>
      <c r="AL1467" t="n">
        <v>0</v>
      </c>
      <c r="AM1467" t="n">
        <v>0</v>
      </c>
      <c r="AN1467" t="n">
        <v>0</v>
      </c>
      <c r="AO1467" t="n">
        <v>0</v>
      </c>
      <c r="AP1467" t="inlineStr">
        <is>
          <t>No</t>
        </is>
      </c>
      <c r="AQ1467" t="inlineStr">
        <is>
          <t>No</t>
        </is>
      </c>
      <c r="AS1467">
        <f>HYPERLINK("https://creighton-primo.hosted.exlibrisgroup.com/primo-explore/search?tab=default_tab&amp;search_scope=EVERYTHING&amp;vid=01CRU&amp;lang=en_US&amp;offset=0&amp;query=any,contains,991002076369702656","Catalog Record")</f>
        <v/>
      </c>
      <c r="AT1467">
        <f>HYPERLINK("http://www.worldcat.org/oclc/26631797","WorldCat Record")</f>
        <v/>
      </c>
      <c r="AU1467" t="inlineStr">
        <is>
          <t>17594054:eng</t>
        </is>
      </c>
      <c r="AV1467" t="inlineStr">
        <is>
          <t>26631797</t>
        </is>
      </c>
      <c r="AW1467" t="inlineStr">
        <is>
          <t>991002076369702656</t>
        </is>
      </c>
      <c r="AX1467" t="inlineStr">
        <is>
          <t>991002076369702656</t>
        </is>
      </c>
      <c r="AY1467" t="inlineStr">
        <is>
          <t>2256057260002656</t>
        </is>
      </c>
      <c r="AZ1467" t="inlineStr">
        <is>
          <t>BOOK</t>
        </is>
      </c>
      <c r="BC1467" t="inlineStr">
        <is>
          <t>32285003485504</t>
        </is>
      </c>
      <c r="BD1467" t="inlineStr">
        <is>
          <t>893226426</t>
        </is>
      </c>
    </row>
    <row r="1468">
      <c r="A1468" t="inlineStr">
        <is>
          <t>No</t>
        </is>
      </c>
      <c r="B1468" t="inlineStr">
        <is>
          <t>RC607.A26 W57 1991</t>
        </is>
      </c>
      <c r="C1468" t="inlineStr">
        <is>
          <t>0                      RC 0607000A  26                 W  57          1991</t>
        </is>
      </c>
      <c r="D1468" t="inlineStr">
        <is>
          <t>AIDS-related psychotherapy / Mark G. Winiarski.</t>
        </is>
      </c>
      <c r="F1468" t="inlineStr">
        <is>
          <t>No</t>
        </is>
      </c>
      <c r="G1468" t="inlineStr">
        <is>
          <t>1</t>
        </is>
      </c>
      <c r="H1468" t="inlineStr">
        <is>
          <t>No</t>
        </is>
      </c>
      <c r="I1468" t="inlineStr">
        <is>
          <t>No</t>
        </is>
      </c>
      <c r="J1468" t="inlineStr">
        <is>
          <t>0</t>
        </is>
      </c>
      <c r="K1468" t="inlineStr">
        <is>
          <t>Winiarski, Mark G., 1950-</t>
        </is>
      </c>
      <c r="L1468" t="inlineStr">
        <is>
          <t>New York : Pergamon Press, c1991.</t>
        </is>
      </c>
      <c r="M1468" t="inlineStr">
        <is>
          <t>1991</t>
        </is>
      </c>
      <c r="O1468" t="inlineStr">
        <is>
          <t>eng</t>
        </is>
      </c>
      <c r="P1468" t="inlineStr">
        <is>
          <t>nyu</t>
        </is>
      </c>
      <c r="Q1468" t="inlineStr">
        <is>
          <t>Pergamon general psychology series ; PGPS-165</t>
        </is>
      </c>
      <c r="R1468" t="inlineStr">
        <is>
          <t xml:space="preserve">RC </t>
        </is>
      </c>
      <c r="S1468" t="n">
        <v>14</v>
      </c>
      <c r="T1468" t="n">
        <v>14</v>
      </c>
      <c r="U1468" t="inlineStr">
        <is>
          <t>2005-03-19</t>
        </is>
      </c>
      <c r="V1468" t="inlineStr">
        <is>
          <t>2005-03-19</t>
        </is>
      </c>
      <c r="W1468" t="inlineStr">
        <is>
          <t>1992-04-22</t>
        </is>
      </c>
      <c r="X1468" t="inlineStr">
        <is>
          <t>1992-04-22</t>
        </is>
      </c>
      <c r="Y1468" t="n">
        <v>292</v>
      </c>
      <c r="Z1468" t="n">
        <v>240</v>
      </c>
      <c r="AA1468" t="n">
        <v>277</v>
      </c>
      <c r="AB1468" t="n">
        <v>2</v>
      </c>
      <c r="AC1468" t="n">
        <v>2</v>
      </c>
      <c r="AD1468" t="n">
        <v>11</v>
      </c>
      <c r="AE1468" t="n">
        <v>13</v>
      </c>
      <c r="AF1468" t="n">
        <v>2</v>
      </c>
      <c r="AG1468" t="n">
        <v>3</v>
      </c>
      <c r="AH1468" t="n">
        <v>3</v>
      </c>
      <c r="AI1468" t="n">
        <v>3</v>
      </c>
      <c r="AJ1468" t="n">
        <v>7</v>
      </c>
      <c r="AK1468" t="n">
        <v>9</v>
      </c>
      <c r="AL1468" t="n">
        <v>1</v>
      </c>
      <c r="AM1468" t="n">
        <v>1</v>
      </c>
      <c r="AN1468" t="n">
        <v>0</v>
      </c>
      <c r="AO1468" t="n">
        <v>0</v>
      </c>
      <c r="AP1468" t="inlineStr">
        <is>
          <t>No</t>
        </is>
      </c>
      <c r="AQ1468" t="inlineStr">
        <is>
          <t>Yes</t>
        </is>
      </c>
      <c r="AR1468">
        <f>HYPERLINK("http://catalog.hathitrust.org/Record/002483411","HathiTrust Record")</f>
        <v/>
      </c>
      <c r="AS1468">
        <f>HYPERLINK("https://creighton-primo.hosted.exlibrisgroup.com/primo-explore/search?tab=default_tab&amp;search_scope=EVERYTHING&amp;vid=01CRU&amp;lang=en_US&amp;offset=0&amp;query=any,contains,991001714279702656","Catalog Record")</f>
        <v/>
      </c>
      <c r="AT1468">
        <f>HYPERLINK("http://www.worldcat.org/oclc/21670973","WorldCat Record")</f>
        <v/>
      </c>
      <c r="AU1468" t="inlineStr">
        <is>
          <t>23173027:eng</t>
        </is>
      </c>
      <c r="AV1468" t="inlineStr">
        <is>
          <t>21670973</t>
        </is>
      </c>
      <c r="AW1468" t="inlineStr">
        <is>
          <t>991001714279702656</t>
        </is>
      </c>
      <c r="AX1468" t="inlineStr">
        <is>
          <t>991001714279702656</t>
        </is>
      </c>
      <c r="AY1468" t="inlineStr">
        <is>
          <t>2256634130002656</t>
        </is>
      </c>
      <c r="AZ1468" t="inlineStr">
        <is>
          <t>BOOK</t>
        </is>
      </c>
      <c r="BB1468" t="inlineStr">
        <is>
          <t>9780080379135</t>
        </is>
      </c>
      <c r="BC1468" t="inlineStr">
        <is>
          <t>32285001036143</t>
        </is>
      </c>
      <c r="BD1468" t="inlineStr">
        <is>
          <t>893232192</t>
        </is>
      </c>
    </row>
    <row r="1469">
      <c r="A1469" t="inlineStr">
        <is>
          <t>No</t>
        </is>
      </c>
      <c r="B1469" t="inlineStr">
        <is>
          <t>RC607.A26 W5726 2000</t>
        </is>
      </c>
      <c r="C1469" t="inlineStr">
        <is>
          <t>0                      RC 0607000A  26                 W  5726        2000</t>
        </is>
      </c>
      <c r="D1469" t="inlineStr">
        <is>
          <t>Pedro and me : friendship, loss, and what I learned / Judd Winick.</t>
        </is>
      </c>
      <c r="F1469" t="inlineStr">
        <is>
          <t>No</t>
        </is>
      </c>
      <c r="G1469" t="inlineStr">
        <is>
          <t>1</t>
        </is>
      </c>
      <c r="H1469" t="inlineStr">
        <is>
          <t>No</t>
        </is>
      </c>
      <c r="I1469" t="inlineStr">
        <is>
          <t>No</t>
        </is>
      </c>
      <c r="J1469" t="inlineStr">
        <is>
          <t>0</t>
        </is>
      </c>
      <c r="K1469" t="inlineStr">
        <is>
          <t>Winick, Judd.</t>
        </is>
      </c>
      <c r="L1469" t="inlineStr">
        <is>
          <t>New York : Henry Holt, 2000.</t>
        </is>
      </c>
      <c r="M1469" t="inlineStr">
        <is>
          <t>2000</t>
        </is>
      </c>
      <c r="N1469" t="inlineStr">
        <is>
          <t>1st ed.</t>
        </is>
      </c>
      <c r="O1469" t="inlineStr">
        <is>
          <t>eng</t>
        </is>
      </c>
      <c r="P1469" t="inlineStr">
        <is>
          <t>nyu</t>
        </is>
      </c>
      <c r="R1469" t="inlineStr">
        <is>
          <t xml:space="preserve">RC </t>
        </is>
      </c>
      <c r="S1469" t="n">
        <v>5</v>
      </c>
      <c r="T1469" t="n">
        <v>5</v>
      </c>
      <c r="U1469" t="inlineStr">
        <is>
          <t>2004-03-16</t>
        </is>
      </c>
      <c r="V1469" t="inlineStr">
        <is>
          <t>2004-03-16</t>
        </is>
      </c>
      <c r="W1469" t="inlineStr">
        <is>
          <t>2001-08-29</t>
        </is>
      </c>
      <c r="X1469" t="inlineStr">
        <is>
          <t>2001-08-29</t>
        </is>
      </c>
      <c r="Y1469" t="n">
        <v>1140</v>
      </c>
      <c r="Z1469" t="n">
        <v>1082</v>
      </c>
      <c r="AA1469" t="n">
        <v>1262</v>
      </c>
      <c r="AB1469" t="n">
        <v>11</v>
      </c>
      <c r="AC1469" t="n">
        <v>13</v>
      </c>
      <c r="AD1469" t="n">
        <v>20</v>
      </c>
      <c r="AE1469" t="n">
        <v>25</v>
      </c>
      <c r="AF1469" t="n">
        <v>7</v>
      </c>
      <c r="AG1469" t="n">
        <v>9</v>
      </c>
      <c r="AH1469" t="n">
        <v>4</v>
      </c>
      <c r="AI1469" t="n">
        <v>5</v>
      </c>
      <c r="AJ1469" t="n">
        <v>8</v>
      </c>
      <c r="AK1469" t="n">
        <v>9</v>
      </c>
      <c r="AL1469" t="n">
        <v>7</v>
      </c>
      <c r="AM1469" t="n">
        <v>8</v>
      </c>
      <c r="AN1469" t="n">
        <v>0</v>
      </c>
      <c r="AO1469" t="n">
        <v>0</v>
      </c>
      <c r="AP1469" t="inlineStr">
        <is>
          <t>No</t>
        </is>
      </c>
      <c r="AQ1469" t="inlineStr">
        <is>
          <t>No</t>
        </is>
      </c>
      <c r="AS1469">
        <f>HYPERLINK("https://creighton-primo.hosted.exlibrisgroup.com/primo-explore/search?tab=default_tab&amp;search_scope=EVERYTHING&amp;vid=01CRU&amp;lang=en_US&amp;offset=0&amp;query=any,contains,991003588559702656","Catalog Record")</f>
        <v/>
      </c>
      <c r="AT1469">
        <f>HYPERLINK("http://www.worldcat.org/oclc/42429252","WorldCat Record")</f>
        <v/>
      </c>
      <c r="AU1469" t="inlineStr">
        <is>
          <t>915706746:eng</t>
        </is>
      </c>
      <c r="AV1469" t="inlineStr">
        <is>
          <t>42429252</t>
        </is>
      </c>
      <c r="AW1469" t="inlineStr">
        <is>
          <t>991003588559702656</t>
        </is>
      </c>
      <c r="AX1469" t="inlineStr">
        <is>
          <t>991003588559702656</t>
        </is>
      </c>
      <c r="AY1469" t="inlineStr">
        <is>
          <t>22101318080002656</t>
        </is>
      </c>
      <c r="AZ1469" t="inlineStr">
        <is>
          <t>BOOK</t>
        </is>
      </c>
      <c r="BB1469" t="inlineStr">
        <is>
          <t>9780805063790</t>
        </is>
      </c>
      <c r="BC1469" t="inlineStr">
        <is>
          <t>32285004382395</t>
        </is>
      </c>
      <c r="BD1469" t="inlineStr">
        <is>
          <t>893587090</t>
        </is>
      </c>
    </row>
    <row r="1470">
      <c r="A1470" t="inlineStr">
        <is>
          <t>No</t>
        </is>
      </c>
      <c r="B1470" t="inlineStr">
        <is>
          <t>RC608 .B85</t>
        </is>
      </c>
      <c r="C1470" t="inlineStr">
        <is>
          <t>0                      RC 0608000B  85</t>
        </is>
      </c>
      <c r="D1470" t="inlineStr">
        <is>
          <t>Case histories in clinical and abnormal psychology, ed. by Arthur Burton and Robert E. Harris.</t>
        </is>
      </c>
      <c r="F1470" t="inlineStr">
        <is>
          <t>No</t>
        </is>
      </c>
      <c r="G1470" t="inlineStr">
        <is>
          <t>1</t>
        </is>
      </c>
      <c r="H1470" t="inlineStr">
        <is>
          <t>No</t>
        </is>
      </c>
      <c r="I1470" t="inlineStr">
        <is>
          <t>No</t>
        </is>
      </c>
      <c r="J1470" t="inlineStr">
        <is>
          <t>0</t>
        </is>
      </c>
      <c r="K1470" t="inlineStr">
        <is>
          <t>Burton, Arthur, 1914-, editor.</t>
        </is>
      </c>
      <c r="L1470" t="inlineStr">
        <is>
          <t>New York [etc.] Harper [c1947]</t>
        </is>
      </c>
      <c r="M1470" t="inlineStr">
        <is>
          <t>1947</t>
        </is>
      </c>
      <c r="O1470" t="inlineStr">
        <is>
          <t>eng</t>
        </is>
      </c>
      <c r="P1470" t="inlineStr">
        <is>
          <t>nyu</t>
        </is>
      </c>
      <c r="R1470" t="inlineStr">
        <is>
          <t xml:space="preserve">RC </t>
        </is>
      </c>
      <c r="S1470" t="n">
        <v>4</v>
      </c>
      <c r="T1470" t="n">
        <v>4</v>
      </c>
      <c r="U1470" t="inlineStr">
        <is>
          <t>1999-09-29</t>
        </is>
      </c>
      <c r="V1470" t="inlineStr">
        <is>
          <t>1999-09-29</t>
        </is>
      </c>
      <c r="W1470" t="inlineStr">
        <is>
          <t>1997-08-12</t>
        </is>
      </c>
      <c r="X1470" t="inlineStr">
        <is>
          <t>1997-08-12</t>
        </is>
      </c>
      <c r="Y1470" t="n">
        <v>383</v>
      </c>
      <c r="Z1470" t="n">
        <v>321</v>
      </c>
      <c r="AA1470" t="n">
        <v>368</v>
      </c>
      <c r="AB1470" t="n">
        <v>5</v>
      </c>
      <c r="AC1470" t="n">
        <v>5</v>
      </c>
      <c r="AD1470" t="n">
        <v>17</v>
      </c>
      <c r="AE1470" t="n">
        <v>18</v>
      </c>
      <c r="AF1470" t="n">
        <v>5</v>
      </c>
      <c r="AG1470" t="n">
        <v>6</v>
      </c>
      <c r="AH1470" t="n">
        <v>3</v>
      </c>
      <c r="AI1470" t="n">
        <v>3</v>
      </c>
      <c r="AJ1470" t="n">
        <v>7</v>
      </c>
      <c r="AK1470" t="n">
        <v>8</v>
      </c>
      <c r="AL1470" t="n">
        <v>4</v>
      </c>
      <c r="AM1470" t="n">
        <v>4</v>
      </c>
      <c r="AN1470" t="n">
        <v>0</v>
      </c>
      <c r="AO1470" t="n">
        <v>0</v>
      </c>
      <c r="AP1470" t="inlineStr">
        <is>
          <t>No</t>
        </is>
      </c>
      <c r="AQ1470" t="inlineStr">
        <is>
          <t>No</t>
        </is>
      </c>
      <c r="AR1470">
        <f>HYPERLINK("http://catalog.hathitrust.org/Record/000147048","HathiTrust Record")</f>
        <v/>
      </c>
      <c r="AS1470">
        <f>HYPERLINK("https://creighton-primo.hosted.exlibrisgroup.com/primo-explore/search?tab=default_tab&amp;search_scope=EVERYTHING&amp;vid=01CRU&amp;lang=en_US&amp;offset=0&amp;query=any,contains,991003092799702656","Catalog Record")</f>
        <v/>
      </c>
      <c r="AT1470">
        <f>HYPERLINK("http://www.worldcat.org/oclc/642940","WorldCat Record")</f>
        <v/>
      </c>
      <c r="AU1470" t="inlineStr">
        <is>
          <t>1802199:eng</t>
        </is>
      </c>
      <c r="AV1470" t="inlineStr">
        <is>
          <t>642940</t>
        </is>
      </c>
      <c r="AW1470" t="inlineStr">
        <is>
          <t>991003092799702656</t>
        </is>
      </c>
      <c r="AX1470" t="inlineStr">
        <is>
          <t>991003092799702656</t>
        </is>
      </c>
      <c r="AY1470" t="inlineStr">
        <is>
          <t>2262002240002656</t>
        </is>
      </c>
      <c r="AZ1470" t="inlineStr">
        <is>
          <t>BOOK</t>
        </is>
      </c>
      <c r="BC1470" t="inlineStr">
        <is>
          <t>32285003092789</t>
        </is>
      </c>
      <c r="BD1470" t="inlineStr">
        <is>
          <t>893524412</t>
        </is>
      </c>
    </row>
    <row r="1471">
      <c r="A1471" t="inlineStr">
        <is>
          <t>No</t>
        </is>
      </c>
      <c r="B1471" t="inlineStr">
        <is>
          <t>RC620.5 .M27</t>
        </is>
      </c>
      <c r="C1471" t="inlineStr">
        <is>
          <t>0                      RC 0620500M  27</t>
        </is>
      </c>
      <c r="D1471" t="inlineStr">
        <is>
          <t>Malnutrition and retarded human development, by Sohan L. Manocha. With a foreword by G. H. Bourne.</t>
        </is>
      </c>
      <c r="F1471" t="inlineStr">
        <is>
          <t>No</t>
        </is>
      </c>
      <c r="G1471" t="inlineStr">
        <is>
          <t>1</t>
        </is>
      </c>
      <c r="H1471" t="inlineStr">
        <is>
          <t>No</t>
        </is>
      </c>
      <c r="I1471" t="inlineStr">
        <is>
          <t>No</t>
        </is>
      </c>
      <c r="J1471" t="inlineStr">
        <is>
          <t>0</t>
        </is>
      </c>
      <c r="K1471" t="inlineStr">
        <is>
          <t>Manocha, Sohan L.</t>
        </is>
      </c>
      <c r="L1471" t="inlineStr">
        <is>
          <t>Springfield, Ill., Thomas [1972]</t>
        </is>
      </c>
      <c r="M1471" t="inlineStr">
        <is>
          <t>1972</t>
        </is>
      </c>
      <c r="O1471" t="inlineStr">
        <is>
          <t>eng</t>
        </is>
      </c>
      <c r="P1471" t="inlineStr">
        <is>
          <t>ilu</t>
        </is>
      </c>
      <c r="R1471" t="inlineStr">
        <is>
          <t xml:space="preserve">RC </t>
        </is>
      </c>
      <c r="S1471" t="n">
        <v>1</v>
      </c>
      <c r="T1471" t="n">
        <v>1</v>
      </c>
      <c r="U1471" t="inlineStr">
        <is>
          <t>2002-04-10</t>
        </is>
      </c>
      <c r="V1471" t="inlineStr">
        <is>
          <t>2002-04-10</t>
        </is>
      </c>
      <c r="W1471" t="inlineStr">
        <is>
          <t>1997-08-12</t>
        </is>
      </c>
      <c r="X1471" t="inlineStr">
        <is>
          <t>1997-08-12</t>
        </is>
      </c>
      <c r="Y1471" t="n">
        <v>470</v>
      </c>
      <c r="Z1471" t="n">
        <v>393</v>
      </c>
      <c r="AA1471" t="n">
        <v>400</v>
      </c>
      <c r="AB1471" t="n">
        <v>6</v>
      </c>
      <c r="AC1471" t="n">
        <v>6</v>
      </c>
      <c r="AD1471" t="n">
        <v>14</v>
      </c>
      <c r="AE1471" t="n">
        <v>14</v>
      </c>
      <c r="AF1471" t="n">
        <v>3</v>
      </c>
      <c r="AG1471" t="n">
        <v>3</v>
      </c>
      <c r="AH1471" t="n">
        <v>4</v>
      </c>
      <c r="AI1471" t="n">
        <v>4</v>
      </c>
      <c r="AJ1471" t="n">
        <v>5</v>
      </c>
      <c r="AK1471" t="n">
        <v>5</v>
      </c>
      <c r="AL1471" t="n">
        <v>5</v>
      </c>
      <c r="AM1471" t="n">
        <v>5</v>
      </c>
      <c r="AN1471" t="n">
        <v>0</v>
      </c>
      <c r="AO1471" t="n">
        <v>0</v>
      </c>
      <c r="AP1471" t="inlineStr">
        <is>
          <t>No</t>
        </is>
      </c>
      <c r="AQ1471" t="inlineStr">
        <is>
          <t>Yes</t>
        </is>
      </c>
      <c r="AR1471">
        <f>HYPERLINK("http://catalog.hathitrust.org/Record/001565541","HathiTrust Record")</f>
        <v/>
      </c>
      <c r="AS1471">
        <f>HYPERLINK("https://creighton-primo.hosted.exlibrisgroup.com/primo-explore/search?tab=default_tab&amp;search_scope=EVERYTHING&amp;vid=01CRU&amp;lang=en_US&amp;offset=0&amp;query=any,contains,991002865629702656","Catalog Record")</f>
        <v/>
      </c>
      <c r="AT1471">
        <f>HYPERLINK("http://www.worldcat.org/oclc/495387","WorldCat Record")</f>
        <v/>
      </c>
      <c r="AU1471" t="inlineStr">
        <is>
          <t>471344:eng</t>
        </is>
      </c>
      <c r="AV1471" t="inlineStr">
        <is>
          <t>495387</t>
        </is>
      </c>
      <c r="AW1471" t="inlineStr">
        <is>
          <t>991002865629702656</t>
        </is>
      </c>
      <c r="AX1471" t="inlineStr">
        <is>
          <t>991002865629702656</t>
        </is>
      </c>
      <c r="AY1471" t="inlineStr">
        <is>
          <t>2256809400002656</t>
        </is>
      </c>
      <c r="AZ1471" t="inlineStr">
        <is>
          <t>BOOK</t>
        </is>
      </c>
      <c r="BB1471" t="inlineStr">
        <is>
          <t>9780398025489</t>
        </is>
      </c>
      <c r="BC1471" t="inlineStr">
        <is>
          <t>32285003092821</t>
        </is>
      </c>
      <c r="BD1471" t="inlineStr">
        <is>
          <t>893780333</t>
        </is>
      </c>
    </row>
    <row r="1472">
      <c r="A1472" t="inlineStr">
        <is>
          <t>No</t>
        </is>
      </c>
      <c r="B1472" t="inlineStr">
        <is>
          <t>RC622 .B49</t>
        </is>
      </c>
      <c r="C1472" t="inlineStr">
        <is>
          <t>0                      RC 0622000B  49</t>
        </is>
      </c>
      <c r="D1472" t="inlineStr">
        <is>
          <t>Your health under siege : using nutrition to fight back / Jeffrey Bland.</t>
        </is>
      </c>
      <c r="F1472" t="inlineStr">
        <is>
          <t>No</t>
        </is>
      </c>
      <c r="G1472" t="inlineStr">
        <is>
          <t>1</t>
        </is>
      </c>
      <c r="H1472" t="inlineStr">
        <is>
          <t>No</t>
        </is>
      </c>
      <c r="I1472" t="inlineStr">
        <is>
          <t>No</t>
        </is>
      </c>
      <c r="J1472" t="inlineStr">
        <is>
          <t>0</t>
        </is>
      </c>
      <c r="K1472" t="inlineStr">
        <is>
          <t>Bland, Jeffrey, 1946-</t>
        </is>
      </c>
      <c r="L1472" t="inlineStr">
        <is>
          <t>Brattleboro, Vt. : S. Greene Press, c1981, 1982 printing.</t>
        </is>
      </c>
      <c r="M1472" t="inlineStr">
        <is>
          <t>1981</t>
        </is>
      </c>
      <c r="O1472" t="inlineStr">
        <is>
          <t>eng</t>
        </is>
      </c>
      <c r="P1472" t="inlineStr">
        <is>
          <t>vtu</t>
        </is>
      </c>
      <c r="R1472" t="inlineStr">
        <is>
          <t xml:space="preserve">RC </t>
        </is>
      </c>
      <c r="S1472" t="n">
        <v>9</v>
      </c>
      <c r="T1472" t="n">
        <v>9</v>
      </c>
      <c r="U1472" t="inlineStr">
        <is>
          <t>1999-04-06</t>
        </is>
      </c>
      <c r="V1472" t="inlineStr">
        <is>
          <t>1999-04-06</t>
        </is>
      </c>
      <c r="W1472" t="inlineStr">
        <is>
          <t>1993-03-23</t>
        </is>
      </c>
      <c r="X1472" t="inlineStr">
        <is>
          <t>1993-03-23</t>
        </is>
      </c>
      <c r="Y1472" t="n">
        <v>246</v>
      </c>
      <c r="Z1472" t="n">
        <v>231</v>
      </c>
      <c r="AA1472" t="n">
        <v>234</v>
      </c>
      <c r="AB1472" t="n">
        <v>4</v>
      </c>
      <c r="AC1472" t="n">
        <v>4</v>
      </c>
      <c r="AD1472" t="n">
        <v>2</v>
      </c>
      <c r="AE1472" t="n">
        <v>2</v>
      </c>
      <c r="AF1472" t="n">
        <v>0</v>
      </c>
      <c r="AG1472" t="n">
        <v>0</v>
      </c>
      <c r="AH1472" t="n">
        <v>0</v>
      </c>
      <c r="AI1472" t="n">
        <v>0</v>
      </c>
      <c r="AJ1472" t="n">
        <v>0</v>
      </c>
      <c r="AK1472" t="n">
        <v>0</v>
      </c>
      <c r="AL1472" t="n">
        <v>2</v>
      </c>
      <c r="AM1472" t="n">
        <v>2</v>
      </c>
      <c r="AN1472" t="n">
        <v>0</v>
      </c>
      <c r="AO1472" t="n">
        <v>0</v>
      </c>
      <c r="AP1472" t="inlineStr">
        <is>
          <t>No</t>
        </is>
      </c>
      <c r="AQ1472" t="inlineStr">
        <is>
          <t>Yes</t>
        </is>
      </c>
      <c r="AR1472">
        <f>HYPERLINK("http://catalog.hathitrust.org/Record/009801333","HathiTrust Record")</f>
        <v/>
      </c>
      <c r="AS1472">
        <f>HYPERLINK("https://creighton-primo.hosted.exlibrisgroup.com/primo-explore/search?tab=default_tab&amp;search_scope=EVERYTHING&amp;vid=01CRU&amp;lang=en_US&amp;offset=0&amp;query=any,contains,991005084479702656","Catalog Record")</f>
        <v/>
      </c>
      <c r="AT1472">
        <f>HYPERLINK("http://www.worldcat.org/oclc/7179256","WorldCat Record")</f>
        <v/>
      </c>
      <c r="AU1472" t="inlineStr">
        <is>
          <t>796477912:eng</t>
        </is>
      </c>
      <c r="AV1472" t="inlineStr">
        <is>
          <t>7179256</t>
        </is>
      </c>
      <c r="AW1472" t="inlineStr">
        <is>
          <t>991005084479702656</t>
        </is>
      </c>
      <c r="AX1472" t="inlineStr">
        <is>
          <t>991005084479702656</t>
        </is>
      </c>
      <c r="AY1472" t="inlineStr">
        <is>
          <t>2267059190002656</t>
        </is>
      </c>
      <c r="AZ1472" t="inlineStr">
        <is>
          <t>BOOK</t>
        </is>
      </c>
      <c r="BB1472" t="inlineStr">
        <is>
          <t>9780828904155</t>
        </is>
      </c>
      <c r="BC1472" t="inlineStr">
        <is>
          <t>32285001607760</t>
        </is>
      </c>
      <c r="BD1472" t="inlineStr">
        <is>
          <t>893902072</t>
        </is>
      </c>
    </row>
    <row r="1473">
      <c r="A1473" t="inlineStr">
        <is>
          <t>No</t>
        </is>
      </c>
      <c r="B1473" t="inlineStr">
        <is>
          <t>RC622 .F47613 2006</t>
        </is>
      </c>
      <c r="C1473" t="inlineStr">
        <is>
          <t>0                      RC 0622000F  47613       2006</t>
        </is>
      </c>
      <c r="D1473" t="inlineStr">
        <is>
          <t>Sacred cow, mad cow : a history of food fears / Madeleine Ferrières ; translated by Jody Gladding.</t>
        </is>
      </c>
      <c r="F1473" t="inlineStr">
        <is>
          <t>No</t>
        </is>
      </c>
      <c r="G1473" t="inlineStr">
        <is>
          <t>1</t>
        </is>
      </c>
      <c r="H1473" t="inlineStr">
        <is>
          <t>No</t>
        </is>
      </c>
      <c r="I1473" t="inlineStr">
        <is>
          <t>No</t>
        </is>
      </c>
      <c r="J1473" t="inlineStr">
        <is>
          <t>0</t>
        </is>
      </c>
      <c r="K1473" t="inlineStr">
        <is>
          <t>Ferrières, Madeleine.</t>
        </is>
      </c>
      <c r="L1473" t="inlineStr">
        <is>
          <t>New York : Columbia University Press, c2006.</t>
        </is>
      </c>
      <c r="M1473" t="inlineStr">
        <is>
          <t>2006</t>
        </is>
      </c>
      <c r="O1473" t="inlineStr">
        <is>
          <t>eng</t>
        </is>
      </c>
      <c r="P1473" t="inlineStr">
        <is>
          <t>nyu</t>
        </is>
      </c>
      <c r="Q1473" t="inlineStr">
        <is>
          <t>Arts and traditions of the table</t>
        </is>
      </c>
      <c r="R1473" t="inlineStr">
        <is>
          <t xml:space="preserve">RC </t>
        </is>
      </c>
      <c r="S1473" t="n">
        <v>2</v>
      </c>
      <c r="T1473" t="n">
        <v>2</v>
      </c>
      <c r="U1473" t="inlineStr">
        <is>
          <t>2005-12-13</t>
        </is>
      </c>
      <c r="V1473" t="inlineStr">
        <is>
          <t>2005-12-13</t>
        </is>
      </c>
      <c r="W1473" t="inlineStr">
        <is>
          <t>2005-12-13</t>
        </is>
      </c>
      <c r="X1473" t="inlineStr">
        <is>
          <t>2005-12-13</t>
        </is>
      </c>
      <c r="Y1473" t="n">
        <v>800</v>
      </c>
      <c r="Z1473" t="n">
        <v>723</v>
      </c>
      <c r="AA1473" t="n">
        <v>753</v>
      </c>
      <c r="AB1473" t="n">
        <v>5</v>
      </c>
      <c r="AC1473" t="n">
        <v>5</v>
      </c>
      <c r="AD1473" t="n">
        <v>24</v>
      </c>
      <c r="AE1473" t="n">
        <v>24</v>
      </c>
      <c r="AF1473" t="n">
        <v>9</v>
      </c>
      <c r="AG1473" t="n">
        <v>9</v>
      </c>
      <c r="AH1473" t="n">
        <v>4</v>
      </c>
      <c r="AI1473" t="n">
        <v>4</v>
      </c>
      <c r="AJ1473" t="n">
        <v>12</v>
      </c>
      <c r="AK1473" t="n">
        <v>12</v>
      </c>
      <c r="AL1473" t="n">
        <v>4</v>
      </c>
      <c r="AM1473" t="n">
        <v>4</v>
      </c>
      <c r="AN1473" t="n">
        <v>0</v>
      </c>
      <c r="AO1473" t="n">
        <v>0</v>
      </c>
      <c r="AP1473" t="inlineStr">
        <is>
          <t>No</t>
        </is>
      </c>
      <c r="AQ1473" t="inlineStr">
        <is>
          <t>No</t>
        </is>
      </c>
      <c r="AS1473">
        <f>HYPERLINK("https://creighton-primo.hosted.exlibrisgroup.com/primo-explore/search?tab=default_tab&amp;search_scope=EVERYTHING&amp;vid=01CRU&amp;lang=en_US&amp;offset=0&amp;query=any,contains,991004693539702656","Catalog Record")</f>
        <v/>
      </c>
      <c r="AT1473">
        <f>HYPERLINK("http://www.worldcat.org/oclc/61123200","WorldCat Record")</f>
        <v/>
      </c>
      <c r="AU1473" t="inlineStr">
        <is>
          <t>1151935760:eng</t>
        </is>
      </c>
      <c r="AV1473" t="inlineStr">
        <is>
          <t>61123200</t>
        </is>
      </c>
      <c r="AW1473" t="inlineStr">
        <is>
          <t>991004693539702656</t>
        </is>
      </c>
      <c r="AX1473" t="inlineStr">
        <is>
          <t>991004693539702656</t>
        </is>
      </c>
      <c r="AY1473" t="inlineStr">
        <is>
          <t>2255287850002656</t>
        </is>
      </c>
      <c r="AZ1473" t="inlineStr">
        <is>
          <t>BOOK</t>
        </is>
      </c>
      <c r="BB1473" t="inlineStr">
        <is>
          <t>9780231131926</t>
        </is>
      </c>
      <c r="BC1473" t="inlineStr">
        <is>
          <t>32285005152003</t>
        </is>
      </c>
      <c r="BD1473" t="inlineStr">
        <is>
          <t>893532700</t>
        </is>
      </c>
    </row>
    <row r="1474">
      <c r="A1474" t="inlineStr">
        <is>
          <t>No</t>
        </is>
      </c>
      <c r="B1474" t="inlineStr">
        <is>
          <t>RC623 .E23 1976</t>
        </is>
      </c>
      <c r="C1474" t="inlineStr">
        <is>
          <t>0                      RC 0623000E  23          1976</t>
        </is>
      </c>
      <c r="D1474" t="inlineStr">
        <is>
          <t>The two faces of malnutrition / Erik Eckholm, Frank Record.</t>
        </is>
      </c>
      <c r="F1474" t="inlineStr">
        <is>
          <t>No</t>
        </is>
      </c>
      <c r="G1474" t="inlineStr">
        <is>
          <t>1</t>
        </is>
      </c>
      <c r="H1474" t="inlineStr">
        <is>
          <t>No</t>
        </is>
      </c>
      <c r="I1474" t="inlineStr">
        <is>
          <t>No</t>
        </is>
      </c>
      <c r="J1474" t="inlineStr">
        <is>
          <t>0</t>
        </is>
      </c>
      <c r="K1474" t="inlineStr">
        <is>
          <t>Eckholm, Erik P.</t>
        </is>
      </c>
      <c r="L1474" t="inlineStr">
        <is>
          <t>Washington : Worldwatch Institute, c1976.</t>
        </is>
      </c>
      <c r="M1474" t="inlineStr">
        <is>
          <t>1976</t>
        </is>
      </c>
      <c r="O1474" t="inlineStr">
        <is>
          <t>eng</t>
        </is>
      </c>
      <c r="P1474" t="inlineStr">
        <is>
          <t>dcu</t>
        </is>
      </c>
      <c r="Q1474" t="inlineStr">
        <is>
          <t>Worldwatch paper ; 9</t>
        </is>
      </c>
      <c r="R1474" t="inlineStr">
        <is>
          <t xml:space="preserve">RC </t>
        </is>
      </c>
      <c r="S1474" t="n">
        <v>3</v>
      </c>
      <c r="T1474" t="n">
        <v>3</v>
      </c>
      <c r="U1474" t="inlineStr">
        <is>
          <t>2000-03-01</t>
        </is>
      </c>
      <c r="V1474" t="inlineStr">
        <is>
          <t>2000-03-01</t>
        </is>
      </c>
      <c r="W1474" t="inlineStr">
        <is>
          <t>1993-03-23</t>
        </is>
      </c>
      <c r="X1474" t="inlineStr">
        <is>
          <t>1993-03-23</t>
        </is>
      </c>
      <c r="Y1474" t="n">
        <v>348</v>
      </c>
      <c r="Z1474" t="n">
        <v>274</v>
      </c>
      <c r="AA1474" t="n">
        <v>279</v>
      </c>
      <c r="AB1474" t="n">
        <v>4</v>
      </c>
      <c r="AC1474" t="n">
        <v>4</v>
      </c>
      <c r="AD1474" t="n">
        <v>10</v>
      </c>
      <c r="AE1474" t="n">
        <v>10</v>
      </c>
      <c r="AF1474" t="n">
        <v>1</v>
      </c>
      <c r="AG1474" t="n">
        <v>1</v>
      </c>
      <c r="AH1474" t="n">
        <v>5</v>
      </c>
      <c r="AI1474" t="n">
        <v>5</v>
      </c>
      <c r="AJ1474" t="n">
        <v>4</v>
      </c>
      <c r="AK1474" t="n">
        <v>4</v>
      </c>
      <c r="AL1474" t="n">
        <v>3</v>
      </c>
      <c r="AM1474" t="n">
        <v>3</v>
      </c>
      <c r="AN1474" t="n">
        <v>0</v>
      </c>
      <c r="AO1474" t="n">
        <v>0</v>
      </c>
      <c r="AP1474" t="inlineStr">
        <is>
          <t>No</t>
        </is>
      </c>
      <c r="AQ1474" t="inlineStr">
        <is>
          <t>No</t>
        </is>
      </c>
      <c r="AS1474">
        <f>HYPERLINK("https://creighton-primo.hosted.exlibrisgroup.com/primo-explore/search?tab=default_tab&amp;search_scope=EVERYTHING&amp;vid=01CRU&amp;lang=en_US&amp;offset=0&amp;query=any,contains,991004264059702656","Catalog Record")</f>
        <v/>
      </c>
      <c r="AT1474">
        <f>HYPERLINK("http://www.worldcat.org/oclc/2858519","WorldCat Record")</f>
        <v/>
      </c>
      <c r="AU1474" t="inlineStr">
        <is>
          <t>6175302:eng</t>
        </is>
      </c>
      <c r="AV1474" t="inlineStr">
        <is>
          <t>2858519</t>
        </is>
      </c>
      <c r="AW1474" t="inlineStr">
        <is>
          <t>991004264059702656</t>
        </is>
      </c>
      <c r="AX1474" t="inlineStr">
        <is>
          <t>991004264059702656</t>
        </is>
      </c>
      <c r="AY1474" t="inlineStr">
        <is>
          <t>2263420340002656</t>
        </is>
      </c>
      <c r="AZ1474" t="inlineStr">
        <is>
          <t>BOOK</t>
        </is>
      </c>
      <c r="BB1474" t="inlineStr">
        <is>
          <t>9780916468088</t>
        </is>
      </c>
      <c r="BC1474" t="inlineStr">
        <is>
          <t>32285001607778</t>
        </is>
      </c>
      <c r="BD1474" t="inlineStr">
        <is>
          <t>893535886</t>
        </is>
      </c>
    </row>
    <row r="1475">
      <c r="A1475" t="inlineStr">
        <is>
          <t>No</t>
        </is>
      </c>
      <c r="B1475" t="inlineStr">
        <is>
          <t>RC627.6 .F48 1985, v...</t>
        </is>
      </c>
      <c r="C1475" t="inlineStr">
        <is>
          <t>0                      RC 0627600F  48          1985                                        v...</t>
        </is>
      </c>
      <c r="D1475" t="inlineStr">
        <is>
          <t>Molecular biochemistry of human disease / George Feuer, Felix A. De la Iglesia.</t>
        </is>
      </c>
      <c r="E1475" t="inlineStr">
        <is>
          <t>V.1</t>
        </is>
      </c>
      <c r="F1475" t="inlineStr">
        <is>
          <t>No</t>
        </is>
      </c>
      <c r="G1475" t="inlineStr">
        <is>
          <t>1</t>
        </is>
      </c>
      <c r="H1475" t="inlineStr">
        <is>
          <t>No</t>
        </is>
      </c>
      <c r="I1475" t="inlineStr">
        <is>
          <t>No</t>
        </is>
      </c>
      <c r="J1475" t="inlineStr">
        <is>
          <t>0</t>
        </is>
      </c>
      <c r="K1475" t="inlineStr">
        <is>
          <t>Feuer, George, 1921-</t>
        </is>
      </c>
      <c r="L1475" t="inlineStr">
        <is>
          <t>Boca Raton, Fla. : CRC Press, c1985-</t>
        </is>
      </c>
      <c r="M1475" t="inlineStr">
        <is>
          <t>1985</t>
        </is>
      </c>
      <c r="O1475" t="inlineStr">
        <is>
          <t>eng</t>
        </is>
      </c>
      <c r="P1475" t="inlineStr">
        <is>
          <t>flu</t>
        </is>
      </c>
      <c r="R1475" t="inlineStr">
        <is>
          <t xml:space="preserve">RC </t>
        </is>
      </c>
      <c r="S1475" t="n">
        <v>8</v>
      </c>
      <c r="T1475" t="n">
        <v>8</v>
      </c>
      <c r="U1475" t="inlineStr">
        <is>
          <t>1999-10-01</t>
        </is>
      </c>
      <c r="V1475" t="inlineStr">
        <is>
          <t>1999-10-01</t>
        </is>
      </c>
      <c r="W1475" t="inlineStr">
        <is>
          <t>1992-11-07</t>
        </is>
      </c>
      <c r="X1475" t="inlineStr">
        <is>
          <t>1992-11-07</t>
        </is>
      </c>
      <c r="Y1475" t="n">
        <v>282</v>
      </c>
      <c r="Z1475" t="n">
        <v>215</v>
      </c>
      <c r="AA1475" t="n">
        <v>218</v>
      </c>
      <c r="AB1475" t="n">
        <v>1</v>
      </c>
      <c r="AC1475" t="n">
        <v>1</v>
      </c>
      <c r="AD1475" t="n">
        <v>6</v>
      </c>
      <c r="AE1475" t="n">
        <v>6</v>
      </c>
      <c r="AF1475" t="n">
        <v>1</v>
      </c>
      <c r="AG1475" t="n">
        <v>1</v>
      </c>
      <c r="AH1475" t="n">
        <v>2</v>
      </c>
      <c r="AI1475" t="n">
        <v>2</v>
      </c>
      <c r="AJ1475" t="n">
        <v>4</v>
      </c>
      <c r="AK1475" t="n">
        <v>4</v>
      </c>
      <c r="AL1475" t="n">
        <v>0</v>
      </c>
      <c r="AM1475" t="n">
        <v>0</v>
      </c>
      <c r="AN1475" t="n">
        <v>0</v>
      </c>
      <c r="AO1475" t="n">
        <v>0</v>
      </c>
      <c r="AP1475" t="inlineStr">
        <is>
          <t>No</t>
        </is>
      </c>
      <c r="AQ1475" t="inlineStr">
        <is>
          <t>Yes</t>
        </is>
      </c>
      <c r="AR1475">
        <f>HYPERLINK("http://catalog.hathitrust.org/Record/000574846","HathiTrust Record")</f>
        <v/>
      </c>
      <c r="AS1475">
        <f>HYPERLINK("https://creighton-primo.hosted.exlibrisgroup.com/primo-explore/search?tab=default_tab&amp;search_scope=EVERYTHING&amp;vid=01CRU&amp;lang=en_US&amp;offset=0&amp;query=any,contains,991000408829702656","Catalog Record")</f>
        <v/>
      </c>
      <c r="AT1475">
        <f>HYPERLINK("http://www.worldcat.org/oclc/10696770","WorldCat Record")</f>
        <v/>
      </c>
      <c r="AU1475" t="inlineStr">
        <is>
          <t>10567812029:eng</t>
        </is>
      </c>
      <c r="AV1475" t="inlineStr">
        <is>
          <t>10696770</t>
        </is>
      </c>
      <c r="AW1475" t="inlineStr">
        <is>
          <t>991000408829702656</t>
        </is>
      </c>
      <c r="AX1475" t="inlineStr">
        <is>
          <t>991000408829702656</t>
        </is>
      </c>
      <c r="AY1475" t="inlineStr">
        <is>
          <t>2269232910002656</t>
        </is>
      </c>
      <c r="AZ1475" t="inlineStr">
        <is>
          <t>BOOK</t>
        </is>
      </c>
      <c r="BB1475" t="inlineStr">
        <is>
          <t>9780849362057</t>
        </is>
      </c>
      <c r="BC1475" t="inlineStr">
        <is>
          <t>32285001383107</t>
        </is>
      </c>
      <c r="BD1475" t="inlineStr">
        <is>
          <t>893327266</t>
        </is>
      </c>
    </row>
    <row r="1476">
      <c r="A1476" t="inlineStr">
        <is>
          <t>No</t>
        </is>
      </c>
      <c r="B1476" t="inlineStr">
        <is>
          <t>RC627.8 .B46 1985</t>
        </is>
      </c>
      <c r="C1476" t="inlineStr">
        <is>
          <t>0                      RC 0627800B  46          1985</t>
        </is>
      </c>
      <c r="D1476" t="inlineStr">
        <is>
          <t>Genetic biochemical disorders / Philip F. Benson, Anthony H. Fensom.</t>
        </is>
      </c>
      <c r="F1476" t="inlineStr">
        <is>
          <t>No</t>
        </is>
      </c>
      <c r="G1476" t="inlineStr">
        <is>
          <t>1</t>
        </is>
      </c>
      <c r="H1476" t="inlineStr">
        <is>
          <t>Yes</t>
        </is>
      </c>
      <c r="I1476" t="inlineStr">
        <is>
          <t>No</t>
        </is>
      </c>
      <c r="J1476" t="inlineStr">
        <is>
          <t>0</t>
        </is>
      </c>
      <c r="K1476" t="inlineStr">
        <is>
          <t>Benson, P. F. (Philip F.)</t>
        </is>
      </c>
      <c r="L1476" t="inlineStr">
        <is>
          <t>Oxford [Oxfordshire] ; New York : Oxford University Press, 1985.</t>
        </is>
      </c>
      <c r="M1476" t="inlineStr">
        <is>
          <t>1985</t>
        </is>
      </c>
      <c r="O1476" t="inlineStr">
        <is>
          <t>eng</t>
        </is>
      </c>
      <c r="P1476" t="inlineStr">
        <is>
          <t>enk</t>
        </is>
      </c>
      <c r="Q1476" t="inlineStr">
        <is>
          <t>Oxford monographs on medical genetics ; no. 12</t>
        </is>
      </c>
      <c r="R1476" t="inlineStr">
        <is>
          <t xml:space="preserve">RC </t>
        </is>
      </c>
      <c r="S1476" t="n">
        <v>2</v>
      </c>
      <c r="T1476" t="n">
        <v>2</v>
      </c>
      <c r="U1476" t="inlineStr">
        <is>
          <t>1993-04-21</t>
        </is>
      </c>
      <c r="V1476" t="inlineStr">
        <is>
          <t>1993-04-21</t>
        </is>
      </c>
      <c r="W1476" t="inlineStr">
        <is>
          <t>1992-02-07</t>
        </is>
      </c>
      <c r="X1476" t="inlineStr">
        <is>
          <t>1992-02-07</t>
        </is>
      </c>
      <c r="Y1476" t="n">
        <v>229</v>
      </c>
      <c r="Z1476" t="n">
        <v>139</v>
      </c>
      <c r="AA1476" t="n">
        <v>149</v>
      </c>
      <c r="AB1476" t="n">
        <v>2</v>
      </c>
      <c r="AC1476" t="n">
        <v>2</v>
      </c>
      <c r="AD1476" t="n">
        <v>4</v>
      </c>
      <c r="AE1476" t="n">
        <v>4</v>
      </c>
      <c r="AF1476" t="n">
        <v>2</v>
      </c>
      <c r="AG1476" t="n">
        <v>2</v>
      </c>
      <c r="AH1476" t="n">
        <v>1</v>
      </c>
      <c r="AI1476" t="n">
        <v>1</v>
      </c>
      <c r="AJ1476" t="n">
        <v>3</v>
      </c>
      <c r="AK1476" t="n">
        <v>3</v>
      </c>
      <c r="AL1476" t="n">
        <v>0</v>
      </c>
      <c r="AM1476" t="n">
        <v>0</v>
      </c>
      <c r="AN1476" t="n">
        <v>0</v>
      </c>
      <c r="AO1476" t="n">
        <v>0</v>
      </c>
      <c r="AP1476" t="inlineStr">
        <is>
          <t>No</t>
        </is>
      </c>
      <c r="AQ1476" t="inlineStr">
        <is>
          <t>Yes</t>
        </is>
      </c>
      <c r="AR1476">
        <f>HYPERLINK("http://catalog.hathitrust.org/Record/000620738","HathiTrust Record")</f>
        <v/>
      </c>
      <c r="AS1476">
        <f>HYPERLINK("https://creighton-primo.hosted.exlibrisgroup.com/primo-explore/search?tab=default_tab&amp;search_scope=EVERYTHING&amp;vid=01CRU&amp;lang=en_US&amp;offset=0&amp;query=any,contains,991000534209702656","Catalog Record")</f>
        <v/>
      </c>
      <c r="AT1476">
        <f>HYPERLINK("http://www.worldcat.org/oclc/11441886","WorldCat Record")</f>
        <v/>
      </c>
      <c r="AU1476" t="inlineStr">
        <is>
          <t>4061242:eng</t>
        </is>
      </c>
      <c r="AV1476" t="inlineStr">
        <is>
          <t>11441886</t>
        </is>
      </c>
      <c r="AW1476" t="inlineStr">
        <is>
          <t>991000534209702656</t>
        </is>
      </c>
      <c r="AX1476" t="inlineStr">
        <is>
          <t>991000534209702656</t>
        </is>
      </c>
      <c r="AY1476" t="inlineStr">
        <is>
          <t>2268636000002656</t>
        </is>
      </c>
      <c r="AZ1476" t="inlineStr">
        <is>
          <t>BOOK</t>
        </is>
      </c>
      <c r="BB1476" t="inlineStr">
        <is>
          <t>9780192611932</t>
        </is>
      </c>
      <c r="BC1476" t="inlineStr">
        <is>
          <t>32285000943109</t>
        </is>
      </c>
      <c r="BD1476" t="inlineStr">
        <is>
          <t>893333554</t>
        </is>
      </c>
    </row>
    <row r="1477">
      <c r="A1477" t="inlineStr">
        <is>
          <t>No</t>
        </is>
      </c>
      <c r="B1477" t="inlineStr">
        <is>
          <t>RC627.8 .G35 1985</t>
        </is>
      </c>
      <c r="C1477" t="inlineStr">
        <is>
          <t>0                      RC 0627800G  35          1985</t>
        </is>
      </c>
      <c r="D1477" t="inlineStr">
        <is>
          <t>Molecular genetics of common metabolic disease / David J. Galton.</t>
        </is>
      </c>
      <c r="F1477" t="inlineStr">
        <is>
          <t>No</t>
        </is>
      </c>
      <c r="G1477" t="inlineStr">
        <is>
          <t>1</t>
        </is>
      </c>
      <c r="H1477" t="inlineStr">
        <is>
          <t>Yes</t>
        </is>
      </c>
      <c r="I1477" t="inlineStr">
        <is>
          <t>No</t>
        </is>
      </c>
      <c r="J1477" t="inlineStr">
        <is>
          <t>0</t>
        </is>
      </c>
      <c r="K1477" t="inlineStr">
        <is>
          <t>Galton, David J.</t>
        </is>
      </c>
      <c r="L1477" t="inlineStr">
        <is>
          <t>New York : Wiley, 1985.</t>
        </is>
      </c>
      <c r="M1477" t="inlineStr">
        <is>
          <t>1985</t>
        </is>
      </c>
      <c r="O1477" t="inlineStr">
        <is>
          <t>eng</t>
        </is>
      </c>
      <c r="P1477" t="inlineStr">
        <is>
          <t>nyu</t>
        </is>
      </c>
      <c r="Q1477" t="inlineStr">
        <is>
          <t>A Wiley medical publication</t>
        </is>
      </c>
      <c r="R1477" t="inlineStr">
        <is>
          <t xml:space="preserve">RC </t>
        </is>
      </c>
      <c r="S1477" t="n">
        <v>11</v>
      </c>
      <c r="T1477" t="n">
        <v>14</v>
      </c>
      <c r="U1477" t="inlineStr">
        <is>
          <t>1999-10-08</t>
        </is>
      </c>
      <c r="V1477" t="inlineStr">
        <is>
          <t>1999-10-08</t>
        </is>
      </c>
      <c r="W1477" t="inlineStr">
        <is>
          <t>1991-10-29</t>
        </is>
      </c>
      <c r="X1477" t="inlineStr">
        <is>
          <t>1991-10-29</t>
        </is>
      </c>
      <c r="Y1477" t="n">
        <v>212</v>
      </c>
      <c r="Z1477" t="n">
        <v>206</v>
      </c>
      <c r="AA1477" t="n">
        <v>232</v>
      </c>
      <c r="AB1477" t="n">
        <v>3</v>
      </c>
      <c r="AC1477" t="n">
        <v>3</v>
      </c>
      <c r="AD1477" t="n">
        <v>9</v>
      </c>
      <c r="AE1477" t="n">
        <v>10</v>
      </c>
      <c r="AF1477" t="n">
        <v>4</v>
      </c>
      <c r="AG1477" t="n">
        <v>4</v>
      </c>
      <c r="AH1477" t="n">
        <v>2</v>
      </c>
      <c r="AI1477" t="n">
        <v>3</v>
      </c>
      <c r="AJ1477" t="n">
        <v>5</v>
      </c>
      <c r="AK1477" t="n">
        <v>6</v>
      </c>
      <c r="AL1477" t="n">
        <v>1</v>
      </c>
      <c r="AM1477" t="n">
        <v>1</v>
      </c>
      <c r="AN1477" t="n">
        <v>0</v>
      </c>
      <c r="AO1477" t="n">
        <v>0</v>
      </c>
      <c r="AP1477" t="inlineStr">
        <is>
          <t>No</t>
        </is>
      </c>
      <c r="AQ1477" t="inlineStr">
        <is>
          <t>Yes</t>
        </is>
      </c>
      <c r="AR1477">
        <f>HYPERLINK("http://catalog.hathitrust.org/Record/000374705","HathiTrust Record")</f>
        <v/>
      </c>
      <c r="AS1477">
        <f>HYPERLINK("https://creighton-primo.hosted.exlibrisgroup.com/primo-explore/search?tab=default_tab&amp;search_scope=EVERYTHING&amp;vid=01CRU&amp;lang=en_US&amp;offset=0&amp;query=any,contains,991001780079702656","Catalog Record")</f>
        <v/>
      </c>
      <c r="AT1477">
        <f>HYPERLINK("http://www.worldcat.org/oclc/12052380","WorldCat Record")</f>
        <v/>
      </c>
      <c r="AU1477" t="inlineStr">
        <is>
          <t>314662203:eng</t>
        </is>
      </c>
      <c r="AV1477" t="inlineStr">
        <is>
          <t>12052380</t>
        </is>
      </c>
      <c r="AW1477" t="inlineStr">
        <is>
          <t>991001780079702656</t>
        </is>
      </c>
      <c r="AX1477" t="inlineStr">
        <is>
          <t>991001780079702656</t>
        </is>
      </c>
      <c r="AY1477" t="inlineStr">
        <is>
          <t>2258240260002656</t>
        </is>
      </c>
      <c r="AZ1477" t="inlineStr">
        <is>
          <t>BOOK</t>
        </is>
      </c>
      <c r="BB1477" t="inlineStr">
        <is>
          <t>9780471832775</t>
        </is>
      </c>
      <c r="BC1477" t="inlineStr">
        <is>
          <t>32285000803170</t>
        </is>
      </c>
      <c r="BD1477" t="inlineStr">
        <is>
          <t>893420619</t>
        </is>
      </c>
    </row>
    <row r="1478">
      <c r="A1478" t="inlineStr">
        <is>
          <t>No</t>
        </is>
      </c>
      <c r="B1478" t="inlineStr">
        <is>
          <t>RC627.8 .I57 1978</t>
        </is>
      </c>
      <c r="C1478" t="inlineStr">
        <is>
          <t>0                      RC 0627800I  57          1978</t>
        </is>
      </c>
      <c r="D1478" t="inlineStr">
        <is>
          <t>Models for the study of inborn errors of metabolism : proceedings of an International Symposium on Models for the Study of Inborn Errors of Metabolism held in Eernewoude, the Netherlands, 18-21 October, 1978 / editor, Frits A. Hommes.</t>
        </is>
      </c>
      <c r="F1478" t="inlineStr">
        <is>
          <t>No</t>
        </is>
      </c>
      <c r="G1478" t="inlineStr">
        <is>
          <t>1</t>
        </is>
      </c>
      <c r="H1478" t="inlineStr">
        <is>
          <t>No</t>
        </is>
      </c>
      <c r="I1478" t="inlineStr">
        <is>
          <t>No</t>
        </is>
      </c>
      <c r="J1478" t="inlineStr">
        <is>
          <t>0</t>
        </is>
      </c>
      <c r="K1478" t="inlineStr">
        <is>
          <t>International Symposium on Models for the Study of Inborn Errors of Metabolism (1978 : Eernewoude, Netherlands)</t>
        </is>
      </c>
      <c r="L1478" t="inlineStr">
        <is>
          <t>Amsterdam ; New York : Elsevier/North-Holland Biomedical Press ; New York : sole distributors for the USA and Canada, Elsevier North-Holland, 1979.</t>
        </is>
      </c>
      <c r="M1478" t="inlineStr">
        <is>
          <t>1979</t>
        </is>
      </c>
      <c r="O1478" t="inlineStr">
        <is>
          <t>eng</t>
        </is>
      </c>
      <c r="P1478" t="inlineStr">
        <is>
          <t xml:space="preserve">ne </t>
        </is>
      </c>
      <c r="R1478" t="inlineStr">
        <is>
          <t xml:space="preserve">RC </t>
        </is>
      </c>
      <c r="S1478" t="n">
        <v>4</v>
      </c>
      <c r="T1478" t="n">
        <v>4</v>
      </c>
      <c r="U1478" t="inlineStr">
        <is>
          <t>1995-09-28</t>
        </is>
      </c>
      <c r="V1478" t="inlineStr">
        <is>
          <t>1995-09-28</t>
        </is>
      </c>
      <c r="W1478" t="inlineStr">
        <is>
          <t>1993-03-23</t>
        </is>
      </c>
      <c r="X1478" t="inlineStr">
        <is>
          <t>1993-03-23</t>
        </is>
      </c>
      <c r="Y1478" t="n">
        <v>120</v>
      </c>
      <c r="Z1478" t="n">
        <v>92</v>
      </c>
      <c r="AA1478" t="n">
        <v>94</v>
      </c>
      <c r="AB1478" t="n">
        <v>2</v>
      </c>
      <c r="AC1478" t="n">
        <v>2</v>
      </c>
      <c r="AD1478" t="n">
        <v>1</v>
      </c>
      <c r="AE1478" t="n">
        <v>1</v>
      </c>
      <c r="AF1478" t="n">
        <v>0</v>
      </c>
      <c r="AG1478" t="n">
        <v>0</v>
      </c>
      <c r="AH1478" t="n">
        <v>0</v>
      </c>
      <c r="AI1478" t="n">
        <v>0</v>
      </c>
      <c r="AJ1478" t="n">
        <v>0</v>
      </c>
      <c r="AK1478" t="n">
        <v>0</v>
      </c>
      <c r="AL1478" t="n">
        <v>1</v>
      </c>
      <c r="AM1478" t="n">
        <v>1</v>
      </c>
      <c r="AN1478" t="n">
        <v>0</v>
      </c>
      <c r="AO1478" t="n">
        <v>0</v>
      </c>
      <c r="AP1478" t="inlineStr">
        <is>
          <t>No</t>
        </is>
      </c>
      <c r="AQ1478" t="inlineStr">
        <is>
          <t>Yes</t>
        </is>
      </c>
      <c r="AR1478">
        <f>HYPERLINK("http://catalog.hathitrust.org/Record/000259016","HathiTrust Record")</f>
        <v/>
      </c>
      <c r="AS1478">
        <f>HYPERLINK("https://creighton-primo.hosted.exlibrisgroup.com/primo-explore/search?tab=default_tab&amp;search_scope=EVERYTHING&amp;vid=01CRU&amp;lang=en_US&amp;offset=0&amp;query=any,contains,991004684979702656","Catalog Record")</f>
        <v/>
      </c>
      <c r="AT1478">
        <f>HYPERLINK("http://www.worldcat.org/oclc/4591487","WorldCat Record")</f>
        <v/>
      </c>
      <c r="AU1478" t="inlineStr">
        <is>
          <t>3855717454:eng</t>
        </is>
      </c>
      <c r="AV1478" t="inlineStr">
        <is>
          <t>4591487</t>
        </is>
      </c>
      <c r="AW1478" t="inlineStr">
        <is>
          <t>991004684979702656</t>
        </is>
      </c>
      <c r="AX1478" t="inlineStr">
        <is>
          <t>991004684979702656</t>
        </is>
      </c>
      <c r="AY1478" t="inlineStr">
        <is>
          <t>2265912770002656</t>
        </is>
      </c>
      <c r="AZ1478" t="inlineStr">
        <is>
          <t>BOOK</t>
        </is>
      </c>
      <c r="BB1478" t="inlineStr">
        <is>
          <t>9780444801067</t>
        </is>
      </c>
      <c r="BC1478" t="inlineStr">
        <is>
          <t>32285001607794</t>
        </is>
      </c>
      <c r="BD1478" t="inlineStr">
        <is>
          <t>893442933</t>
        </is>
      </c>
    </row>
    <row r="1479">
      <c r="A1479" t="inlineStr">
        <is>
          <t>No</t>
        </is>
      </c>
      <c r="B1479" t="inlineStr">
        <is>
          <t>RC627.8 .S6</t>
        </is>
      </c>
      <c r="C1479" t="inlineStr">
        <is>
          <t>0                      RC 0627800S  6</t>
        </is>
      </c>
      <c r="D1479" t="inlineStr">
        <is>
          <t>Inborn errors of skin, hair, and connective tissue : monograph based upon proceedings of the eleventh symposium of the Society for the Study of Inborn Errors of Metabolism / edited by J. B. Holton and J. T. Ireland.</t>
        </is>
      </c>
      <c r="F1479" t="inlineStr">
        <is>
          <t>No</t>
        </is>
      </c>
      <c r="G1479" t="inlineStr">
        <is>
          <t>1</t>
        </is>
      </c>
      <c r="H1479" t="inlineStr">
        <is>
          <t>Yes</t>
        </is>
      </c>
      <c r="I1479" t="inlineStr">
        <is>
          <t>No</t>
        </is>
      </c>
      <c r="J1479" t="inlineStr">
        <is>
          <t>0</t>
        </is>
      </c>
      <c r="K1479" t="inlineStr">
        <is>
          <t>Society for the Study of Inborn Errors of Metabolism.</t>
        </is>
      </c>
      <c r="L1479" t="inlineStr">
        <is>
          <t>Baltimore : University Park Press, c1975.</t>
        </is>
      </c>
      <c r="M1479" t="inlineStr">
        <is>
          <t>1975</t>
        </is>
      </c>
      <c r="O1479" t="inlineStr">
        <is>
          <t>eng</t>
        </is>
      </c>
      <c r="P1479" t="inlineStr">
        <is>
          <t>mdu</t>
        </is>
      </c>
      <c r="Q1479" t="inlineStr">
        <is>
          <t>Symposia of the Society for the Study of Inborn Errors of Metabolism ; 11</t>
        </is>
      </c>
      <c r="R1479" t="inlineStr">
        <is>
          <t xml:space="preserve">RC </t>
        </is>
      </c>
      <c r="S1479" t="n">
        <v>0</v>
      </c>
      <c r="T1479" t="n">
        <v>4</v>
      </c>
      <c r="V1479" t="inlineStr">
        <is>
          <t>1995-03-30</t>
        </is>
      </c>
      <c r="W1479" t="inlineStr">
        <is>
          <t>1997-08-12</t>
        </is>
      </c>
      <c r="X1479" t="inlineStr">
        <is>
          <t>1997-08-12</t>
        </is>
      </c>
      <c r="Y1479" t="n">
        <v>125</v>
      </c>
      <c r="Z1479" t="n">
        <v>108</v>
      </c>
      <c r="AA1479" t="n">
        <v>168</v>
      </c>
      <c r="AB1479" t="n">
        <v>2</v>
      </c>
      <c r="AC1479" t="n">
        <v>3</v>
      </c>
      <c r="AD1479" t="n">
        <v>5</v>
      </c>
      <c r="AE1479" t="n">
        <v>7</v>
      </c>
      <c r="AF1479" t="n">
        <v>1</v>
      </c>
      <c r="AG1479" t="n">
        <v>2</v>
      </c>
      <c r="AH1479" t="n">
        <v>3</v>
      </c>
      <c r="AI1479" t="n">
        <v>4</v>
      </c>
      <c r="AJ1479" t="n">
        <v>3</v>
      </c>
      <c r="AK1479" t="n">
        <v>4</v>
      </c>
      <c r="AL1479" t="n">
        <v>0</v>
      </c>
      <c r="AM1479" t="n">
        <v>0</v>
      </c>
      <c r="AN1479" t="n">
        <v>0</v>
      </c>
      <c r="AO1479" t="n">
        <v>0</v>
      </c>
      <c r="AP1479" t="inlineStr">
        <is>
          <t>No</t>
        </is>
      </c>
      <c r="AQ1479" t="inlineStr">
        <is>
          <t>Yes</t>
        </is>
      </c>
      <c r="AR1479">
        <f>HYPERLINK("http://catalog.hathitrust.org/Record/000697751","HathiTrust Record")</f>
        <v/>
      </c>
      <c r="AS1479">
        <f>HYPERLINK("https://creighton-primo.hosted.exlibrisgroup.com/primo-explore/search?tab=default_tab&amp;search_scope=EVERYTHING&amp;vid=01CRU&amp;lang=en_US&amp;offset=0&amp;query=any,contains,991001780039702656","Catalog Record")</f>
        <v/>
      </c>
      <c r="AT1479">
        <f>HYPERLINK("http://www.worldcat.org/oclc/1863392","WorldCat Record")</f>
        <v/>
      </c>
      <c r="AU1479" t="inlineStr">
        <is>
          <t>2671126:eng</t>
        </is>
      </c>
      <c r="AV1479" t="inlineStr">
        <is>
          <t>1863392</t>
        </is>
      </c>
      <c r="AW1479" t="inlineStr">
        <is>
          <t>991001780039702656</t>
        </is>
      </c>
      <c r="AX1479" t="inlineStr">
        <is>
          <t>991001780039702656</t>
        </is>
      </c>
      <c r="AY1479" t="inlineStr">
        <is>
          <t>2263277480002656</t>
        </is>
      </c>
      <c r="AZ1479" t="inlineStr">
        <is>
          <t>BOOK</t>
        </is>
      </c>
      <c r="BB1479" t="inlineStr">
        <is>
          <t>9780839108368</t>
        </is>
      </c>
      <c r="BC1479" t="inlineStr">
        <is>
          <t>32285003092839</t>
        </is>
      </c>
      <c r="BD1479" t="inlineStr">
        <is>
          <t>893703320</t>
        </is>
      </c>
    </row>
    <row r="1480">
      <c r="A1480" t="inlineStr">
        <is>
          <t>No</t>
        </is>
      </c>
      <c r="B1480" t="inlineStr">
        <is>
          <t>RC627.8 .S6 1976</t>
        </is>
      </c>
      <c r="C1480" t="inlineStr">
        <is>
          <t>0                      RC 0627800S  6           1976</t>
        </is>
      </c>
      <c r="D1480" t="inlineStr">
        <is>
          <t>Medico-social management of inherited metabolic disease / [edited by D. N. Raine].</t>
        </is>
      </c>
      <c r="F1480" t="inlineStr">
        <is>
          <t>No</t>
        </is>
      </c>
      <c r="G1480" t="inlineStr">
        <is>
          <t>1</t>
        </is>
      </c>
      <c r="H1480" t="inlineStr">
        <is>
          <t>No</t>
        </is>
      </c>
      <c r="I1480" t="inlineStr">
        <is>
          <t>No</t>
        </is>
      </c>
      <c r="J1480" t="inlineStr">
        <is>
          <t>0</t>
        </is>
      </c>
      <c r="K1480" t="inlineStr">
        <is>
          <t>Society for the Study of Inborn Errors of Metabolism.</t>
        </is>
      </c>
      <c r="L1480" t="inlineStr">
        <is>
          <t>Baltimore : University Park Press, c1976.</t>
        </is>
      </c>
      <c r="M1480" t="inlineStr">
        <is>
          <t>1976</t>
        </is>
      </c>
      <c r="O1480" t="inlineStr">
        <is>
          <t>eng</t>
        </is>
      </c>
      <c r="P1480" t="inlineStr">
        <is>
          <t>mdu</t>
        </is>
      </c>
      <c r="Q1480" t="inlineStr">
        <is>
          <t>Symposia of the Society for the Study of Inborn Errors of Metabolism ; [13]</t>
        </is>
      </c>
      <c r="R1480" t="inlineStr">
        <is>
          <t xml:space="preserve">RC </t>
        </is>
      </c>
      <c r="S1480" t="n">
        <v>1</v>
      </c>
      <c r="T1480" t="n">
        <v>1</v>
      </c>
      <c r="U1480" t="inlineStr">
        <is>
          <t>1997-09-16</t>
        </is>
      </c>
      <c r="V1480" t="inlineStr">
        <is>
          <t>1997-09-16</t>
        </is>
      </c>
      <c r="W1480" t="inlineStr">
        <is>
          <t>1997-08-12</t>
        </is>
      </c>
      <c r="X1480" t="inlineStr">
        <is>
          <t>1997-08-12</t>
        </is>
      </c>
      <c r="Y1480" t="n">
        <v>81</v>
      </c>
      <c r="Z1480" t="n">
        <v>73</v>
      </c>
      <c r="AA1480" t="n">
        <v>119</v>
      </c>
      <c r="AB1480" t="n">
        <v>2</v>
      </c>
      <c r="AC1480" t="n">
        <v>2</v>
      </c>
      <c r="AD1480" t="n">
        <v>1</v>
      </c>
      <c r="AE1480" t="n">
        <v>2</v>
      </c>
      <c r="AF1480" t="n">
        <v>0</v>
      </c>
      <c r="AG1480" t="n">
        <v>1</v>
      </c>
      <c r="AH1480" t="n">
        <v>0</v>
      </c>
      <c r="AI1480" t="n">
        <v>0</v>
      </c>
      <c r="AJ1480" t="n">
        <v>0</v>
      </c>
      <c r="AK1480" t="n">
        <v>0</v>
      </c>
      <c r="AL1480" t="n">
        <v>1</v>
      </c>
      <c r="AM1480" t="n">
        <v>1</v>
      </c>
      <c r="AN1480" t="n">
        <v>0</v>
      </c>
      <c r="AO1480" t="n">
        <v>0</v>
      </c>
      <c r="AP1480" t="inlineStr">
        <is>
          <t>No</t>
        </is>
      </c>
      <c r="AQ1480" t="inlineStr">
        <is>
          <t>No</t>
        </is>
      </c>
      <c r="AS1480">
        <f>HYPERLINK("https://creighton-primo.hosted.exlibrisgroup.com/primo-explore/search?tab=default_tab&amp;search_scope=EVERYTHING&amp;vid=01CRU&amp;lang=en_US&amp;offset=0&amp;query=any,contains,991004247169702656","Catalog Record")</f>
        <v/>
      </c>
      <c r="AT1480">
        <f>HYPERLINK("http://www.worldcat.org/oclc/2798808","WorldCat Record")</f>
        <v/>
      </c>
      <c r="AU1480" t="inlineStr">
        <is>
          <t>1364610906:eng</t>
        </is>
      </c>
      <c r="AV1480" t="inlineStr">
        <is>
          <t>2798808</t>
        </is>
      </c>
      <c r="AW1480" t="inlineStr">
        <is>
          <t>991004247169702656</t>
        </is>
      </c>
      <c r="AX1480" t="inlineStr">
        <is>
          <t>991004247169702656</t>
        </is>
      </c>
      <c r="AY1480" t="inlineStr">
        <is>
          <t>2270939180002656</t>
        </is>
      </c>
      <c r="AZ1480" t="inlineStr">
        <is>
          <t>BOOK</t>
        </is>
      </c>
      <c r="BB1480" t="inlineStr">
        <is>
          <t>9780839111030</t>
        </is>
      </c>
      <c r="BC1480" t="inlineStr">
        <is>
          <t>32285003092847</t>
        </is>
      </c>
      <c r="BD1480" t="inlineStr">
        <is>
          <t>893500323</t>
        </is>
      </c>
    </row>
    <row r="1481">
      <c r="A1481" t="inlineStr">
        <is>
          <t>No</t>
        </is>
      </c>
      <c r="B1481" t="inlineStr">
        <is>
          <t>RC628 .B3535 1987</t>
        </is>
      </c>
      <c r="C1481" t="inlineStr">
        <is>
          <t>0                      RC 0628000B  3535        1987</t>
        </is>
      </c>
      <c r="D1481" t="inlineStr">
        <is>
          <t>Behavioral management of obesity / edited by Jean Storlie, Henry A. Jordan.</t>
        </is>
      </c>
      <c r="F1481" t="inlineStr">
        <is>
          <t>No</t>
        </is>
      </c>
      <c r="G1481" t="inlineStr">
        <is>
          <t>1</t>
        </is>
      </c>
      <c r="H1481" t="inlineStr">
        <is>
          <t>No</t>
        </is>
      </c>
      <c r="I1481" t="inlineStr">
        <is>
          <t>No</t>
        </is>
      </c>
      <c r="J1481" t="inlineStr">
        <is>
          <t>0</t>
        </is>
      </c>
      <c r="L1481" t="inlineStr">
        <is>
          <t>Champaign, IL : Life Enhancement Publications, [1987], c1984.</t>
        </is>
      </c>
      <c r="M1481" t="inlineStr">
        <is>
          <t>1987</t>
        </is>
      </c>
      <c r="O1481" t="inlineStr">
        <is>
          <t>eng</t>
        </is>
      </c>
      <c r="P1481" t="inlineStr">
        <is>
          <t>ilu</t>
        </is>
      </c>
      <c r="Q1481" t="inlineStr">
        <is>
          <t>La Crosse exercise and health series</t>
        </is>
      </c>
      <c r="R1481" t="inlineStr">
        <is>
          <t xml:space="preserve">RC </t>
        </is>
      </c>
      <c r="S1481" t="n">
        <v>25</v>
      </c>
      <c r="T1481" t="n">
        <v>25</v>
      </c>
      <c r="U1481" t="inlineStr">
        <is>
          <t>2008-03-19</t>
        </is>
      </c>
      <c r="V1481" t="inlineStr">
        <is>
          <t>2008-03-19</t>
        </is>
      </c>
      <c r="W1481" t="inlineStr">
        <is>
          <t>1991-08-26</t>
        </is>
      </c>
      <c r="X1481" t="inlineStr">
        <is>
          <t>1991-08-26</t>
        </is>
      </c>
      <c r="Y1481" t="n">
        <v>94</v>
      </c>
      <c r="Z1481" t="n">
        <v>75</v>
      </c>
      <c r="AA1481" t="n">
        <v>236</v>
      </c>
      <c r="AB1481" t="n">
        <v>2</v>
      </c>
      <c r="AC1481" t="n">
        <v>4</v>
      </c>
      <c r="AD1481" t="n">
        <v>1</v>
      </c>
      <c r="AE1481" t="n">
        <v>5</v>
      </c>
      <c r="AF1481" t="n">
        <v>0</v>
      </c>
      <c r="AG1481" t="n">
        <v>1</v>
      </c>
      <c r="AH1481" t="n">
        <v>0</v>
      </c>
      <c r="AI1481" t="n">
        <v>1</v>
      </c>
      <c r="AJ1481" t="n">
        <v>0</v>
      </c>
      <c r="AK1481" t="n">
        <v>1</v>
      </c>
      <c r="AL1481" t="n">
        <v>1</v>
      </c>
      <c r="AM1481" t="n">
        <v>3</v>
      </c>
      <c r="AN1481" t="n">
        <v>0</v>
      </c>
      <c r="AO1481" t="n">
        <v>0</v>
      </c>
      <c r="AP1481" t="inlineStr">
        <is>
          <t>No</t>
        </is>
      </c>
      <c r="AQ1481" t="inlineStr">
        <is>
          <t>No</t>
        </is>
      </c>
      <c r="AS1481">
        <f>HYPERLINK("https://creighton-primo.hosted.exlibrisgroup.com/primo-explore/search?tab=default_tab&amp;search_scope=EVERYTHING&amp;vid=01CRU&amp;lang=en_US&amp;offset=0&amp;query=any,contains,991001124589702656","Catalog Record")</f>
        <v/>
      </c>
      <c r="AT1481">
        <f>HYPERLINK("http://www.worldcat.org/oclc/16647386","WorldCat Record")</f>
        <v/>
      </c>
      <c r="AU1481" t="inlineStr">
        <is>
          <t>355687236:eng</t>
        </is>
      </c>
      <c r="AV1481" t="inlineStr">
        <is>
          <t>16647386</t>
        </is>
      </c>
      <c r="AW1481" t="inlineStr">
        <is>
          <t>991001124589702656</t>
        </is>
      </c>
      <c r="AX1481" t="inlineStr">
        <is>
          <t>991001124589702656</t>
        </is>
      </c>
      <c r="AY1481" t="inlineStr">
        <is>
          <t>2262639190002656</t>
        </is>
      </c>
      <c r="AZ1481" t="inlineStr">
        <is>
          <t>BOOK</t>
        </is>
      </c>
      <c r="BB1481" t="inlineStr">
        <is>
          <t>9780873229081</t>
        </is>
      </c>
      <c r="BC1481" t="inlineStr">
        <is>
          <t>32285000701879</t>
        </is>
      </c>
      <c r="BD1481" t="inlineStr">
        <is>
          <t>893897539</t>
        </is>
      </c>
    </row>
    <row r="1482">
      <c r="A1482" t="inlineStr">
        <is>
          <t>No</t>
        </is>
      </c>
      <c r="B1482" t="inlineStr">
        <is>
          <t>RC628 .B54  no.1</t>
        </is>
      </c>
      <c r="C1482" t="inlineStr">
        <is>
          <t>0                      RC 0628000B  54                                                      no.1</t>
        </is>
      </c>
      <c r="D1482" t="inlineStr">
        <is>
          <t>Dementia praecox ; or, The group of schizophrenias / by Eugen Bleuler.</t>
        </is>
      </c>
      <c r="E1482" t="inlineStr">
        <is>
          <t>no.1*</t>
        </is>
      </c>
      <c r="F1482" t="inlineStr">
        <is>
          <t>No</t>
        </is>
      </c>
      <c r="G1482" t="inlineStr">
        <is>
          <t>1</t>
        </is>
      </c>
      <c r="H1482" t="inlineStr">
        <is>
          <t>No</t>
        </is>
      </c>
      <c r="I1482" t="inlineStr">
        <is>
          <t>No</t>
        </is>
      </c>
      <c r="J1482" t="inlineStr">
        <is>
          <t>0</t>
        </is>
      </c>
      <c r="K1482" t="inlineStr">
        <is>
          <t>Bleuler, Eugen, 1857-1939.</t>
        </is>
      </c>
      <c r="L1482" t="inlineStr">
        <is>
          <t>New York : International Universities Press, [1950]</t>
        </is>
      </c>
      <c r="M1482" t="inlineStr">
        <is>
          <t>1950</t>
        </is>
      </c>
      <c r="O1482" t="inlineStr">
        <is>
          <t>eng</t>
        </is>
      </c>
      <c r="P1482" t="inlineStr">
        <is>
          <t>nyu</t>
        </is>
      </c>
      <c r="Q1482" t="inlineStr">
        <is>
          <t>Monograph series on schizophrenia ; no. 1</t>
        </is>
      </c>
      <c r="R1482" t="inlineStr">
        <is>
          <t xml:space="preserve">RC </t>
        </is>
      </c>
      <c r="S1482" t="n">
        <v>2</v>
      </c>
      <c r="T1482" t="n">
        <v>2</v>
      </c>
      <c r="U1482" t="inlineStr">
        <is>
          <t>1995-11-11</t>
        </is>
      </c>
      <c r="V1482" t="inlineStr">
        <is>
          <t>1995-11-11</t>
        </is>
      </c>
      <c r="W1482" t="inlineStr">
        <is>
          <t>1992-03-18</t>
        </is>
      </c>
      <c r="X1482" t="inlineStr">
        <is>
          <t>1992-03-18</t>
        </is>
      </c>
      <c r="Y1482" t="n">
        <v>591</v>
      </c>
      <c r="Z1482" t="n">
        <v>509</v>
      </c>
      <c r="AA1482" t="n">
        <v>569</v>
      </c>
      <c r="AB1482" t="n">
        <v>5</v>
      </c>
      <c r="AC1482" t="n">
        <v>5</v>
      </c>
      <c r="AD1482" t="n">
        <v>27</v>
      </c>
      <c r="AE1482" t="n">
        <v>28</v>
      </c>
      <c r="AF1482" t="n">
        <v>8</v>
      </c>
      <c r="AG1482" t="n">
        <v>8</v>
      </c>
      <c r="AH1482" t="n">
        <v>4</v>
      </c>
      <c r="AI1482" t="n">
        <v>5</v>
      </c>
      <c r="AJ1482" t="n">
        <v>16</v>
      </c>
      <c r="AK1482" t="n">
        <v>16</v>
      </c>
      <c r="AL1482" t="n">
        <v>3</v>
      </c>
      <c r="AM1482" t="n">
        <v>3</v>
      </c>
      <c r="AN1482" t="n">
        <v>0</v>
      </c>
      <c r="AO1482" t="n">
        <v>0</v>
      </c>
      <c r="AP1482" t="inlineStr">
        <is>
          <t>No</t>
        </is>
      </c>
      <c r="AQ1482" t="inlineStr">
        <is>
          <t>No</t>
        </is>
      </c>
      <c r="AR1482">
        <f>HYPERLINK("http://catalog.hathitrust.org/Record/000619976","HathiTrust Record")</f>
        <v/>
      </c>
      <c r="AS1482">
        <f>HYPERLINK("https://creighton-primo.hosted.exlibrisgroup.com/primo-explore/search?tab=default_tab&amp;search_scope=EVERYTHING&amp;vid=01CRU&amp;lang=en_US&amp;offset=0&amp;query=any,contains,991002002579702656","Catalog Record")</f>
        <v/>
      </c>
      <c r="AT1482">
        <f>HYPERLINK("http://www.worldcat.org/oclc/2370253","WorldCat Record")</f>
        <v/>
      </c>
      <c r="AU1482" t="inlineStr">
        <is>
          <t>5614157760:eng</t>
        </is>
      </c>
      <c r="AV1482" t="inlineStr">
        <is>
          <t>2370253</t>
        </is>
      </c>
      <c r="AW1482" t="inlineStr">
        <is>
          <t>991002002579702656</t>
        </is>
      </c>
      <c r="AX1482" t="inlineStr">
        <is>
          <t>991002002579702656</t>
        </is>
      </c>
      <c r="AY1482" t="inlineStr">
        <is>
          <t>2255059640002656</t>
        </is>
      </c>
      <c r="AZ1482" t="inlineStr">
        <is>
          <t>BOOK</t>
        </is>
      </c>
      <c r="BC1482" t="inlineStr">
        <is>
          <t>32285001005916</t>
        </is>
      </c>
      <c r="BD1482" t="inlineStr">
        <is>
          <t>893779309</t>
        </is>
      </c>
    </row>
    <row r="1483">
      <c r="A1483" t="inlineStr">
        <is>
          <t>No</t>
        </is>
      </c>
      <c r="B1483" t="inlineStr">
        <is>
          <t>RC628 .E28 1983</t>
        </is>
      </c>
      <c r="C1483" t="inlineStr">
        <is>
          <t>0                      RC 0628000E  28          1983</t>
        </is>
      </c>
      <c r="D1483" t="inlineStr">
        <is>
          <t>Eating and weight disorders : advances in treatment and research / Richard K. Goodstein, editor.</t>
        </is>
      </c>
      <c r="F1483" t="inlineStr">
        <is>
          <t>No</t>
        </is>
      </c>
      <c r="G1483" t="inlineStr">
        <is>
          <t>1</t>
        </is>
      </c>
      <c r="H1483" t="inlineStr">
        <is>
          <t>No</t>
        </is>
      </c>
      <c r="I1483" t="inlineStr">
        <is>
          <t>No</t>
        </is>
      </c>
      <c r="J1483" t="inlineStr">
        <is>
          <t>0</t>
        </is>
      </c>
      <c r="L1483" t="inlineStr">
        <is>
          <t>New York : Springer Pub. Co., c1983.</t>
        </is>
      </c>
      <c r="M1483" t="inlineStr">
        <is>
          <t>1983</t>
        </is>
      </c>
      <c r="O1483" t="inlineStr">
        <is>
          <t>eng</t>
        </is>
      </c>
      <c r="P1483" t="inlineStr">
        <is>
          <t>nyu</t>
        </is>
      </c>
      <c r="Q1483" t="inlineStr">
        <is>
          <t>Springer series on behavior therapy and behavioral medicine ; v. 8</t>
        </is>
      </c>
      <c r="R1483" t="inlineStr">
        <is>
          <t xml:space="preserve">RC </t>
        </is>
      </c>
      <c r="S1483" t="n">
        <v>56</v>
      </c>
      <c r="T1483" t="n">
        <v>56</v>
      </c>
      <c r="U1483" t="inlineStr">
        <is>
          <t>2002-04-21</t>
        </is>
      </c>
      <c r="V1483" t="inlineStr">
        <is>
          <t>2002-04-21</t>
        </is>
      </c>
      <c r="W1483" t="inlineStr">
        <is>
          <t>1990-02-28</t>
        </is>
      </c>
      <c r="X1483" t="inlineStr">
        <is>
          <t>1990-02-28</t>
        </is>
      </c>
      <c r="Y1483" t="n">
        <v>273</v>
      </c>
      <c r="Z1483" t="n">
        <v>234</v>
      </c>
      <c r="AA1483" t="n">
        <v>239</v>
      </c>
      <c r="AB1483" t="n">
        <v>3</v>
      </c>
      <c r="AC1483" t="n">
        <v>3</v>
      </c>
      <c r="AD1483" t="n">
        <v>9</v>
      </c>
      <c r="AE1483" t="n">
        <v>9</v>
      </c>
      <c r="AF1483" t="n">
        <v>4</v>
      </c>
      <c r="AG1483" t="n">
        <v>4</v>
      </c>
      <c r="AH1483" t="n">
        <v>1</v>
      </c>
      <c r="AI1483" t="n">
        <v>1</v>
      </c>
      <c r="AJ1483" t="n">
        <v>5</v>
      </c>
      <c r="AK1483" t="n">
        <v>5</v>
      </c>
      <c r="AL1483" t="n">
        <v>2</v>
      </c>
      <c r="AM1483" t="n">
        <v>2</v>
      </c>
      <c r="AN1483" t="n">
        <v>0</v>
      </c>
      <c r="AO1483" t="n">
        <v>0</v>
      </c>
      <c r="AP1483" t="inlineStr">
        <is>
          <t>No</t>
        </is>
      </c>
      <c r="AQ1483" t="inlineStr">
        <is>
          <t>Yes</t>
        </is>
      </c>
      <c r="AR1483">
        <f>HYPERLINK("http://catalog.hathitrust.org/Record/000153682","HathiTrust Record")</f>
        <v/>
      </c>
      <c r="AS1483">
        <f>HYPERLINK("https://creighton-primo.hosted.exlibrisgroup.com/primo-explore/search?tab=default_tab&amp;search_scope=EVERYTHING&amp;vid=01CRU&amp;lang=en_US&amp;offset=0&amp;query=any,contains,991005242439702656","Catalog Record")</f>
        <v/>
      </c>
      <c r="AT1483">
        <f>HYPERLINK("http://www.worldcat.org/oclc/8430835","WorldCat Record")</f>
        <v/>
      </c>
      <c r="AU1483" t="inlineStr">
        <is>
          <t>905429071:eng</t>
        </is>
      </c>
      <c r="AV1483" t="inlineStr">
        <is>
          <t>8430835</t>
        </is>
      </c>
      <c r="AW1483" t="inlineStr">
        <is>
          <t>991005242439702656</t>
        </is>
      </c>
      <c r="AX1483" t="inlineStr">
        <is>
          <t>991005242439702656</t>
        </is>
      </c>
      <c r="AY1483" t="inlineStr">
        <is>
          <t>2261238340002656</t>
        </is>
      </c>
      <c r="AZ1483" t="inlineStr">
        <is>
          <t>BOOK</t>
        </is>
      </c>
      <c r="BB1483" t="inlineStr">
        <is>
          <t>9780826138309</t>
        </is>
      </c>
      <c r="BC1483" t="inlineStr">
        <is>
          <t>32285000072529</t>
        </is>
      </c>
      <c r="BD1483" t="inlineStr">
        <is>
          <t>893520696</t>
        </is>
      </c>
    </row>
    <row r="1484">
      <c r="A1484" t="inlineStr">
        <is>
          <t>No</t>
        </is>
      </c>
      <c r="B1484" t="inlineStr">
        <is>
          <t>RC628 .E93 1987</t>
        </is>
      </c>
      <c r="C1484" t="inlineStr">
        <is>
          <t>0                      RC 0628000E  93          1987</t>
        </is>
      </c>
      <c r="D1484" t="inlineStr">
        <is>
          <t>Evaluation and treatment of obesity / edited by Jean Storlie, Henry A. Jordan.</t>
        </is>
      </c>
      <c r="F1484" t="inlineStr">
        <is>
          <t>No</t>
        </is>
      </c>
      <c r="G1484" t="inlineStr">
        <is>
          <t>1</t>
        </is>
      </c>
      <c r="H1484" t="inlineStr">
        <is>
          <t>No</t>
        </is>
      </c>
      <c r="I1484" t="inlineStr">
        <is>
          <t>No</t>
        </is>
      </c>
      <c r="J1484" t="inlineStr">
        <is>
          <t>0</t>
        </is>
      </c>
      <c r="L1484" t="inlineStr">
        <is>
          <t>Champaign, Ill. : Life Enhancement Publications, [1987], c1984.</t>
        </is>
      </c>
      <c r="M1484" t="inlineStr">
        <is>
          <t>1987</t>
        </is>
      </c>
      <c r="O1484" t="inlineStr">
        <is>
          <t>eng</t>
        </is>
      </c>
      <c r="P1484" t="inlineStr">
        <is>
          <t>ilu</t>
        </is>
      </c>
      <c r="Q1484" t="inlineStr">
        <is>
          <t>La Crosse exercise and health series, 0894-4261</t>
        </is>
      </c>
      <c r="R1484" t="inlineStr">
        <is>
          <t xml:space="preserve">RC </t>
        </is>
      </c>
      <c r="S1484" t="n">
        <v>34</v>
      </c>
      <c r="T1484" t="n">
        <v>34</v>
      </c>
      <c r="U1484" t="inlineStr">
        <is>
          <t>2008-03-19</t>
        </is>
      </c>
      <c r="V1484" t="inlineStr">
        <is>
          <t>2008-03-19</t>
        </is>
      </c>
      <c r="W1484" t="inlineStr">
        <is>
          <t>1991-08-26</t>
        </is>
      </c>
      <c r="X1484" t="inlineStr">
        <is>
          <t>1991-08-26</t>
        </is>
      </c>
      <c r="Y1484" t="n">
        <v>101</v>
      </c>
      <c r="Z1484" t="n">
        <v>73</v>
      </c>
      <c r="AA1484" t="n">
        <v>232</v>
      </c>
      <c r="AB1484" t="n">
        <v>1</v>
      </c>
      <c r="AC1484" t="n">
        <v>3</v>
      </c>
      <c r="AD1484" t="n">
        <v>1</v>
      </c>
      <c r="AE1484" t="n">
        <v>3</v>
      </c>
      <c r="AF1484" t="n">
        <v>1</v>
      </c>
      <c r="AG1484" t="n">
        <v>1</v>
      </c>
      <c r="AH1484" t="n">
        <v>0</v>
      </c>
      <c r="AI1484" t="n">
        <v>0</v>
      </c>
      <c r="AJ1484" t="n">
        <v>1</v>
      </c>
      <c r="AK1484" t="n">
        <v>1</v>
      </c>
      <c r="AL1484" t="n">
        <v>0</v>
      </c>
      <c r="AM1484" t="n">
        <v>2</v>
      </c>
      <c r="AN1484" t="n">
        <v>0</v>
      </c>
      <c r="AO1484" t="n">
        <v>0</v>
      </c>
      <c r="AP1484" t="inlineStr">
        <is>
          <t>No</t>
        </is>
      </c>
      <c r="AQ1484" t="inlineStr">
        <is>
          <t>No</t>
        </is>
      </c>
      <c r="AS1484">
        <f>HYPERLINK("https://creighton-primo.hosted.exlibrisgroup.com/primo-explore/search?tab=default_tab&amp;search_scope=EVERYTHING&amp;vid=01CRU&amp;lang=en_US&amp;offset=0&amp;query=any,contains,991001124719702656","Catalog Record")</f>
        <v/>
      </c>
      <c r="AT1484">
        <f>HYPERLINK("http://www.worldcat.org/oclc/16647462","WorldCat Record")</f>
        <v/>
      </c>
      <c r="AU1484" t="inlineStr">
        <is>
          <t>428623734:eng</t>
        </is>
      </c>
      <c r="AV1484" t="inlineStr">
        <is>
          <t>16647462</t>
        </is>
      </c>
      <c r="AW1484" t="inlineStr">
        <is>
          <t>991001124719702656</t>
        </is>
      </c>
      <c r="AX1484" t="inlineStr">
        <is>
          <t>991001124719702656</t>
        </is>
      </c>
      <c r="AY1484" t="inlineStr">
        <is>
          <t>2262733920002656</t>
        </is>
      </c>
      <c r="AZ1484" t="inlineStr">
        <is>
          <t>BOOK</t>
        </is>
      </c>
      <c r="BB1484" t="inlineStr">
        <is>
          <t>9780873229067</t>
        </is>
      </c>
      <c r="BC1484" t="inlineStr">
        <is>
          <t>32285000701887</t>
        </is>
      </c>
      <c r="BD1484" t="inlineStr">
        <is>
          <t>893715202</t>
        </is>
      </c>
    </row>
    <row r="1485">
      <c r="A1485" t="inlineStr">
        <is>
          <t>No</t>
        </is>
      </c>
      <c r="B1485" t="inlineStr">
        <is>
          <t>RC628 .H66</t>
        </is>
      </c>
      <c r="C1485" t="inlineStr">
        <is>
          <t>0                      RC 0628000H  66</t>
        </is>
      </c>
      <c r="D1485" t="inlineStr">
        <is>
          <t>The biology of schizophrenia / by R. G. Hoskins.</t>
        </is>
      </c>
      <c r="F1485" t="inlineStr">
        <is>
          <t>No</t>
        </is>
      </c>
      <c r="G1485" t="inlineStr">
        <is>
          <t>1</t>
        </is>
      </c>
      <c r="H1485" t="inlineStr">
        <is>
          <t>No</t>
        </is>
      </c>
      <c r="I1485" t="inlineStr">
        <is>
          <t>No</t>
        </is>
      </c>
      <c r="J1485" t="inlineStr">
        <is>
          <t>0</t>
        </is>
      </c>
      <c r="K1485" t="inlineStr">
        <is>
          <t>Hoskins, R. G. (Roy Graham), 1880-1964.</t>
        </is>
      </c>
      <c r="L1485" t="inlineStr">
        <is>
          <t>New York : W. W. Norton &amp; Company, inc., [1946]</t>
        </is>
      </c>
      <c r="M1485" t="inlineStr">
        <is>
          <t>1946</t>
        </is>
      </c>
      <c r="O1485" t="inlineStr">
        <is>
          <t>eng</t>
        </is>
      </c>
      <c r="P1485" t="inlineStr">
        <is>
          <t>nyu</t>
        </is>
      </c>
      <c r="Q1485" t="inlineStr">
        <is>
          <t>[New York Academy of Medicine. Thomas William Salmon memorial lectures]</t>
        </is>
      </c>
      <c r="R1485" t="inlineStr">
        <is>
          <t xml:space="preserve">RC </t>
        </is>
      </c>
      <c r="S1485" t="n">
        <v>5</v>
      </c>
      <c r="T1485" t="n">
        <v>5</v>
      </c>
      <c r="U1485" t="inlineStr">
        <is>
          <t>1999-09-24</t>
        </is>
      </c>
      <c r="V1485" t="inlineStr">
        <is>
          <t>1999-09-24</t>
        </is>
      </c>
      <c r="W1485" t="inlineStr">
        <is>
          <t>1992-11-05</t>
        </is>
      </c>
      <c r="X1485" t="inlineStr">
        <is>
          <t>1992-11-05</t>
        </is>
      </c>
      <c r="Y1485" t="n">
        <v>269</v>
      </c>
      <c r="Z1485" t="n">
        <v>231</v>
      </c>
      <c r="AA1485" t="n">
        <v>234</v>
      </c>
      <c r="AB1485" t="n">
        <v>2</v>
      </c>
      <c r="AC1485" t="n">
        <v>2</v>
      </c>
      <c r="AD1485" t="n">
        <v>8</v>
      </c>
      <c r="AE1485" t="n">
        <v>8</v>
      </c>
      <c r="AF1485" t="n">
        <v>1</v>
      </c>
      <c r="AG1485" t="n">
        <v>1</v>
      </c>
      <c r="AH1485" t="n">
        <v>2</v>
      </c>
      <c r="AI1485" t="n">
        <v>2</v>
      </c>
      <c r="AJ1485" t="n">
        <v>4</v>
      </c>
      <c r="AK1485" t="n">
        <v>4</v>
      </c>
      <c r="AL1485" t="n">
        <v>1</v>
      </c>
      <c r="AM1485" t="n">
        <v>1</v>
      </c>
      <c r="AN1485" t="n">
        <v>0</v>
      </c>
      <c r="AO1485" t="n">
        <v>0</v>
      </c>
      <c r="AP1485" t="inlineStr">
        <is>
          <t>No</t>
        </is>
      </c>
      <c r="AQ1485" t="inlineStr">
        <is>
          <t>Yes</t>
        </is>
      </c>
      <c r="AR1485">
        <f>HYPERLINK("http://catalog.hathitrust.org/Record/006054619","HathiTrust Record")</f>
        <v/>
      </c>
      <c r="AS1485">
        <f>HYPERLINK("https://creighton-primo.hosted.exlibrisgroup.com/primo-explore/search?tab=default_tab&amp;search_scope=EVERYTHING&amp;vid=01CRU&amp;lang=en_US&amp;offset=0&amp;query=any,contains,991002430179702656","Catalog Record")</f>
        <v/>
      </c>
      <c r="AT1485">
        <f>HYPERLINK("http://www.worldcat.org/oclc/346648","WorldCat Record")</f>
        <v/>
      </c>
      <c r="AU1485" t="inlineStr">
        <is>
          <t>1496877:eng</t>
        </is>
      </c>
      <c r="AV1485" t="inlineStr">
        <is>
          <t>346648</t>
        </is>
      </c>
      <c r="AW1485" t="inlineStr">
        <is>
          <t>991002430179702656</t>
        </is>
      </c>
      <c r="AX1485" t="inlineStr">
        <is>
          <t>991002430179702656</t>
        </is>
      </c>
      <c r="AY1485" t="inlineStr">
        <is>
          <t>2272091670002656</t>
        </is>
      </c>
      <c r="AZ1485" t="inlineStr">
        <is>
          <t>BOOK</t>
        </is>
      </c>
      <c r="BC1485" t="inlineStr">
        <is>
          <t>32285001380962</t>
        </is>
      </c>
      <c r="BD1485" t="inlineStr">
        <is>
          <t>893597448</t>
        </is>
      </c>
    </row>
    <row r="1486">
      <c r="A1486" t="inlineStr">
        <is>
          <t>No</t>
        </is>
      </c>
      <c r="B1486" t="inlineStr">
        <is>
          <t>RC628 .K5</t>
        </is>
      </c>
      <c r="C1486" t="inlineStr">
        <is>
          <t>0                      RC 0628000K  5</t>
        </is>
      </c>
      <c r="D1486" t="inlineStr">
        <is>
          <t>The psychology of obesity; dynamics and treatment / Norman Kiell.</t>
        </is>
      </c>
      <c r="F1486" t="inlineStr">
        <is>
          <t>No</t>
        </is>
      </c>
      <c r="G1486" t="inlineStr">
        <is>
          <t>1</t>
        </is>
      </c>
      <c r="H1486" t="inlineStr">
        <is>
          <t>No</t>
        </is>
      </c>
      <c r="I1486" t="inlineStr">
        <is>
          <t>No</t>
        </is>
      </c>
      <c r="J1486" t="inlineStr">
        <is>
          <t>0</t>
        </is>
      </c>
      <c r="K1486" t="inlineStr">
        <is>
          <t>Kiell, Norman compiler.</t>
        </is>
      </c>
      <c r="L1486" t="inlineStr">
        <is>
          <t>Springfield, Ill. : Thomas, 1973.</t>
        </is>
      </c>
      <c r="M1486" t="inlineStr">
        <is>
          <t>1973</t>
        </is>
      </c>
      <c r="O1486" t="inlineStr">
        <is>
          <t>eng</t>
        </is>
      </c>
      <c r="P1486" t="inlineStr">
        <is>
          <t>ilu</t>
        </is>
      </c>
      <c r="R1486" t="inlineStr">
        <is>
          <t xml:space="preserve">RC </t>
        </is>
      </c>
      <c r="S1486" t="n">
        <v>21</v>
      </c>
      <c r="T1486" t="n">
        <v>21</v>
      </c>
      <c r="U1486" t="inlineStr">
        <is>
          <t>2005-04-18</t>
        </is>
      </c>
      <c r="V1486" t="inlineStr">
        <is>
          <t>2005-04-18</t>
        </is>
      </c>
      <c r="W1486" t="inlineStr">
        <is>
          <t>1990-03-01</t>
        </is>
      </c>
      <c r="X1486" t="inlineStr">
        <is>
          <t>1990-03-01</t>
        </is>
      </c>
      <c r="Y1486" t="n">
        <v>412</v>
      </c>
      <c r="Z1486" t="n">
        <v>340</v>
      </c>
      <c r="AA1486" t="n">
        <v>342</v>
      </c>
      <c r="AB1486" t="n">
        <v>2</v>
      </c>
      <c r="AC1486" t="n">
        <v>2</v>
      </c>
      <c r="AD1486" t="n">
        <v>8</v>
      </c>
      <c r="AE1486" t="n">
        <v>8</v>
      </c>
      <c r="AF1486" t="n">
        <v>1</v>
      </c>
      <c r="AG1486" t="n">
        <v>1</v>
      </c>
      <c r="AH1486" t="n">
        <v>2</v>
      </c>
      <c r="AI1486" t="n">
        <v>2</v>
      </c>
      <c r="AJ1486" t="n">
        <v>6</v>
      </c>
      <c r="AK1486" t="n">
        <v>6</v>
      </c>
      <c r="AL1486" t="n">
        <v>1</v>
      </c>
      <c r="AM1486" t="n">
        <v>1</v>
      </c>
      <c r="AN1486" t="n">
        <v>0</v>
      </c>
      <c r="AO1486" t="n">
        <v>0</v>
      </c>
      <c r="AP1486" t="inlineStr">
        <is>
          <t>No</t>
        </is>
      </c>
      <c r="AQ1486" t="inlineStr">
        <is>
          <t>Yes</t>
        </is>
      </c>
      <c r="AR1486">
        <f>HYPERLINK("http://catalog.hathitrust.org/Record/001565576","HathiTrust Record")</f>
        <v/>
      </c>
      <c r="AS1486">
        <f>HYPERLINK("https://creighton-primo.hosted.exlibrisgroup.com/primo-explore/search?tab=default_tab&amp;search_scope=EVERYTHING&amp;vid=01CRU&amp;lang=en_US&amp;offset=0&amp;query=any,contains,991003043029702656","Catalog Record")</f>
        <v/>
      </c>
      <c r="AT1486">
        <f>HYPERLINK("http://www.worldcat.org/oclc/604290","WorldCat Record")</f>
        <v/>
      </c>
      <c r="AU1486" t="inlineStr">
        <is>
          <t>899733800:eng</t>
        </is>
      </c>
      <c r="AV1486" t="inlineStr">
        <is>
          <t>604290</t>
        </is>
      </c>
      <c r="AW1486" t="inlineStr">
        <is>
          <t>991003043029702656</t>
        </is>
      </c>
      <c r="AX1486" t="inlineStr">
        <is>
          <t>991003043029702656</t>
        </is>
      </c>
      <c r="AY1486" t="inlineStr">
        <is>
          <t>2260909910002656</t>
        </is>
      </c>
      <c r="AZ1486" t="inlineStr">
        <is>
          <t>BOOK</t>
        </is>
      </c>
      <c r="BB1486" t="inlineStr">
        <is>
          <t>9780398026851</t>
        </is>
      </c>
      <c r="BC1486" t="inlineStr">
        <is>
          <t>32285000075464</t>
        </is>
      </c>
      <c r="BD1486" t="inlineStr">
        <is>
          <t>893440869</t>
        </is>
      </c>
    </row>
    <row r="1487">
      <c r="A1487" t="inlineStr">
        <is>
          <t>No</t>
        </is>
      </c>
      <c r="B1487" t="inlineStr">
        <is>
          <t>RC628 .K53</t>
        </is>
      </c>
      <c r="C1487" t="inlineStr">
        <is>
          <t>0                      RC 0628000K  53</t>
        </is>
      </c>
      <c r="D1487" t="inlineStr">
        <is>
          <t>Obesity : etiology, treatment, and management / edited by Milton V. Kline, Lester L. Coleman, Erika E. Wick ; bibliographic editor, Patricia A. Sullivan.</t>
        </is>
      </c>
      <c r="F1487" t="inlineStr">
        <is>
          <t>No</t>
        </is>
      </c>
      <c r="G1487" t="inlineStr">
        <is>
          <t>1</t>
        </is>
      </c>
      <c r="H1487" t="inlineStr">
        <is>
          <t>No</t>
        </is>
      </c>
      <c r="I1487" t="inlineStr">
        <is>
          <t>No</t>
        </is>
      </c>
      <c r="J1487" t="inlineStr">
        <is>
          <t>0</t>
        </is>
      </c>
      <c r="K1487" t="inlineStr">
        <is>
          <t>Kline, Milton V. compiler.</t>
        </is>
      </c>
      <c r="L1487" t="inlineStr">
        <is>
          <t>Springfield, Ill. : Thomas, c1976.</t>
        </is>
      </c>
      <c r="M1487" t="inlineStr">
        <is>
          <t>1976</t>
        </is>
      </c>
      <c r="O1487" t="inlineStr">
        <is>
          <t>eng</t>
        </is>
      </c>
      <c r="P1487" t="inlineStr">
        <is>
          <t>ilu</t>
        </is>
      </c>
      <c r="R1487" t="inlineStr">
        <is>
          <t xml:space="preserve">RC </t>
        </is>
      </c>
      <c r="S1487" t="n">
        <v>19</v>
      </c>
      <c r="T1487" t="n">
        <v>19</v>
      </c>
      <c r="U1487" t="inlineStr">
        <is>
          <t>2002-02-27</t>
        </is>
      </c>
      <c r="V1487" t="inlineStr">
        <is>
          <t>2002-02-27</t>
        </is>
      </c>
      <c r="W1487" t="inlineStr">
        <is>
          <t>1992-02-26</t>
        </is>
      </c>
      <c r="X1487" t="inlineStr">
        <is>
          <t>1992-02-26</t>
        </is>
      </c>
      <c r="Y1487" t="n">
        <v>250</v>
      </c>
      <c r="Z1487" t="n">
        <v>222</v>
      </c>
      <c r="AA1487" t="n">
        <v>229</v>
      </c>
      <c r="AB1487" t="n">
        <v>3</v>
      </c>
      <c r="AC1487" t="n">
        <v>3</v>
      </c>
      <c r="AD1487" t="n">
        <v>4</v>
      </c>
      <c r="AE1487" t="n">
        <v>4</v>
      </c>
      <c r="AF1487" t="n">
        <v>1</v>
      </c>
      <c r="AG1487" t="n">
        <v>1</v>
      </c>
      <c r="AH1487" t="n">
        <v>1</v>
      </c>
      <c r="AI1487" t="n">
        <v>1</v>
      </c>
      <c r="AJ1487" t="n">
        <v>2</v>
      </c>
      <c r="AK1487" t="n">
        <v>2</v>
      </c>
      <c r="AL1487" t="n">
        <v>2</v>
      </c>
      <c r="AM1487" t="n">
        <v>2</v>
      </c>
      <c r="AN1487" t="n">
        <v>0</v>
      </c>
      <c r="AO1487" t="n">
        <v>0</v>
      </c>
      <c r="AP1487" t="inlineStr">
        <is>
          <t>No</t>
        </is>
      </c>
      <c r="AQ1487" t="inlineStr">
        <is>
          <t>Yes</t>
        </is>
      </c>
      <c r="AR1487">
        <f>HYPERLINK("http://catalog.hathitrust.org/Record/000030414","HathiTrust Record")</f>
        <v/>
      </c>
      <c r="AS1487">
        <f>HYPERLINK("https://creighton-primo.hosted.exlibrisgroup.com/primo-explore/search?tab=default_tab&amp;search_scope=EVERYTHING&amp;vid=01CRU&amp;lang=en_US&amp;offset=0&amp;query=any,contains,991003531029702656","Catalog Record")</f>
        <v/>
      </c>
      <c r="AT1487">
        <f>HYPERLINK("http://www.worldcat.org/oclc/1093638","WorldCat Record")</f>
        <v/>
      </c>
      <c r="AU1487" t="inlineStr">
        <is>
          <t>471651:eng</t>
        </is>
      </c>
      <c r="AV1487" t="inlineStr">
        <is>
          <t>1093638</t>
        </is>
      </c>
      <c r="AW1487" t="inlineStr">
        <is>
          <t>991003531029702656</t>
        </is>
      </c>
      <c r="AX1487" t="inlineStr">
        <is>
          <t>991003531029702656</t>
        </is>
      </c>
      <c r="AY1487" t="inlineStr">
        <is>
          <t>2264792730002656</t>
        </is>
      </c>
      <c r="AZ1487" t="inlineStr">
        <is>
          <t>BOOK</t>
        </is>
      </c>
      <c r="BB1487" t="inlineStr">
        <is>
          <t>9780398033699</t>
        </is>
      </c>
      <c r="BC1487" t="inlineStr">
        <is>
          <t>32285000949080</t>
        </is>
      </c>
      <c r="BD1487" t="inlineStr">
        <is>
          <t>893717768</t>
        </is>
      </c>
    </row>
    <row r="1488">
      <c r="A1488" t="inlineStr">
        <is>
          <t>No</t>
        </is>
      </c>
      <c r="B1488" t="inlineStr">
        <is>
          <t>RC628 .M34 1976</t>
        </is>
      </c>
      <c r="C1488" t="inlineStr">
        <is>
          <t>0                      RC 0628000M  34          1976</t>
        </is>
      </c>
      <c r="D1488" t="inlineStr">
        <is>
          <t>Permanent weight control / Michael J. Mahoney, Kathryn Mahoney ; foreword by Henry A. Jordan.</t>
        </is>
      </c>
      <c r="F1488" t="inlineStr">
        <is>
          <t>No</t>
        </is>
      </c>
      <c r="G1488" t="inlineStr">
        <is>
          <t>1</t>
        </is>
      </c>
      <c r="H1488" t="inlineStr">
        <is>
          <t>No</t>
        </is>
      </c>
      <c r="I1488" t="inlineStr">
        <is>
          <t>No</t>
        </is>
      </c>
      <c r="J1488" t="inlineStr">
        <is>
          <t>0</t>
        </is>
      </c>
      <c r="K1488" t="inlineStr">
        <is>
          <t>Mahoney, Michael J.</t>
        </is>
      </c>
      <c r="L1488" t="inlineStr">
        <is>
          <t>New York : Norton, c1976.</t>
        </is>
      </c>
      <c r="M1488" t="inlineStr">
        <is>
          <t>1976</t>
        </is>
      </c>
      <c r="N1488" t="inlineStr">
        <is>
          <t>1st ed.</t>
        </is>
      </c>
      <c r="O1488" t="inlineStr">
        <is>
          <t>eng</t>
        </is>
      </c>
      <c r="P1488" t="inlineStr">
        <is>
          <t>nyu</t>
        </is>
      </c>
      <c r="R1488" t="inlineStr">
        <is>
          <t xml:space="preserve">RC </t>
        </is>
      </c>
      <c r="S1488" t="n">
        <v>7</v>
      </c>
      <c r="T1488" t="n">
        <v>7</v>
      </c>
      <c r="U1488" t="inlineStr">
        <is>
          <t>1996-10-29</t>
        </is>
      </c>
      <c r="V1488" t="inlineStr">
        <is>
          <t>1996-10-29</t>
        </is>
      </c>
      <c r="W1488" t="inlineStr">
        <is>
          <t>1992-03-25</t>
        </is>
      </c>
      <c r="X1488" t="inlineStr">
        <is>
          <t>1992-03-25</t>
        </is>
      </c>
      <c r="Y1488" t="n">
        <v>265</v>
      </c>
      <c r="Z1488" t="n">
        <v>235</v>
      </c>
      <c r="AA1488" t="n">
        <v>250</v>
      </c>
      <c r="AB1488" t="n">
        <v>1</v>
      </c>
      <c r="AC1488" t="n">
        <v>1</v>
      </c>
      <c r="AD1488" t="n">
        <v>2</v>
      </c>
      <c r="AE1488" t="n">
        <v>2</v>
      </c>
      <c r="AF1488" t="n">
        <v>0</v>
      </c>
      <c r="AG1488" t="n">
        <v>0</v>
      </c>
      <c r="AH1488" t="n">
        <v>1</v>
      </c>
      <c r="AI1488" t="n">
        <v>1</v>
      </c>
      <c r="AJ1488" t="n">
        <v>1</v>
      </c>
      <c r="AK1488" t="n">
        <v>1</v>
      </c>
      <c r="AL1488" t="n">
        <v>0</v>
      </c>
      <c r="AM1488" t="n">
        <v>0</v>
      </c>
      <c r="AN1488" t="n">
        <v>0</v>
      </c>
      <c r="AO1488" t="n">
        <v>0</v>
      </c>
      <c r="AP1488" t="inlineStr">
        <is>
          <t>No</t>
        </is>
      </c>
      <c r="AQ1488" t="inlineStr">
        <is>
          <t>No</t>
        </is>
      </c>
      <c r="AS1488">
        <f>HYPERLINK("https://creighton-primo.hosted.exlibrisgroup.com/primo-explore/search?tab=default_tab&amp;search_scope=EVERYTHING&amp;vid=01CRU&amp;lang=en_US&amp;offset=0&amp;query=any,contains,991003946139702656","Catalog Record")</f>
        <v/>
      </c>
      <c r="AT1488">
        <f>HYPERLINK("http://www.worldcat.org/oclc/1945433","WorldCat Record")</f>
        <v/>
      </c>
      <c r="AU1488" t="inlineStr">
        <is>
          <t>3239156:eng</t>
        </is>
      </c>
      <c r="AV1488" t="inlineStr">
        <is>
          <t>1945433</t>
        </is>
      </c>
      <c r="AW1488" t="inlineStr">
        <is>
          <t>991003946139702656</t>
        </is>
      </c>
      <c r="AX1488" t="inlineStr">
        <is>
          <t>991003946139702656</t>
        </is>
      </c>
      <c r="AY1488" t="inlineStr">
        <is>
          <t>2264699440002656</t>
        </is>
      </c>
      <c r="AZ1488" t="inlineStr">
        <is>
          <t>BOOK</t>
        </is>
      </c>
      <c r="BB1488" t="inlineStr">
        <is>
          <t>9780393087369</t>
        </is>
      </c>
      <c r="BC1488" t="inlineStr">
        <is>
          <t>32285001028660</t>
        </is>
      </c>
      <c r="BD1488" t="inlineStr">
        <is>
          <t>893788099</t>
        </is>
      </c>
    </row>
    <row r="1489">
      <c r="A1489" t="inlineStr">
        <is>
          <t>No</t>
        </is>
      </c>
      <c r="B1489" t="inlineStr">
        <is>
          <t>RC628 .N86 1984</t>
        </is>
      </c>
      <c r="C1489" t="inlineStr">
        <is>
          <t>0                      RC 0628000N  86          1984</t>
        </is>
      </c>
      <c r="D1489" t="inlineStr">
        <is>
          <t>Nutrition and exercise in obesity management / edited by Jean Storlie, Henry A. Jordan.</t>
        </is>
      </c>
      <c r="F1489" t="inlineStr">
        <is>
          <t>No</t>
        </is>
      </c>
      <c r="G1489" t="inlineStr">
        <is>
          <t>1</t>
        </is>
      </c>
      <c r="H1489" t="inlineStr">
        <is>
          <t>No</t>
        </is>
      </c>
      <c r="I1489" t="inlineStr">
        <is>
          <t>Yes</t>
        </is>
      </c>
      <c r="J1489" t="inlineStr">
        <is>
          <t>0</t>
        </is>
      </c>
      <c r="L1489" t="inlineStr">
        <is>
          <t>New York : SP Medical &amp; Scientific Books, c1984.</t>
        </is>
      </c>
      <c r="M1489" t="inlineStr">
        <is>
          <t>1984</t>
        </is>
      </c>
      <c r="O1489" t="inlineStr">
        <is>
          <t>eng</t>
        </is>
      </c>
      <c r="P1489" t="inlineStr">
        <is>
          <t>nyu</t>
        </is>
      </c>
      <c r="Q1489" t="inlineStr">
        <is>
          <t>Sports medicine and health science</t>
        </is>
      </c>
      <c r="R1489" t="inlineStr">
        <is>
          <t xml:space="preserve">RC </t>
        </is>
      </c>
      <c r="S1489" t="n">
        <v>16</v>
      </c>
      <c r="T1489" t="n">
        <v>16</v>
      </c>
      <c r="U1489" t="inlineStr">
        <is>
          <t>2008-02-24</t>
        </is>
      </c>
      <c r="V1489" t="inlineStr">
        <is>
          <t>2008-02-24</t>
        </is>
      </c>
      <c r="W1489" t="inlineStr">
        <is>
          <t>1992-03-24</t>
        </is>
      </c>
      <c r="X1489" t="inlineStr">
        <is>
          <t>1992-03-24</t>
        </is>
      </c>
      <c r="Y1489" t="n">
        <v>197</v>
      </c>
      <c r="Z1489" t="n">
        <v>172</v>
      </c>
      <c r="AA1489" t="n">
        <v>290</v>
      </c>
      <c r="AB1489" t="n">
        <v>3</v>
      </c>
      <c r="AC1489" t="n">
        <v>4</v>
      </c>
      <c r="AD1489" t="n">
        <v>3</v>
      </c>
      <c r="AE1489" t="n">
        <v>4</v>
      </c>
      <c r="AF1489" t="n">
        <v>1</v>
      </c>
      <c r="AG1489" t="n">
        <v>1</v>
      </c>
      <c r="AH1489" t="n">
        <v>1</v>
      </c>
      <c r="AI1489" t="n">
        <v>1</v>
      </c>
      <c r="AJ1489" t="n">
        <v>0</v>
      </c>
      <c r="AK1489" t="n">
        <v>0</v>
      </c>
      <c r="AL1489" t="n">
        <v>2</v>
      </c>
      <c r="AM1489" t="n">
        <v>3</v>
      </c>
      <c r="AN1489" t="n">
        <v>0</v>
      </c>
      <c r="AO1489" t="n">
        <v>0</v>
      </c>
      <c r="AP1489" t="inlineStr">
        <is>
          <t>No</t>
        </is>
      </c>
      <c r="AQ1489" t="inlineStr">
        <is>
          <t>Yes</t>
        </is>
      </c>
      <c r="AR1489">
        <f>HYPERLINK("http://catalog.hathitrust.org/Record/000352457","HathiTrust Record")</f>
        <v/>
      </c>
      <c r="AS1489">
        <f>HYPERLINK("https://creighton-primo.hosted.exlibrisgroup.com/primo-explore/search?tab=default_tab&amp;search_scope=EVERYTHING&amp;vid=01CRU&amp;lang=en_US&amp;offset=0&amp;query=any,contains,991000464789702656","Catalog Record")</f>
        <v/>
      </c>
      <c r="AT1489">
        <f>HYPERLINK("http://www.worldcat.org/oclc/10949951","WorldCat Record")</f>
        <v/>
      </c>
      <c r="AU1489" t="inlineStr">
        <is>
          <t>428650845:eng</t>
        </is>
      </c>
      <c r="AV1489" t="inlineStr">
        <is>
          <t>10949951</t>
        </is>
      </c>
      <c r="AW1489" t="inlineStr">
        <is>
          <t>991000464789702656</t>
        </is>
      </c>
      <c r="AX1489" t="inlineStr">
        <is>
          <t>991000464789702656</t>
        </is>
      </c>
      <c r="AY1489" t="inlineStr">
        <is>
          <t>2271434170002656</t>
        </is>
      </c>
      <c r="AZ1489" t="inlineStr">
        <is>
          <t>BOOK</t>
        </is>
      </c>
      <c r="BB1489" t="inlineStr">
        <is>
          <t>9780893352189</t>
        </is>
      </c>
      <c r="BC1489" t="inlineStr">
        <is>
          <t>32285001040079</t>
        </is>
      </c>
      <c r="BD1489" t="inlineStr">
        <is>
          <t>893802787</t>
        </is>
      </c>
    </row>
    <row r="1490">
      <c r="A1490" t="inlineStr">
        <is>
          <t>No</t>
        </is>
      </c>
      <c r="B1490" t="inlineStr">
        <is>
          <t>RC628 .S83</t>
        </is>
      </c>
      <c r="C1490" t="inlineStr">
        <is>
          <t>0                      RC 0628000S  83</t>
        </is>
      </c>
      <c r="D1490" t="inlineStr">
        <is>
          <t>Slim chance in a fat world : behavioral control of obesity / [by] Richard B. Stuart [and] Barbara Davis.</t>
        </is>
      </c>
      <c r="F1490" t="inlineStr">
        <is>
          <t>No</t>
        </is>
      </c>
      <c r="G1490" t="inlineStr">
        <is>
          <t>1</t>
        </is>
      </c>
      <c r="H1490" t="inlineStr">
        <is>
          <t>No</t>
        </is>
      </c>
      <c r="I1490" t="inlineStr">
        <is>
          <t>No</t>
        </is>
      </c>
      <c r="J1490" t="inlineStr">
        <is>
          <t>0</t>
        </is>
      </c>
      <c r="K1490" t="inlineStr">
        <is>
          <t>Stuart, Richard B.</t>
        </is>
      </c>
      <c r="L1490" t="inlineStr">
        <is>
          <t>Champaign, Ill. : Research Press Co., [1972]</t>
        </is>
      </c>
      <c r="M1490" t="inlineStr">
        <is>
          <t>1972</t>
        </is>
      </c>
      <c r="O1490" t="inlineStr">
        <is>
          <t>eng</t>
        </is>
      </c>
      <c r="P1490" t="inlineStr">
        <is>
          <t>ilu</t>
        </is>
      </c>
      <c r="R1490" t="inlineStr">
        <is>
          <t xml:space="preserve">RC </t>
        </is>
      </c>
      <c r="S1490" t="n">
        <v>25</v>
      </c>
      <c r="T1490" t="n">
        <v>25</v>
      </c>
      <c r="U1490" t="inlineStr">
        <is>
          <t>2006-11-26</t>
        </is>
      </c>
      <c r="V1490" t="inlineStr">
        <is>
          <t>2006-11-26</t>
        </is>
      </c>
      <c r="W1490" t="inlineStr">
        <is>
          <t>1990-03-08</t>
        </is>
      </c>
      <c r="X1490" t="inlineStr">
        <is>
          <t>1990-03-08</t>
        </is>
      </c>
      <c r="Y1490" t="n">
        <v>374</v>
      </c>
      <c r="Z1490" t="n">
        <v>335</v>
      </c>
      <c r="AA1490" t="n">
        <v>466</v>
      </c>
      <c r="AB1490" t="n">
        <v>3</v>
      </c>
      <c r="AC1490" t="n">
        <v>6</v>
      </c>
      <c r="AD1490" t="n">
        <v>10</v>
      </c>
      <c r="AE1490" t="n">
        <v>18</v>
      </c>
      <c r="AF1490" t="n">
        <v>3</v>
      </c>
      <c r="AG1490" t="n">
        <v>6</v>
      </c>
      <c r="AH1490" t="n">
        <v>3</v>
      </c>
      <c r="AI1490" t="n">
        <v>4</v>
      </c>
      <c r="AJ1490" t="n">
        <v>3</v>
      </c>
      <c r="AK1490" t="n">
        <v>4</v>
      </c>
      <c r="AL1490" t="n">
        <v>2</v>
      </c>
      <c r="AM1490" t="n">
        <v>5</v>
      </c>
      <c r="AN1490" t="n">
        <v>0</v>
      </c>
      <c r="AO1490" t="n">
        <v>0</v>
      </c>
      <c r="AP1490" t="inlineStr">
        <is>
          <t>No</t>
        </is>
      </c>
      <c r="AQ1490" t="inlineStr">
        <is>
          <t>Yes</t>
        </is>
      </c>
      <c r="AR1490">
        <f>HYPERLINK("http://catalog.hathitrust.org/Record/001579272","HathiTrust Record")</f>
        <v/>
      </c>
      <c r="AS1490">
        <f>HYPERLINK("https://creighton-primo.hosted.exlibrisgroup.com/primo-explore/search?tab=default_tab&amp;search_scope=EVERYTHING&amp;vid=01CRU&amp;lang=en_US&amp;offset=0&amp;query=any,contains,991002121329702656","Catalog Record")</f>
        <v/>
      </c>
      <c r="AT1490">
        <f>HYPERLINK("http://www.worldcat.org/oclc/268755","WorldCat Record")</f>
        <v/>
      </c>
      <c r="AU1490" t="inlineStr">
        <is>
          <t>1392913:eng</t>
        </is>
      </c>
      <c r="AV1490" t="inlineStr">
        <is>
          <t>268755</t>
        </is>
      </c>
      <c r="AW1490" t="inlineStr">
        <is>
          <t>991002121329702656</t>
        </is>
      </c>
      <c r="AX1490" t="inlineStr">
        <is>
          <t>991002121329702656</t>
        </is>
      </c>
      <c r="AY1490" t="inlineStr">
        <is>
          <t>2270446960002656</t>
        </is>
      </c>
      <c r="AZ1490" t="inlineStr">
        <is>
          <t>BOOK</t>
        </is>
      </c>
      <c r="BB1490" t="inlineStr">
        <is>
          <t>9780878220601</t>
        </is>
      </c>
      <c r="BC1490" t="inlineStr">
        <is>
          <t>32285000081199</t>
        </is>
      </c>
      <c r="BD1490" t="inlineStr">
        <is>
          <t>893716079</t>
        </is>
      </c>
    </row>
    <row r="1491">
      <c r="A1491" t="inlineStr">
        <is>
          <t>No</t>
        </is>
      </c>
      <c r="B1491" t="inlineStr">
        <is>
          <t>RC630 .G6 1980</t>
        </is>
      </c>
      <c r="C1491" t="inlineStr">
        <is>
          <t>0                      RC 0630000G  6           1980</t>
        </is>
      </c>
      <c r="D1491" t="inlineStr">
        <is>
          <t>A primer of water, electrolyte, and acid-base syndromes / Emanuel Goldberger, with contributions by Jeffrey M. Brensilver.</t>
        </is>
      </c>
      <c r="F1491" t="inlineStr">
        <is>
          <t>No</t>
        </is>
      </c>
      <c r="G1491" t="inlineStr">
        <is>
          <t>1</t>
        </is>
      </c>
      <c r="H1491" t="inlineStr">
        <is>
          <t>Yes</t>
        </is>
      </c>
      <c r="I1491" t="inlineStr">
        <is>
          <t>No</t>
        </is>
      </c>
      <c r="J1491" t="inlineStr">
        <is>
          <t>0</t>
        </is>
      </c>
      <c r="K1491" t="inlineStr">
        <is>
          <t>Goldberger, Emanuel, 1913-1994.</t>
        </is>
      </c>
      <c r="L1491" t="inlineStr">
        <is>
          <t>Philadelphia : Lea &amp; Febiger, 1980.</t>
        </is>
      </c>
      <c r="M1491" t="inlineStr">
        <is>
          <t>1980</t>
        </is>
      </c>
      <c r="N1491" t="inlineStr">
        <is>
          <t>6th ed.</t>
        </is>
      </c>
      <c r="O1491" t="inlineStr">
        <is>
          <t>eng</t>
        </is>
      </c>
      <c r="P1491" t="inlineStr">
        <is>
          <t>pau</t>
        </is>
      </c>
      <c r="R1491" t="inlineStr">
        <is>
          <t xml:space="preserve">RC </t>
        </is>
      </c>
      <c r="S1491" t="n">
        <v>0</v>
      </c>
      <c r="T1491" t="n">
        <v>5</v>
      </c>
      <c r="V1491" t="inlineStr">
        <is>
          <t>1991-12-19</t>
        </is>
      </c>
      <c r="W1491" t="inlineStr">
        <is>
          <t>1993-03-24</t>
        </is>
      </c>
      <c r="X1491" t="inlineStr">
        <is>
          <t>1993-03-24</t>
        </is>
      </c>
      <c r="Y1491" t="n">
        <v>225</v>
      </c>
      <c r="Z1491" t="n">
        <v>178</v>
      </c>
      <c r="AA1491" t="n">
        <v>497</v>
      </c>
      <c r="AB1491" t="n">
        <v>3</v>
      </c>
      <c r="AC1491" t="n">
        <v>4</v>
      </c>
      <c r="AD1491" t="n">
        <v>6</v>
      </c>
      <c r="AE1491" t="n">
        <v>17</v>
      </c>
      <c r="AF1491" t="n">
        <v>3</v>
      </c>
      <c r="AG1491" t="n">
        <v>6</v>
      </c>
      <c r="AH1491" t="n">
        <v>3</v>
      </c>
      <c r="AI1491" t="n">
        <v>6</v>
      </c>
      <c r="AJ1491" t="n">
        <v>0</v>
      </c>
      <c r="AK1491" t="n">
        <v>6</v>
      </c>
      <c r="AL1491" t="n">
        <v>1</v>
      </c>
      <c r="AM1491" t="n">
        <v>2</v>
      </c>
      <c r="AN1491" t="n">
        <v>0</v>
      </c>
      <c r="AO1491" t="n">
        <v>0</v>
      </c>
      <c r="AP1491" t="inlineStr">
        <is>
          <t>No</t>
        </is>
      </c>
      <c r="AQ1491" t="inlineStr">
        <is>
          <t>Yes</t>
        </is>
      </c>
      <c r="AR1491">
        <f>HYPERLINK("http://catalog.hathitrust.org/Record/000025250","HathiTrust Record")</f>
        <v/>
      </c>
      <c r="AS1491">
        <f>HYPERLINK("https://creighton-primo.hosted.exlibrisgroup.com/primo-explore/search?tab=default_tab&amp;search_scope=EVERYTHING&amp;vid=01CRU&amp;lang=en_US&amp;offset=0&amp;query=any,contains,991001780119702656","Catalog Record")</f>
        <v/>
      </c>
      <c r="AT1491">
        <f>HYPERLINK("http://www.worldcat.org/oclc/5171348","WorldCat Record")</f>
        <v/>
      </c>
      <c r="AU1491" t="inlineStr">
        <is>
          <t>1222941:eng</t>
        </is>
      </c>
      <c r="AV1491" t="inlineStr">
        <is>
          <t>5171348</t>
        </is>
      </c>
      <c r="AW1491" t="inlineStr">
        <is>
          <t>991001780119702656</t>
        </is>
      </c>
      <c r="AX1491" t="inlineStr">
        <is>
          <t>991001780119702656</t>
        </is>
      </c>
      <c r="AY1491" t="inlineStr">
        <is>
          <t>2258813870002656</t>
        </is>
      </c>
      <c r="AZ1491" t="inlineStr">
        <is>
          <t>BOOK</t>
        </is>
      </c>
      <c r="BB1491" t="inlineStr">
        <is>
          <t>9780812106855</t>
        </is>
      </c>
      <c r="BC1491" t="inlineStr">
        <is>
          <t>32285001607810</t>
        </is>
      </c>
      <c r="BD1491" t="inlineStr">
        <is>
          <t>893690910</t>
        </is>
      </c>
    </row>
    <row r="1492">
      <c r="A1492" t="inlineStr">
        <is>
          <t>No</t>
        </is>
      </c>
      <c r="B1492" t="inlineStr">
        <is>
          <t>RC630 .K49 1985</t>
        </is>
      </c>
      <c r="C1492" t="inlineStr">
        <is>
          <t>0                      RC 0630000K  49          1985</t>
        </is>
      </c>
      <c r="D1492" t="inlineStr">
        <is>
          <t>Fluid, electrolyte, and acid-base regulation / Jack L. Keyes.</t>
        </is>
      </c>
      <c r="F1492" t="inlineStr">
        <is>
          <t>No</t>
        </is>
      </c>
      <c r="G1492" t="inlineStr">
        <is>
          <t>1</t>
        </is>
      </c>
      <c r="H1492" t="inlineStr">
        <is>
          <t>No</t>
        </is>
      </c>
      <c r="I1492" t="inlineStr">
        <is>
          <t>No</t>
        </is>
      </c>
      <c r="J1492" t="inlineStr">
        <is>
          <t>0</t>
        </is>
      </c>
      <c r="K1492" t="inlineStr">
        <is>
          <t>Keyes, Jack L., 1941-</t>
        </is>
      </c>
      <c r="L1492" t="inlineStr">
        <is>
          <t>Monterey, Calif. : Wadsworth Health Sciences Division, c1985.</t>
        </is>
      </c>
      <c r="M1492" t="inlineStr">
        <is>
          <t>1985</t>
        </is>
      </c>
      <c r="O1492" t="inlineStr">
        <is>
          <t>eng</t>
        </is>
      </c>
      <c r="P1492" t="inlineStr">
        <is>
          <t>cau</t>
        </is>
      </c>
      <c r="R1492" t="inlineStr">
        <is>
          <t xml:space="preserve">RC </t>
        </is>
      </c>
      <c r="S1492" t="n">
        <v>4</v>
      </c>
      <c r="T1492" t="n">
        <v>4</v>
      </c>
      <c r="U1492" t="inlineStr">
        <is>
          <t>1996-10-01</t>
        </is>
      </c>
      <c r="V1492" t="inlineStr">
        <is>
          <t>1996-10-01</t>
        </is>
      </c>
      <c r="W1492" t="inlineStr">
        <is>
          <t>1993-03-24</t>
        </is>
      </c>
      <c r="X1492" t="inlineStr">
        <is>
          <t>1993-03-24</t>
        </is>
      </c>
      <c r="Y1492" t="n">
        <v>165</v>
      </c>
      <c r="Z1492" t="n">
        <v>138</v>
      </c>
      <c r="AA1492" t="n">
        <v>149</v>
      </c>
      <c r="AB1492" t="n">
        <v>1</v>
      </c>
      <c r="AC1492" t="n">
        <v>1</v>
      </c>
      <c r="AD1492" t="n">
        <v>2</v>
      </c>
      <c r="AE1492" t="n">
        <v>2</v>
      </c>
      <c r="AF1492" t="n">
        <v>0</v>
      </c>
      <c r="AG1492" t="n">
        <v>0</v>
      </c>
      <c r="AH1492" t="n">
        <v>1</v>
      </c>
      <c r="AI1492" t="n">
        <v>1</v>
      </c>
      <c r="AJ1492" t="n">
        <v>2</v>
      </c>
      <c r="AK1492" t="n">
        <v>2</v>
      </c>
      <c r="AL1492" t="n">
        <v>0</v>
      </c>
      <c r="AM1492" t="n">
        <v>0</v>
      </c>
      <c r="AN1492" t="n">
        <v>0</v>
      </c>
      <c r="AO1492" t="n">
        <v>0</v>
      </c>
      <c r="AP1492" t="inlineStr">
        <is>
          <t>No</t>
        </is>
      </c>
      <c r="AQ1492" t="inlineStr">
        <is>
          <t>No</t>
        </is>
      </c>
      <c r="AS1492">
        <f>HYPERLINK("https://creighton-primo.hosted.exlibrisgroup.com/primo-explore/search?tab=default_tab&amp;search_scope=EVERYTHING&amp;vid=01CRU&amp;lang=en_US&amp;offset=0&amp;query=any,contains,991000513299702656","Catalog Record")</f>
        <v/>
      </c>
      <c r="AT1492">
        <f>HYPERLINK("http://www.worldcat.org/oclc/11261296","WorldCat Record")</f>
        <v/>
      </c>
      <c r="AU1492" t="inlineStr">
        <is>
          <t>3840479:eng</t>
        </is>
      </c>
      <c r="AV1492" t="inlineStr">
        <is>
          <t>11261296</t>
        </is>
      </c>
      <c r="AW1492" t="inlineStr">
        <is>
          <t>991000513299702656</t>
        </is>
      </c>
      <c r="AX1492" t="inlineStr">
        <is>
          <t>991000513299702656</t>
        </is>
      </c>
      <c r="AY1492" t="inlineStr">
        <is>
          <t>2262807790002656</t>
        </is>
      </c>
      <c r="AZ1492" t="inlineStr">
        <is>
          <t>BOOK</t>
        </is>
      </c>
      <c r="BB1492" t="inlineStr">
        <is>
          <t>9780534044220</t>
        </is>
      </c>
      <c r="BC1492" t="inlineStr">
        <is>
          <t>32285001607828</t>
        </is>
      </c>
      <c r="BD1492" t="inlineStr">
        <is>
          <t>893714651</t>
        </is>
      </c>
    </row>
    <row r="1493">
      <c r="A1493" t="inlineStr">
        <is>
          <t>No</t>
        </is>
      </c>
      <c r="B1493" t="inlineStr">
        <is>
          <t>RC630 .R44 1989</t>
        </is>
      </c>
      <c r="C1493" t="inlineStr">
        <is>
          <t>0                      RC 0630000R  44          1989</t>
        </is>
      </c>
      <c r="D1493" t="inlineStr">
        <is>
          <t>The Regulation of acid-base balance / editors, Donald W. Seldin, Gerhard Giebisch.</t>
        </is>
      </c>
      <c r="F1493" t="inlineStr">
        <is>
          <t>No</t>
        </is>
      </c>
      <c r="G1493" t="inlineStr">
        <is>
          <t>1</t>
        </is>
      </c>
      <c r="H1493" t="inlineStr">
        <is>
          <t>No</t>
        </is>
      </c>
      <c r="I1493" t="inlineStr">
        <is>
          <t>No</t>
        </is>
      </c>
      <c r="J1493" t="inlineStr">
        <is>
          <t>0</t>
        </is>
      </c>
      <c r="L1493" t="inlineStr">
        <is>
          <t>New York : Raven Press, c1989.</t>
        </is>
      </c>
      <c r="M1493" t="inlineStr">
        <is>
          <t>1989</t>
        </is>
      </c>
      <c r="O1493" t="inlineStr">
        <is>
          <t>eng</t>
        </is>
      </c>
      <c r="P1493" t="inlineStr">
        <is>
          <t>nyu</t>
        </is>
      </c>
      <c r="R1493" t="inlineStr">
        <is>
          <t xml:space="preserve">RC </t>
        </is>
      </c>
      <c r="S1493" t="n">
        <v>2</v>
      </c>
      <c r="T1493" t="n">
        <v>2</v>
      </c>
      <c r="U1493" t="inlineStr">
        <is>
          <t>1995-04-18</t>
        </is>
      </c>
      <c r="V1493" t="inlineStr">
        <is>
          <t>1995-04-18</t>
        </is>
      </c>
      <c r="W1493" t="inlineStr">
        <is>
          <t>1993-03-24</t>
        </is>
      </c>
      <c r="X1493" t="inlineStr">
        <is>
          <t>1993-03-24</t>
        </is>
      </c>
      <c r="Y1493" t="n">
        <v>178</v>
      </c>
      <c r="Z1493" t="n">
        <v>110</v>
      </c>
      <c r="AA1493" t="n">
        <v>112</v>
      </c>
      <c r="AB1493" t="n">
        <v>1</v>
      </c>
      <c r="AC1493" t="n">
        <v>1</v>
      </c>
      <c r="AD1493" t="n">
        <v>0</v>
      </c>
      <c r="AE1493" t="n">
        <v>0</v>
      </c>
      <c r="AF1493" t="n">
        <v>0</v>
      </c>
      <c r="AG1493" t="n">
        <v>0</v>
      </c>
      <c r="AH1493" t="n">
        <v>0</v>
      </c>
      <c r="AI1493" t="n">
        <v>0</v>
      </c>
      <c r="AJ1493" t="n">
        <v>0</v>
      </c>
      <c r="AK1493" t="n">
        <v>0</v>
      </c>
      <c r="AL1493" t="n">
        <v>0</v>
      </c>
      <c r="AM1493" t="n">
        <v>0</v>
      </c>
      <c r="AN1493" t="n">
        <v>0</v>
      </c>
      <c r="AO1493" t="n">
        <v>0</v>
      </c>
      <c r="AP1493" t="inlineStr">
        <is>
          <t>No</t>
        </is>
      </c>
      <c r="AQ1493" t="inlineStr">
        <is>
          <t>Yes</t>
        </is>
      </c>
      <c r="AR1493">
        <f>HYPERLINK("http://catalog.hathitrust.org/Record/001080813","HathiTrust Record")</f>
        <v/>
      </c>
      <c r="AS1493">
        <f>HYPERLINK("https://creighton-primo.hosted.exlibrisgroup.com/primo-explore/search?tab=default_tab&amp;search_scope=EVERYTHING&amp;vid=01CRU&amp;lang=en_US&amp;offset=0&amp;query=any,contains,991001324129702656","Catalog Record")</f>
        <v/>
      </c>
      <c r="AT1493">
        <f>HYPERLINK("http://www.worldcat.org/oclc/18258111","WorldCat Record")</f>
        <v/>
      </c>
      <c r="AU1493" t="inlineStr">
        <is>
          <t>350100827:eng</t>
        </is>
      </c>
      <c r="AV1493" t="inlineStr">
        <is>
          <t>18258111</t>
        </is>
      </c>
      <c r="AW1493" t="inlineStr">
        <is>
          <t>991001324129702656</t>
        </is>
      </c>
      <c r="AX1493" t="inlineStr">
        <is>
          <t>991001324129702656</t>
        </is>
      </c>
      <c r="AY1493" t="inlineStr">
        <is>
          <t>2254793370002656</t>
        </is>
      </c>
      <c r="AZ1493" t="inlineStr">
        <is>
          <t>BOOK</t>
        </is>
      </c>
      <c r="BB1493" t="inlineStr">
        <is>
          <t>9780881674804</t>
        </is>
      </c>
      <c r="BC1493" t="inlineStr">
        <is>
          <t>32285001607836</t>
        </is>
      </c>
      <c r="BD1493" t="inlineStr">
        <is>
          <t>893516119</t>
        </is>
      </c>
    </row>
    <row r="1494">
      <c r="A1494" t="inlineStr">
        <is>
          <t>No</t>
        </is>
      </c>
      <c r="B1494" t="inlineStr">
        <is>
          <t>RC632.L5 M37 1990</t>
        </is>
      </c>
      <c r="C1494" t="inlineStr">
        <is>
          <t>0                      RC 0632000L  5                  M  37          1990</t>
        </is>
      </c>
      <c r="D1494" t="inlineStr">
        <is>
          <t>Disorders of lipid metabolism / Guido V. Marinetti.</t>
        </is>
      </c>
      <c r="F1494" t="inlineStr">
        <is>
          <t>No</t>
        </is>
      </c>
      <c r="G1494" t="inlineStr">
        <is>
          <t>1</t>
        </is>
      </c>
      <c r="H1494" t="inlineStr">
        <is>
          <t>Yes</t>
        </is>
      </c>
      <c r="I1494" t="inlineStr">
        <is>
          <t>No</t>
        </is>
      </c>
      <c r="J1494" t="inlineStr">
        <is>
          <t>0</t>
        </is>
      </c>
      <c r="K1494" t="inlineStr">
        <is>
          <t>Marinetti, Guido V. (Guido Vincent), 1918-</t>
        </is>
      </c>
      <c r="L1494" t="inlineStr">
        <is>
          <t>New York : Plenum Press, c1990.</t>
        </is>
      </c>
      <c r="M1494" t="inlineStr">
        <is>
          <t>1990</t>
        </is>
      </c>
      <c r="O1494" t="inlineStr">
        <is>
          <t>eng</t>
        </is>
      </c>
      <c r="P1494" t="inlineStr">
        <is>
          <t>nyu</t>
        </is>
      </c>
      <c r="R1494" t="inlineStr">
        <is>
          <t xml:space="preserve">RC </t>
        </is>
      </c>
      <c r="S1494" t="n">
        <v>10</v>
      </c>
      <c r="T1494" t="n">
        <v>21</v>
      </c>
      <c r="U1494" t="inlineStr">
        <is>
          <t>1998-09-04</t>
        </is>
      </c>
      <c r="V1494" t="inlineStr">
        <is>
          <t>1998-09-04</t>
        </is>
      </c>
      <c r="W1494" t="inlineStr">
        <is>
          <t>1990-10-17</t>
        </is>
      </c>
      <c r="X1494" t="inlineStr">
        <is>
          <t>1990-10-17</t>
        </is>
      </c>
      <c r="Y1494" t="n">
        <v>208</v>
      </c>
      <c r="Z1494" t="n">
        <v>147</v>
      </c>
      <c r="AA1494" t="n">
        <v>170</v>
      </c>
      <c r="AB1494" t="n">
        <v>2</v>
      </c>
      <c r="AC1494" t="n">
        <v>2</v>
      </c>
      <c r="AD1494" t="n">
        <v>3</v>
      </c>
      <c r="AE1494" t="n">
        <v>3</v>
      </c>
      <c r="AF1494" t="n">
        <v>0</v>
      </c>
      <c r="AG1494" t="n">
        <v>0</v>
      </c>
      <c r="AH1494" t="n">
        <v>3</v>
      </c>
      <c r="AI1494" t="n">
        <v>3</v>
      </c>
      <c r="AJ1494" t="n">
        <v>1</v>
      </c>
      <c r="AK1494" t="n">
        <v>1</v>
      </c>
      <c r="AL1494" t="n">
        <v>0</v>
      </c>
      <c r="AM1494" t="n">
        <v>0</v>
      </c>
      <c r="AN1494" t="n">
        <v>0</v>
      </c>
      <c r="AO1494" t="n">
        <v>0</v>
      </c>
      <c r="AP1494" t="inlineStr">
        <is>
          <t>No</t>
        </is>
      </c>
      <c r="AQ1494" t="inlineStr">
        <is>
          <t>Yes</t>
        </is>
      </c>
      <c r="AR1494">
        <f>HYPERLINK("http://catalog.hathitrust.org/Record/001956042","HathiTrust Record")</f>
        <v/>
      </c>
      <c r="AS1494">
        <f>HYPERLINK("https://creighton-primo.hosted.exlibrisgroup.com/primo-explore/search?tab=default_tab&amp;search_scope=EVERYTHING&amp;vid=01CRU&amp;lang=en_US&amp;offset=0&amp;query=any,contains,991001797479702656","Catalog Record")</f>
        <v/>
      </c>
      <c r="AT1494">
        <f>HYPERLINK("http://www.worldcat.org/oclc/20933834","WorldCat Record")</f>
        <v/>
      </c>
      <c r="AU1494" t="inlineStr">
        <is>
          <t>22567166:eng</t>
        </is>
      </c>
      <c r="AV1494" t="inlineStr">
        <is>
          <t>20933834</t>
        </is>
      </c>
      <c r="AW1494" t="inlineStr">
        <is>
          <t>991001797479702656</t>
        </is>
      </c>
      <c r="AX1494" t="inlineStr">
        <is>
          <t>991001797479702656</t>
        </is>
      </c>
      <c r="AY1494" t="inlineStr">
        <is>
          <t>2262706990002656</t>
        </is>
      </c>
      <c r="AZ1494" t="inlineStr">
        <is>
          <t>BOOK</t>
        </is>
      </c>
      <c r="BB1494" t="inlineStr">
        <is>
          <t>9780306434310</t>
        </is>
      </c>
      <c r="BC1494" t="inlineStr">
        <is>
          <t>32285000311398</t>
        </is>
      </c>
      <c r="BD1494" t="inlineStr">
        <is>
          <t>893809188</t>
        </is>
      </c>
    </row>
    <row r="1495">
      <c r="A1495" t="inlineStr">
        <is>
          <t>No</t>
        </is>
      </c>
      <c r="B1495" t="inlineStr">
        <is>
          <t>RC641.7.S5 E34 1986</t>
        </is>
      </c>
      <c r="C1495" t="inlineStr">
        <is>
          <t>0                      RC 0641700S  5                  E  34          1986</t>
        </is>
      </c>
      <c r="D1495" t="inlineStr">
        <is>
          <t>The sickled cell : from myths to molecules / Stuart J. Edelstein.</t>
        </is>
      </c>
      <c r="F1495" t="inlineStr">
        <is>
          <t>No</t>
        </is>
      </c>
      <c r="G1495" t="inlineStr">
        <is>
          <t>1</t>
        </is>
      </c>
      <c r="H1495" t="inlineStr">
        <is>
          <t>No</t>
        </is>
      </c>
      <c r="I1495" t="inlineStr">
        <is>
          <t>No</t>
        </is>
      </c>
      <c r="J1495" t="inlineStr">
        <is>
          <t>0</t>
        </is>
      </c>
      <c r="K1495" t="inlineStr">
        <is>
          <t>Edelstein, Stuart J.</t>
        </is>
      </c>
      <c r="L1495" t="inlineStr">
        <is>
          <t>Cambridge, Mass. : Harvard University Press, 1986.</t>
        </is>
      </c>
      <c r="M1495" t="inlineStr">
        <is>
          <t>1986</t>
        </is>
      </c>
      <c r="O1495" t="inlineStr">
        <is>
          <t>eng</t>
        </is>
      </c>
      <c r="P1495" t="inlineStr">
        <is>
          <t>mau</t>
        </is>
      </c>
      <c r="R1495" t="inlineStr">
        <is>
          <t xml:space="preserve">RC </t>
        </is>
      </c>
      <c r="S1495" t="n">
        <v>12</v>
      </c>
      <c r="T1495" t="n">
        <v>12</v>
      </c>
      <c r="U1495" t="inlineStr">
        <is>
          <t>2007-04-02</t>
        </is>
      </c>
      <c r="V1495" t="inlineStr">
        <is>
          <t>2007-04-02</t>
        </is>
      </c>
      <c r="W1495" t="inlineStr">
        <is>
          <t>1992-03-04</t>
        </is>
      </c>
      <c r="X1495" t="inlineStr">
        <is>
          <t>1992-03-04</t>
        </is>
      </c>
      <c r="Y1495" t="n">
        <v>587</v>
      </c>
      <c r="Z1495" t="n">
        <v>520</v>
      </c>
      <c r="AA1495" t="n">
        <v>530</v>
      </c>
      <c r="AB1495" t="n">
        <v>2</v>
      </c>
      <c r="AC1495" t="n">
        <v>2</v>
      </c>
      <c r="AD1495" t="n">
        <v>14</v>
      </c>
      <c r="AE1495" t="n">
        <v>14</v>
      </c>
      <c r="AF1495" t="n">
        <v>6</v>
      </c>
      <c r="AG1495" t="n">
        <v>6</v>
      </c>
      <c r="AH1495" t="n">
        <v>3</v>
      </c>
      <c r="AI1495" t="n">
        <v>3</v>
      </c>
      <c r="AJ1495" t="n">
        <v>9</v>
      </c>
      <c r="AK1495" t="n">
        <v>9</v>
      </c>
      <c r="AL1495" t="n">
        <v>1</v>
      </c>
      <c r="AM1495" t="n">
        <v>1</v>
      </c>
      <c r="AN1495" t="n">
        <v>0</v>
      </c>
      <c r="AO1495" t="n">
        <v>0</v>
      </c>
      <c r="AP1495" t="inlineStr">
        <is>
          <t>No</t>
        </is>
      </c>
      <c r="AQ1495" t="inlineStr">
        <is>
          <t>Yes</t>
        </is>
      </c>
      <c r="AR1495">
        <f>HYPERLINK("http://catalog.hathitrust.org/Record/000591305","HathiTrust Record")</f>
        <v/>
      </c>
      <c r="AS1495">
        <f>HYPERLINK("https://creighton-primo.hosted.exlibrisgroup.com/primo-explore/search?tab=default_tab&amp;search_scope=EVERYTHING&amp;vid=01CRU&amp;lang=en_US&amp;offset=0&amp;query=any,contains,991000777719702656","Catalog Record")</f>
        <v/>
      </c>
      <c r="AT1495">
        <f>HYPERLINK("http://www.worldcat.org/oclc/13092416","WorldCat Record")</f>
        <v/>
      </c>
      <c r="AU1495" t="inlineStr">
        <is>
          <t>5820261:eng</t>
        </is>
      </c>
      <c r="AV1495" t="inlineStr">
        <is>
          <t>13092416</t>
        </is>
      </c>
      <c r="AW1495" t="inlineStr">
        <is>
          <t>991000777719702656</t>
        </is>
      </c>
      <c r="AX1495" t="inlineStr">
        <is>
          <t>991000777719702656</t>
        </is>
      </c>
      <c r="AY1495" t="inlineStr">
        <is>
          <t>2271309290002656</t>
        </is>
      </c>
      <c r="AZ1495" t="inlineStr">
        <is>
          <t>BOOK</t>
        </is>
      </c>
      <c r="BB1495" t="inlineStr">
        <is>
          <t>9780674807372</t>
        </is>
      </c>
      <c r="BC1495" t="inlineStr">
        <is>
          <t>32285000979178</t>
        </is>
      </c>
      <c r="BD1495" t="inlineStr">
        <is>
          <t>893702418</t>
        </is>
      </c>
    </row>
    <row r="1496">
      <c r="A1496" t="inlineStr">
        <is>
          <t>No</t>
        </is>
      </c>
      <c r="B1496" t="inlineStr">
        <is>
          <t>RC643 .L35 1984</t>
        </is>
      </c>
      <c r="C1496" t="inlineStr">
        <is>
          <t>0                      RC 0643000L  35          1984</t>
        </is>
      </c>
      <c r="D1496" t="inlineStr">
        <is>
          <t>Life and death on 10 West / by Eric Lax.</t>
        </is>
      </c>
      <c r="F1496" t="inlineStr">
        <is>
          <t>No</t>
        </is>
      </c>
      <c r="G1496" t="inlineStr">
        <is>
          <t>1</t>
        </is>
      </c>
      <c r="H1496" t="inlineStr">
        <is>
          <t>No</t>
        </is>
      </c>
      <c r="I1496" t="inlineStr">
        <is>
          <t>No</t>
        </is>
      </c>
      <c r="J1496" t="inlineStr">
        <is>
          <t>0</t>
        </is>
      </c>
      <c r="K1496" t="inlineStr">
        <is>
          <t>Lax, Eric.</t>
        </is>
      </c>
      <c r="L1496" t="inlineStr">
        <is>
          <t>New York, N.Y. : Times books, c1984.</t>
        </is>
      </c>
      <c r="M1496" t="inlineStr">
        <is>
          <t>1984</t>
        </is>
      </c>
      <c r="O1496" t="inlineStr">
        <is>
          <t>eng</t>
        </is>
      </c>
      <c r="P1496" t="inlineStr">
        <is>
          <t>nyu</t>
        </is>
      </c>
      <c r="R1496" t="inlineStr">
        <is>
          <t xml:space="preserve">RC </t>
        </is>
      </c>
      <c r="S1496" t="n">
        <v>7</v>
      </c>
      <c r="T1496" t="n">
        <v>7</v>
      </c>
      <c r="U1496" t="inlineStr">
        <is>
          <t>2002-03-18</t>
        </is>
      </c>
      <c r="V1496" t="inlineStr">
        <is>
          <t>2002-03-18</t>
        </is>
      </c>
      <c r="W1496" t="inlineStr">
        <is>
          <t>1992-03-01</t>
        </is>
      </c>
      <c r="X1496" t="inlineStr">
        <is>
          <t>1992-03-01</t>
        </is>
      </c>
      <c r="Y1496" t="n">
        <v>339</v>
      </c>
      <c r="Z1496" t="n">
        <v>324</v>
      </c>
      <c r="AA1496" t="n">
        <v>338</v>
      </c>
      <c r="AB1496" t="n">
        <v>3</v>
      </c>
      <c r="AC1496" t="n">
        <v>3</v>
      </c>
      <c r="AD1496" t="n">
        <v>3</v>
      </c>
      <c r="AE1496" t="n">
        <v>3</v>
      </c>
      <c r="AF1496" t="n">
        <v>3</v>
      </c>
      <c r="AG1496" t="n">
        <v>3</v>
      </c>
      <c r="AH1496" t="n">
        <v>0</v>
      </c>
      <c r="AI1496" t="n">
        <v>0</v>
      </c>
      <c r="AJ1496" t="n">
        <v>0</v>
      </c>
      <c r="AK1496" t="n">
        <v>0</v>
      </c>
      <c r="AL1496" t="n">
        <v>0</v>
      </c>
      <c r="AM1496" t="n">
        <v>0</v>
      </c>
      <c r="AN1496" t="n">
        <v>0</v>
      </c>
      <c r="AO1496" t="n">
        <v>0</v>
      </c>
      <c r="AP1496" t="inlineStr">
        <is>
          <t>No</t>
        </is>
      </c>
      <c r="AQ1496" t="inlineStr">
        <is>
          <t>No</t>
        </is>
      </c>
      <c r="AS1496">
        <f>HYPERLINK("https://creighton-primo.hosted.exlibrisgroup.com/primo-explore/search?tab=default_tab&amp;search_scope=EVERYTHING&amp;vid=01CRU&amp;lang=en_US&amp;offset=0&amp;query=any,contains,991000298969702656","Catalog Record")</f>
        <v/>
      </c>
      <c r="AT1496">
        <f>HYPERLINK("http://www.worldcat.org/oclc/10020134","WorldCat Record")</f>
        <v/>
      </c>
      <c r="AU1496" t="inlineStr">
        <is>
          <t>3270620:eng</t>
        </is>
      </c>
      <c r="AV1496" t="inlineStr">
        <is>
          <t>10020134</t>
        </is>
      </c>
      <c r="AW1496" t="inlineStr">
        <is>
          <t>991000298969702656</t>
        </is>
      </c>
      <c r="AX1496" t="inlineStr">
        <is>
          <t>991000298969702656</t>
        </is>
      </c>
      <c r="AY1496" t="inlineStr">
        <is>
          <t>2265300890002656</t>
        </is>
      </c>
      <c r="AZ1496" t="inlineStr">
        <is>
          <t>BOOK</t>
        </is>
      </c>
      <c r="BB1496" t="inlineStr">
        <is>
          <t>9780812910377</t>
        </is>
      </c>
      <c r="BC1496" t="inlineStr">
        <is>
          <t>32285000979582</t>
        </is>
      </c>
      <c r="BD1496" t="inlineStr">
        <is>
          <t>893790394</t>
        </is>
      </c>
    </row>
    <row r="1497">
      <c r="A1497" t="inlineStr">
        <is>
          <t>No</t>
        </is>
      </c>
      <c r="B1497" t="inlineStr">
        <is>
          <t>RC648 .E458</t>
        </is>
      </c>
      <c r="C1497" t="inlineStr">
        <is>
          <t>0                      RC 0648000E  458</t>
        </is>
      </c>
      <c r="D1497" t="inlineStr">
        <is>
          <t>Endocrinology / edited by Leslie J. DeGroot ... [et al.].</t>
        </is>
      </c>
      <c r="E1497" t="inlineStr">
        <is>
          <t>V. 3</t>
        </is>
      </c>
      <c r="F1497" t="inlineStr">
        <is>
          <t>Yes</t>
        </is>
      </c>
      <c r="G1497" t="inlineStr">
        <is>
          <t>1</t>
        </is>
      </c>
      <c r="H1497" t="inlineStr">
        <is>
          <t>No</t>
        </is>
      </c>
      <c r="I1497" t="inlineStr">
        <is>
          <t>Yes</t>
        </is>
      </c>
      <c r="J1497" t="inlineStr">
        <is>
          <t>0</t>
        </is>
      </c>
      <c r="L1497" t="inlineStr">
        <is>
          <t>New York : Grune &amp; Stratton, [1979]</t>
        </is>
      </c>
      <c r="M1497" t="inlineStr">
        <is>
          <t>1979</t>
        </is>
      </c>
      <c r="O1497" t="inlineStr">
        <is>
          <t>eng</t>
        </is>
      </c>
      <c r="P1497" t="inlineStr">
        <is>
          <t>nyu</t>
        </is>
      </c>
      <c r="R1497" t="inlineStr">
        <is>
          <t xml:space="preserve">RC </t>
        </is>
      </c>
      <c r="S1497" t="n">
        <v>5</v>
      </c>
      <c r="T1497" t="n">
        <v>17</v>
      </c>
      <c r="U1497" t="inlineStr">
        <is>
          <t>1993-09-05</t>
        </is>
      </c>
      <c r="V1497" t="inlineStr">
        <is>
          <t>1997-10-05</t>
        </is>
      </c>
      <c r="W1497" t="inlineStr">
        <is>
          <t>1993-03-24</t>
        </is>
      </c>
      <c r="X1497" t="inlineStr">
        <is>
          <t>1993-03-24</t>
        </is>
      </c>
      <c r="Y1497" t="n">
        <v>285</v>
      </c>
      <c r="Z1497" t="n">
        <v>198</v>
      </c>
      <c r="AA1497" t="n">
        <v>600</v>
      </c>
      <c r="AB1497" t="n">
        <v>2</v>
      </c>
      <c r="AC1497" t="n">
        <v>5</v>
      </c>
      <c r="AD1497" t="n">
        <v>8</v>
      </c>
      <c r="AE1497" t="n">
        <v>14</v>
      </c>
      <c r="AF1497" t="n">
        <v>1</v>
      </c>
      <c r="AG1497" t="n">
        <v>3</v>
      </c>
      <c r="AH1497" t="n">
        <v>1</v>
      </c>
      <c r="AI1497" t="n">
        <v>3</v>
      </c>
      <c r="AJ1497" t="n">
        <v>6</v>
      </c>
      <c r="AK1497" t="n">
        <v>8</v>
      </c>
      <c r="AL1497" t="n">
        <v>1</v>
      </c>
      <c r="AM1497" t="n">
        <v>2</v>
      </c>
      <c r="AN1497" t="n">
        <v>0</v>
      </c>
      <c r="AO1497" t="n">
        <v>0</v>
      </c>
      <c r="AP1497" t="inlineStr">
        <is>
          <t>No</t>
        </is>
      </c>
      <c r="AQ1497" t="inlineStr">
        <is>
          <t>Yes</t>
        </is>
      </c>
      <c r="AR1497">
        <f>HYPERLINK("http://catalog.hathitrust.org/Record/000257147","HathiTrust Record")</f>
        <v/>
      </c>
      <c r="AS1497">
        <f>HYPERLINK("https://creighton-primo.hosted.exlibrisgroup.com/primo-explore/search?tab=default_tab&amp;search_scope=EVERYTHING&amp;vid=01CRU&amp;lang=en_US&amp;offset=0&amp;query=any,contains,991005266599702656","Catalog Record")</f>
        <v/>
      </c>
      <c r="AT1497">
        <f>HYPERLINK("http://www.worldcat.org/oclc/4504256","WorldCat Record")</f>
        <v/>
      </c>
      <c r="AU1497" t="inlineStr">
        <is>
          <t>2908502607:eng</t>
        </is>
      </c>
      <c r="AV1497" t="inlineStr">
        <is>
          <t>4504256</t>
        </is>
      </c>
      <c r="AW1497" t="inlineStr">
        <is>
          <t>991005266599702656</t>
        </is>
      </c>
      <c r="AX1497" t="inlineStr">
        <is>
          <t>991005266599702656</t>
        </is>
      </c>
      <c r="AY1497" t="inlineStr">
        <is>
          <t>2264854550002656</t>
        </is>
      </c>
      <c r="AZ1497" t="inlineStr">
        <is>
          <t>BOOK</t>
        </is>
      </c>
      <c r="BB1497" t="inlineStr">
        <is>
          <t>9780808911142</t>
        </is>
      </c>
      <c r="BC1497" t="inlineStr">
        <is>
          <t>32285001607885</t>
        </is>
      </c>
      <c r="BD1497" t="inlineStr">
        <is>
          <t>893713770</t>
        </is>
      </c>
    </row>
    <row r="1498">
      <c r="A1498" t="inlineStr">
        <is>
          <t>No</t>
        </is>
      </c>
      <c r="B1498" t="inlineStr">
        <is>
          <t>RC648 .E458</t>
        </is>
      </c>
      <c r="C1498" t="inlineStr">
        <is>
          <t>0                      RC 0648000E  458</t>
        </is>
      </c>
      <c r="D1498" t="inlineStr">
        <is>
          <t>Endocrinology / edited by Leslie J. DeGroot ... [et al.].</t>
        </is>
      </c>
      <c r="E1498" t="inlineStr">
        <is>
          <t>V. 1</t>
        </is>
      </c>
      <c r="F1498" t="inlineStr">
        <is>
          <t>Yes</t>
        </is>
      </c>
      <c r="G1498" t="inlineStr">
        <is>
          <t>1</t>
        </is>
      </c>
      <c r="H1498" t="inlineStr">
        <is>
          <t>No</t>
        </is>
      </c>
      <c r="I1498" t="inlineStr">
        <is>
          <t>Yes</t>
        </is>
      </c>
      <c r="J1498" t="inlineStr">
        <is>
          <t>0</t>
        </is>
      </c>
      <c r="L1498" t="inlineStr">
        <is>
          <t>New York : Grune &amp; Stratton, [1979]</t>
        </is>
      </c>
      <c r="M1498" t="inlineStr">
        <is>
          <t>1979</t>
        </is>
      </c>
      <c r="O1498" t="inlineStr">
        <is>
          <t>eng</t>
        </is>
      </c>
      <c r="P1498" t="inlineStr">
        <is>
          <t>nyu</t>
        </is>
      </c>
      <c r="R1498" t="inlineStr">
        <is>
          <t xml:space="preserve">RC </t>
        </is>
      </c>
      <c r="S1498" t="n">
        <v>7</v>
      </c>
      <c r="T1498" t="n">
        <v>17</v>
      </c>
      <c r="U1498" t="inlineStr">
        <is>
          <t>1993-09-05</t>
        </is>
      </c>
      <c r="V1498" t="inlineStr">
        <is>
          <t>1997-10-05</t>
        </is>
      </c>
      <c r="W1498" t="inlineStr">
        <is>
          <t>1993-03-24</t>
        </is>
      </c>
      <c r="X1498" t="inlineStr">
        <is>
          <t>1993-03-24</t>
        </is>
      </c>
      <c r="Y1498" t="n">
        <v>285</v>
      </c>
      <c r="Z1498" t="n">
        <v>198</v>
      </c>
      <c r="AA1498" t="n">
        <v>600</v>
      </c>
      <c r="AB1498" t="n">
        <v>2</v>
      </c>
      <c r="AC1498" t="n">
        <v>5</v>
      </c>
      <c r="AD1498" t="n">
        <v>8</v>
      </c>
      <c r="AE1498" t="n">
        <v>14</v>
      </c>
      <c r="AF1498" t="n">
        <v>1</v>
      </c>
      <c r="AG1498" t="n">
        <v>3</v>
      </c>
      <c r="AH1498" t="n">
        <v>1</v>
      </c>
      <c r="AI1498" t="n">
        <v>3</v>
      </c>
      <c r="AJ1498" t="n">
        <v>6</v>
      </c>
      <c r="AK1498" t="n">
        <v>8</v>
      </c>
      <c r="AL1498" t="n">
        <v>1</v>
      </c>
      <c r="AM1498" t="n">
        <v>2</v>
      </c>
      <c r="AN1498" t="n">
        <v>0</v>
      </c>
      <c r="AO1498" t="n">
        <v>0</v>
      </c>
      <c r="AP1498" t="inlineStr">
        <is>
          <t>No</t>
        </is>
      </c>
      <c r="AQ1498" t="inlineStr">
        <is>
          <t>Yes</t>
        </is>
      </c>
      <c r="AR1498">
        <f>HYPERLINK("http://catalog.hathitrust.org/Record/000257147","HathiTrust Record")</f>
        <v/>
      </c>
      <c r="AS1498">
        <f>HYPERLINK("https://creighton-primo.hosted.exlibrisgroup.com/primo-explore/search?tab=default_tab&amp;search_scope=EVERYTHING&amp;vid=01CRU&amp;lang=en_US&amp;offset=0&amp;query=any,contains,991005266599702656","Catalog Record")</f>
        <v/>
      </c>
      <c r="AT1498">
        <f>HYPERLINK("http://www.worldcat.org/oclc/4504256","WorldCat Record")</f>
        <v/>
      </c>
      <c r="AU1498" t="inlineStr">
        <is>
          <t>2908502607:eng</t>
        </is>
      </c>
      <c r="AV1498" t="inlineStr">
        <is>
          <t>4504256</t>
        </is>
      </c>
      <c r="AW1498" t="inlineStr">
        <is>
          <t>991005266599702656</t>
        </is>
      </c>
      <c r="AX1498" t="inlineStr">
        <is>
          <t>991005266599702656</t>
        </is>
      </c>
      <c r="AY1498" t="inlineStr">
        <is>
          <t>2264854550002656</t>
        </is>
      </c>
      <c r="AZ1498" t="inlineStr">
        <is>
          <t>BOOK</t>
        </is>
      </c>
      <c r="BB1498" t="inlineStr">
        <is>
          <t>9780808911142</t>
        </is>
      </c>
      <c r="BC1498" t="inlineStr">
        <is>
          <t>32285001607869</t>
        </is>
      </c>
      <c r="BD1498" t="inlineStr">
        <is>
          <t>893713769</t>
        </is>
      </c>
    </row>
    <row r="1499">
      <c r="A1499" t="inlineStr">
        <is>
          <t>No</t>
        </is>
      </c>
      <c r="B1499" t="inlineStr">
        <is>
          <t>RC648 .E458</t>
        </is>
      </c>
      <c r="C1499" t="inlineStr">
        <is>
          <t>0                      RC 0648000E  458</t>
        </is>
      </c>
      <c r="D1499" t="inlineStr">
        <is>
          <t>Endocrinology / edited by Leslie J. DeGroot ... [et al.].</t>
        </is>
      </c>
      <c r="E1499" t="inlineStr">
        <is>
          <t>V. 2</t>
        </is>
      </c>
      <c r="F1499" t="inlineStr">
        <is>
          <t>Yes</t>
        </is>
      </c>
      <c r="G1499" t="inlineStr">
        <is>
          <t>1</t>
        </is>
      </c>
      <c r="H1499" t="inlineStr">
        <is>
          <t>No</t>
        </is>
      </c>
      <c r="I1499" t="inlineStr">
        <is>
          <t>Yes</t>
        </is>
      </c>
      <c r="J1499" t="inlineStr">
        <is>
          <t>0</t>
        </is>
      </c>
      <c r="L1499" t="inlineStr">
        <is>
          <t>New York : Grune &amp; Stratton, [1979]</t>
        </is>
      </c>
      <c r="M1499" t="inlineStr">
        <is>
          <t>1979</t>
        </is>
      </c>
      <c r="O1499" t="inlineStr">
        <is>
          <t>eng</t>
        </is>
      </c>
      <c r="P1499" t="inlineStr">
        <is>
          <t>nyu</t>
        </is>
      </c>
      <c r="R1499" t="inlineStr">
        <is>
          <t xml:space="preserve">RC </t>
        </is>
      </c>
      <c r="S1499" t="n">
        <v>5</v>
      </c>
      <c r="T1499" t="n">
        <v>17</v>
      </c>
      <c r="U1499" t="inlineStr">
        <is>
          <t>1997-10-05</t>
        </is>
      </c>
      <c r="V1499" t="inlineStr">
        <is>
          <t>1997-10-05</t>
        </is>
      </c>
      <c r="W1499" t="inlineStr">
        <is>
          <t>1993-03-24</t>
        </is>
      </c>
      <c r="X1499" t="inlineStr">
        <is>
          <t>1993-03-24</t>
        </is>
      </c>
      <c r="Y1499" t="n">
        <v>285</v>
      </c>
      <c r="Z1499" t="n">
        <v>198</v>
      </c>
      <c r="AA1499" t="n">
        <v>600</v>
      </c>
      <c r="AB1499" t="n">
        <v>2</v>
      </c>
      <c r="AC1499" t="n">
        <v>5</v>
      </c>
      <c r="AD1499" t="n">
        <v>8</v>
      </c>
      <c r="AE1499" t="n">
        <v>14</v>
      </c>
      <c r="AF1499" t="n">
        <v>1</v>
      </c>
      <c r="AG1499" t="n">
        <v>3</v>
      </c>
      <c r="AH1499" t="n">
        <v>1</v>
      </c>
      <c r="AI1499" t="n">
        <v>3</v>
      </c>
      <c r="AJ1499" t="n">
        <v>6</v>
      </c>
      <c r="AK1499" t="n">
        <v>8</v>
      </c>
      <c r="AL1499" t="n">
        <v>1</v>
      </c>
      <c r="AM1499" t="n">
        <v>2</v>
      </c>
      <c r="AN1499" t="n">
        <v>0</v>
      </c>
      <c r="AO1499" t="n">
        <v>0</v>
      </c>
      <c r="AP1499" t="inlineStr">
        <is>
          <t>No</t>
        </is>
      </c>
      <c r="AQ1499" t="inlineStr">
        <is>
          <t>Yes</t>
        </is>
      </c>
      <c r="AR1499">
        <f>HYPERLINK("http://catalog.hathitrust.org/Record/000257147","HathiTrust Record")</f>
        <v/>
      </c>
      <c r="AS1499">
        <f>HYPERLINK("https://creighton-primo.hosted.exlibrisgroup.com/primo-explore/search?tab=default_tab&amp;search_scope=EVERYTHING&amp;vid=01CRU&amp;lang=en_US&amp;offset=0&amp;query=any,contains,991005266599702656","Catalog Record")</f>
        <v/>
      </c>
      <c r="AT1499">
        <f>HYPERLINK("http://www.worldcat.org/oclc/4504256","WorldCat Record")</f>
        <v/>
      </c>
      <c r="AU1499" t="inlineStr">
        <is>
          <t>2908502607:eng</t>
        </is>
      </c>
      <c r="AV1499" t="inlineStr">
        <is>
          <t>4504256</t>
        </is>
      </c>
      <c r="AW1499" t="inlineStr">
        <is>
          <t>991005266599702656</t>
        </is>
      </c>
      <c r="AX1499" t="inlineStr">
        <is>
          <t>991005266599702656</t>
        </is>
      </c>
      <c r="AY1499" t="inlineStr">
        <is>
          <t>2264854550002656</t>
        </is>
      </c>
      <c r="AZ1499" t="inlineStr">
        <is>
          <t>BOOK</t>
        </is>
      </c>
      <c r="BB1499" t="inlineStr">
        <is>
          <t>9780808911142</t>
        </is>
      </c>
      <c r="BC1499" t="inlineStr">
        <is>
          <t>32285001607877</t>
        </is>
      </c>
      <c r="BD1499" t="inlineStr">
        <is>
          <t>893713768</t>
        </is>
      </c>
    </row>
    <row r="1500">
      <c r="A1500" t="inlineStr">
        <is>
          <t>No</t>
        </is>
      </c>
      <c r="B1500" t="inlineStr">
        <is>
          <t>RC648 .R33 1982</t>
        </is>
      </c>
      <c r="C1500" t="inlineStr">
        <is>
          <t>0                      RC 0648000R  33          1982</t>
        </is>
      </c>
      <c r="D1500" t="inlineStr">
        <is>
          <t>Clinical endocrinology and metabolism : principles and practice / David Rabin, T. Joseph McKenna.</t>
        </is>
      </c>
      <c r="F1500" t="inlineStr">
        <is>
          <t>No</t>
        </is>
      </c>
      <c r="G1500" t="inlineStr">
        <is>
          <t>1</t>
        </is>
      </c>
      <c r="H1500" t="inlineStr">
        <is>
          <t>Yes</t>
        </is>
      </c>
      <c r="I1500" t="inlineStr">
        <is>
          <t>No</t>
        </is>
      </c>
      <c r="J1500" t="inlineStr">
        <is>
          <t>0</t>
        </is>
      </c>
      <c r="K1500" t="inlineStr">
        <is>
          <t>Rabin, David.</t>
        </is>
      </c>
      <c r="L1500" t="inlineStr">
        <is>
          <t>New York : Grune &amp; Stratton, c1982.</t>
        </is>
      </c>
      <c r="M1500" t="inlineStr">
        <is>
          <t>1982</t>
        </is>
      </c>
      <c r="O1500" t="inlineStr">
        <is>
          <t>eng</t>
        </is>
      </c>
      <c r="P1500" t="inlineStr">
        <is>
          <t>nyu</t>
        </is>
      </c>
      <c r="Q1500" t="inlineStr">
        <is>
          <t>The Science and practice of clinical medicine ; v. 9</t>
        </is>
      </c>
      <c r="R1500" t="inlineStr">
        <is>
          <t xml:space="preserve">RC </t>
        </is>
      </c>
      <c r="S1500" t="n">
        <v>11</v>
      </c>
      <c r="T1500" t="n">
        <v>11</v>
      </c>
      <c r="U1500" t="inlineStr">
        <is>
          <t>1997-09-28</t>
        </is>
      </c>
      <c r="V1500" t="inlineStr">
        <is>
          <t>1997-09-28</t>
        </is>
      </c>
      <c r="W1500" t="inlineStr">
        <is>
          <t>1993-03-24</t>
        </is>
      </c>
      <c r="X1500" t="inlineStr">
        <is>
          <t>1993-03-24</t>
        </is>
      </c>
      <c r="Y1500" t="n">
        <v>160</v>
      </c>
      <c r="Z1500" t="n">
        <v>104</v>
      </c>
      <c r="AA1500" t="n">
        <v>106</v>
      </c>
      <c r="AB1500" t="n">
        <v>2</v>
      </c>
      <c r="AC1500" t="n">
        <v>2</v>
      </c>
      <c r="AD1500" t="n">
        <v>0</v>
      </c>
      <c r="AE1500" t="n">
        <v>0</v>
      </c>
      <c r="AF1500" t="n">
        <v>0</v>
      </c>
      <c r="AG1500" t="n">
        <v>0</v>
      </c>
      <c r="AH1500" t="n">
        <v>0</v>
      </c>
      <c r="AI1500" t="n">
        <v>0</v>
      </c>
      <c r="AJ1500" t="n">
        <v>0</v>
      </c>
      <c r="AK1500" t="n">
        <v>0</v>
      </c>
      <c r="AL1500" t="n">
        <v>0</v>
      </c>
      <c r="AM1500" t="n">
        <v>0</v>
      </c>
      <c r="AN1500" t="n">
        <v>0</v>
      </c>
      <c r="AO1500" t="n">
        <v>0</v>
      </c>
      <c r="AP1500" t="inlineStr">
        <is>
          <t>No</t>
        </is>
      </c>
      <c r="AQ1500" t="inlineStr">
        <is>
          <t>Yes</t>
        </is>
      </c>
      <c r="AR1500">
        <f>HYPERLINK("http://catalog.hathitrust.org/Record/000313472","HathiTrust Record")</f>
        <v/>
      </c>
      <c r="AS1500">
        <f>HYPERLINK("https://creighton-primo.hosted.exlibrisgroup.com/primo-explore/search?tab=default_tab&amp;search_scope=EVERYTHING&amp;vid=01CRU&amp;lang=en_US&amp;offset=0&amp;query=any,contains,991005226789702656","Catalog Record")</f>
        <v/>
      </c>
      <c r="AT1500">
        <f>HYPERLINK("http://www.worldcat.org/oclc/8283335","WorldCat Record")</f>
        <v/>
      </c>
      <c r="AU1500" t="inlineStr">
        <is>
          <t>865281994:eng</t>
        </is>
      </c>
      <c r="AV1500" t="inlineStr">
        <is>
          <t>8283335</t>
        </is>
      </c>
      <c r="AW1500" t="inlineStr">
        <is>
          <t>991005226789702656</t>
        </is>
      </c>
      <c r="AX1500" t="inlineStr">
        <is>
          <t>991005226789702656</t>
        </is>
      </c>
      <c r="AY1500" t="inlineStr">
        <is>
          <t>2268573660002656</t>
        </is>
      </c>
      <c r="AZ1500" t="inlineStr">
        <is>
          <t>BOOK</t>
        </is>
      </c>
      <c r="BB1500" t="inlineStr">
        <is>
          <t>9780808913948</t>
        </is>
      </c>
      <c r="BC1500" t="inlineStr">
        <is>
          <t>32285001607893</t>
        </is>
      </c>
      <c r="BD1500" t="inlineStr">
        <is>
          <t>893720020</t>
        </is>
      </c>
    </row>
    <row r="1501">
      <c r="A1501" t="inlineStr">
        <is>
          <t>No</t>
        </is>
      </c>
      <c r="B1501" t="inlineStr">
        <is>
          <t>RC648.A1 E97 1984</t>
        </is>
      </c>
      <c r="C1501" t="inlineStr">
        <is>
          <t>0                      RC 0648000A  1                  E  97          1984</t>
        </is>
      </c>
      <c r="D1501" t="inlineStr">
        <is>
          <t>Dopamine and neuroendocrine active substances : proceedings of the First Symposium of the European Neuroendocrine Association (E.N.E.A.) Basle, Switzerland, March 4-7, 1984 / edited by Emilio del Pozo, Edward Flückiger.</t>
        </is>
      </c>
      <c r="F1501" t="inlineStr">
        <is>
          <t>No</t>
        </is>
      </c>
      <c r="G1501" t="inlineStr">
        <is>
          <t>1</t>
        </is>
      </c>
      <c r="H1501" t="inlineStr">
        <is>
          <t>No</t>
        </is>
      </c>
      <c r="I1501" t="inlineStr">
        <is>
          <t>No</t>
        </is>
      </c>
      <c r="J1501" t="inlineStr">
        <is>
          <t>0</t>
        </is>
      </c>
      <c r="K1501" t="inlineStr">
        <is>
          <t>European Neuroendocrine Association. Symposium (1st : 1984 : Basel, Switzerland)</t>
        </is>
      </c>
      <c r="L1501" t="inlineStr">
        <is>
          <t>London : Academic, 1985.</t>
        </is>
      </c>
      <c r="M1501" t="inlineStr">
        <is>
          <t>1985</t>
        </is>
      </c>
      <c r="O1501" t="inlineStr">
        <is>
          <t>eng</t>
        </is>
      </c>
      <c r="P1501" t="inlineStr">
        <is>
          <t>enk</t>
        </is>
      </c>
      <c r="R1501" t="inlineStr">
        <is>
          <t xml:space="preserve">RC </t>
        </is>
      </c>
      <c r="S1501" t="n">
        <v>3</v>
      </c>
      <c r="T1501" t="n">
        <v>3</v>
      </c>
      <c r="U1501" t="inlineStr">
        <is>
          <t>1994-03-06</t>
        </is>
      </c>
      <c r="V1501" t="inlineStr">
        <is>
          <t>1994-03-06</t>
        </is>
      </c>
      <c r="W1501" t="inlineStr">
        <is>
          <t>1993-03-24</t>
        </is>
      </c>
      <c r="X1501" t="inlineStr">
        <is>
          <t>1993-03-24</t>
        </is>
      </c>
      <c r="Y1501" t="n">
        <v>123</v>
      </c>
      <c r="Z1501" t="n">
        <v>91</v>
      </c>
      <c r="AA1501" t="n">
        <v>93</v>
      </c>
      <c r="AB1501" t="n">
        <v>1</v>
      </c>
      <c r="AC1501" t="n">
        <v>1</v>
      </c>
      <c r="AD1501" t="n">
        <v>0</v>
      </c>
      <c r="AE1501" t="n">
        <v>0</v>
      </c>
      <c r="AF1501" t="n">
        <v>0</v>
      </c>
      <c r="AG1501" t="n">
        <v>0</v>
      </c>
      <c r="AH1501" t="n">
        <v>0</v>
      </c>
      <c r="AI1501" t="n">
        <v>0</v>
      </c>
      <c r="AJ1501" t="n">
        <v>0</v>
      </c>
      <c r="AK1501" t="n">
        <v>0</v>
      </c>
      <c r="AL1501" t="n">
        <v>0</v>
      </c>
      <c r="AM1501" t="n">
        <v>0</v>
      </c>
      <c r="AN1501" t="n">
        <v>0</v>
      </c>
      <c r="AO1501" t="n">
        <v>0</v>
      </c>
      <c r="AP1501" t="inlineStr">
        <is>
          <t>No</t>
        </is>
      </c>
      <c r="AQ1501" t="inlineStr">
        <is>
          <t>Yes</t>
        </is>
      </c>
      <c r="AR1501">
        <f>HYPERLINK("http://catalog.hathitrust.org/Record/000477304","HathiTrust Record")</f>
        <v/>
      </c>
      <c r="AS1501">
        <f>HYPERLINK("https://creighton-primo.hosted.exlibrisgroup.com/primo-explore/search?tab=default_tab&amp;search_scope=EVERYTHING&amp;vid=01CRU&amp;lang=en_US&amp;offset=0&amp;query=any,contains,991000726269702656","Catalog Record")</f>
        <v/>
      </c>
      <c r="AT1501">
        <f>HYPERLINK("http://www.worldcat.org/oclc/18742935","WorldCat Record")</f>
        <v/>
      </c>
      <c r="AU1501" t="inlineStr">
        <is>
          <t>836738251:eng</t>
        </is>
      </c>
      <c r="AV1501" t="inlineStr">
        <is>
          <t>18742935</t>
        </is>
      </c>
      <c r="AW1501" t="inlineStr">
        <is>
          <t>991000726269702656</t>
        </is>
      </c>
      <c r="AX1501" t="inlineStr">
        <is>
          <t>991000726269702656</t>
        </is>
      </c>
      <c r="AY1501" t="inlineStr">
        <is>
          <t>2255073310002656</t>
        </is>
      </c>
      <c r="AZ1501" t="inlineStr">
        <is>
          <t>BOOK</t>
        </is>
      </c>
      <c r="BB1501" t="inlineStr">
        <is>
          <t>9780122090455</t>
        </is>
      </c>
      <c r="BC1501" t="inlineStr">
        <is>
          <t>32285001607851</t>
        </is>
      </c>
      <c r="BD1501" t="inlineStr">
        <is>
          <t>893413621</t>
        </is>
      </c>
    </row>
    <row r="1502">
      <c r="A1502" t="inlineStr">
        <is>
          <t>No</t>
        </is>
      </c>
      <c r="B1502" t="inlineStr">
        <is>
          <t>RC649 .H86 1998</t>
        </is>
      </c>
      <c r="C1502" t="inlineStr">
        <is>
          <t>0                      RC 0649000H  86          1998</t>
        </is>
      </c>
      <c r="D1502" t="inlineStr">
        <is>
          <t>Human diet and endocrine modulation : estrogenic and androgenic effects / editors, George E. Dunaif ... [et al.].</t>
        </is>
      </c>
      <c r="F1502" t="inlineStr">
        <is>
          <t>No</t>
        </is>
      </c>
      <c r="G1502" t="inlineStr">
        <is>
          <t>1</t>
        </is>
      </c>
      <c r="H1502" t="inlineStr">
        <is>
          <t>No</t>
        </is>
      </c>
      <c r="I1502" t="inlineStr">
        <is>
          <t>No</t>
        </is>
      </c>
      <c r="J1502" t="inlineStr">
        <is>
          <t>0</t>
        </is>
      </c>
      <c r="L1502" t="inlineStr">
        <is>
          <t>Washington, DC : ILSI Press, c1998.</t>
        </is>
      </c>
      <c r="M1502" t="inlineStr">
        <is>
          <t>1998</t>
        </is>
      </c>
      <c r="O1502" t="inlineStr">
        <is>
          <t>eng</t>
        </is>
      </c>
      <c r="P1502" t="inlineStr">
        <is>
          <t>dcu</t>
        </is>
      </c>
      <c r="R1502" t="inlineStr">
        <is>
          <t xml:space="preserve">RC </t>
        </is>
      </c>
      <c r="S1502" t="n">
        <v>1</v>
      </c>
      <c r="T1502" t="n">
        <v>1</v>
      </c>
      <c r="U1502" t="inlineStr">
        <is>
          <t>2002-02-28</t>
        </is>
      </c>
      <c r="V1502" t="inlineStr">
        <is>
          <t>2002-02-28</t>
        </is>
      </c>
      <c r="W1502" t="inlineStr">
        <is>
          <t>1999-03-17</t>
        </is>
      </c>
      <c r="X1502" t="inlineStr">
        <is>
          <t>1999-03-17</t>
        </is>
      </c>
      <c r="Y1502" t="n">
        <v>54</v>
      </c>
      <c r="Z1502" t="n">
        <v>42</v>
      </c>
      <c r="AA1502" t="n">
        <v>42</v>
      </c>
      <c r="AB1502" t="n">
        <v>2</v>
      </c>
      <c r="AC1502" t="n">
        <v>2</v>
      </c>
      <c r="AD1502" t="n">
        <v>3</v>
      </c>
      <c r="AE1502" t="n">
        <v>3</v>
      </c>
      <c r="AF1502" t="n">
        <v>1</v>
      </c>
      <c r="AG1502" t="n">
        <v>1</v>
      </c>
      <c r="AH1502" t="n">
        <v>0</v>
      </c>
      <c r="AI1502" t="n">
        <v>0</v>
      </c>
      <c r="AJ1502" t="n">
        <v>1</v>
      </c>
      <c r="AK1502" t="n">
        <v>1</v>
      </c>
      <c r="AL1502" t="n">
        <v>1</v>
      </c>
      <c r="AM1502" t="n">
        <v>1</v>
      </c>
      <c r="AN1502" t="n">
        <v>0</v>
      </c>
      <c r="AO1502" t="n">
        <v>0</v>
      </c>
      <c r="AP1502" t="inlineStr">
        <is>
          <t>No</t>
        </is>
      </c>
      <c r="AQ1502" t="inlineStr">
        <is>
          <t>No</t>
        </is>
      </c>
      <c r="AS1502">
        <f>HYPERLINK("https://creighton-primo.hosted.exlibrisgroup.com/primo-explore/search?tab=default_tab&amp;search_scope=EVERYTHING&amp;vid=01CRU&amp;lang=en_US&amp;offset=0&amp;query=any,contains,991003007299702656","Catalog Record")</f>
        <v/>
      </c>
      <c r="AT1502">
        <f>HYPERLINK("http://www.worldcat.org/oclc/40767323","WorldCat Record")</f>
        <v/>
      </c>
      <c r="AU1502" t="inlineStr">
        <is>
          <t>905993346:eng</t>
        </is>
      </c>
      <c r="AV1502" t="inlineStr">
        <is>
          <t>40767323</t>
        </is>
      </c>
      <c r="AW1502" t="inlineStr">
        <is>
          <t>991003007299702656</t>
        </is>
      </c>
      <c r="AX1502" t="inlineStr">
        <is>
          <t>991003007299702656</t>
        </is>
      </c>
      <c r="AY1502" t="inlineStr">
        <is>
          <t>2270567100002656</t>
        </is>
      </c>
      <c r="AZ1502" t="inlineStr">
        <is>
          <t>BOOK</t>
        </is>
      </c>
      <c r="BB1502" t="inlineStr">
        <is>
          <t>9781578810253</t>
        </is>
      </c>
      <c r="BC1502" t="inlineStr">
        <is>
          <t>32285003533774</t>
        </is>
      </c>
      <c r="BD1502" t="inlineStr">
        <is>
          <t>893428334</t>
        </is>
      </c>
    </row>
    <row r="1503">
      <c r="A1503" t="inlineStr">
        <is>
          <t>No</t>
        </is>
      </c>
      <c r="B1503" t="inlineStr">
        <is>
          <t>RC65 .B46 1974</t>
        </is>
      </c>
      <c r="C1503" t="inlineStr">
        <is>
          <t>0                      RC 0065000B  46          1974</t>
        </is>
      </c>
      <c r="D1503" t="inlineStr">
        <is>
          <t>Interviewing: a guide for health professionals [by] Lewis Bernstein, Rosalyn S. Bernstein [and] Richard H. Dana. Foreword by Robert A. Senescu. Introd. by Jo Eleanor Elliott.</t>
        </is>
      </c>
      <c r="F1503" t="inlineStr">
        <is>
          <t>No</t>
        </is>
      </c>
      <c r="G1503" t="inlineStr">
        <is>
          <t>1</t>
        </is>
      </c>
      <c r="H1503" t="inlineStr">
        <is>
          <t>Yes</t>
        </is>
      </c>
      <c r="I1503" t="inlineStr">
        <is>
          <t>No</t>
        </is>
      </c>
      <c r="J1503" t="inlineStr">
        <is>
          <t>0</t>
        </is>
      </c>
      <c r="K1503" t="inlineStr">
        <is>
          <t>Bernstein, Lewis.</t>
        </is>
      </c>
      <c r="L1503" t="inlineStr">
        <is>
          <t>New York, Appleton-Century Crofts [1974]</t>
        </is>
      </c>
      <c r="M1503" t="inlineStr">
        <is>
          <t>1974</t>
        </is>
      </c>
      <c r="N1503" t="inlineStr">
        <is>
          <t>2d ed.</t>
        </is>
      </c>
      <c r="O1503" t="inlineStr">
        <is>
          <t>eng</t>
        </is>
      </c>
      <c r="P1503" t="inlineStr">
        <is>
          <t>nyu</t>
        </is>
      </c>
      <c r="R1503" t="inlineStr">
        <is>
          <t xml:space="preserve">RC </t>
        </is>
      </c>
      <c r="S1503" t="n">
        <v>1</v>
      </c>
      <c r="T1503" t="n">
        <v>3</v>
      </c>
      <c r="U1503" t="inlineStr">
        <is>
          <t>2006-04-20</t>
        </is>
      </c>
      <c r="V1503" t="inlineStr">
        <is>
          <t>2006-04-20</t>
        </is>
      </c>
      <c r="W1503" t="inlineStr">
        <is>
          <t>1997-08-08</t>
        </is>
      </c>
      <c r="X1503" t="inlineStr">
        <is>
          <t>1997-08-08</t>
        </is>
      </c>
      <c r="Y1503" t="n">
        <v>291</v>
      </c>
      <c r="Z1503" t="n">
        <v>240</v>
      </c>
      <c r="AA1503" t="n">
        <v>473</v>
      </c>
      <c r="AB1503" t="n">
        <v>2</v>
      </c>
      <c r="AC1503" t="n">
        <v>3</v>
      </c>
      <c r="AD1503" t="n">
        <v>6</v>
      </c>
      <c r="AE1503" t="n">
        <v>15</v>
      </c>
      <c r="AF1503" t="n">
        <v>2</v>
      </c>
      <c r="AG1503" t="n">
        <v>7</v>
      </c>
      <c r="AH1503" t="n">
        <v>2</v>
      </c>
      <c r="AI1503" t="n">
        <v>4</v>
      </c>
      <c r="AJ1503" t="n">
        <v>4</v>
      </c>
      <c r="AK1503" t="n">
        <v>8</v>
      </c>
      <c r="AL1503" t="n">
        <v>0</v>
      </c>
      <c r="AM1503" t="n">
        <v>1</v>
      </c>
      <c r="AN1503" t="n">
        <v>0</v>
      </c>
      <c r="AO1503" t="n">
        <v>0</v>
      </c>
      <c r="AP1503" t="inlineStr">
        <is>
          <t>No</t>
        </is>
      </c>
      <c r="AQ1503" t="inlineStr">
        <is>
          <t>Yes</t>
        </is>
      </c>
      <c r="AR1503">
        <f>HYPERLINK("http://catalog.hathitrust.org/Record/001561513","HathiTrust Record")</f>
        <v/>
      </c>
      <c r="AS1503">
        <f>HYPERLINK("https://creighton-primo.hosted.exlibrisgroup.com/primo-explore/search?tab=default_tab&amp;search_scope=EVERYTHING&amp;vid=01CRU&amp;lang=en_US&amp;offset=0&amp;query=any,contains,991001806109702656","Catalog Record")</f>
        <v/>
      </c>
      <c r="AT1503">
        <f>HYPERLINK("http://www.worldcat.org/oclc/762496","WorldCat Record")</f>
        <v/>
      </c>
      <c r="AU1503" t="inlineStr">
        <is>
          <t>1639580:eng</t>
        </is>
      </c>
      <c r="AV1503" t="inlineStr">
        <is>
          <t>762496</t>
        </is>
      </c>
      <c r="AW1503" t="inlineStr">
        <is>
          <t>991001806109702656</t>
        </is>
      </c>
      <c r="AX1503" t="inlineStr">
        <is>
          <t>991001806109702656</t>
        </is>
      </c>
      <c r="AY1503" t="inlineStr">
        <is>
          <t>2265194620002656</t>
        </is>
      </c>
      <c r="AZ1503" t="inlineStr">
        <is>
          <t>BOOK</t>
        </is>
      </c>
      <c r="BB1503" t="inlineStr">
        <is>
          <t>9780838543085</t>
        </is>
      </c>
      <c r="BC1503" t="inlineStr">
        <is>
          <t>32285003084265</t>
        </is>
      </c>
      <c r="BD1503" t="inlineStr">
        <is>
          <t>893516516</t>
        </is>
      </c>
    </row>
    <row r="1504">
      <c r="A1504" t="inlineStr">
        <is>
          <t>No</t>
        </is>
      </c>
      <c r="B1504" t="inlineStr">
        <is>
          <t>RC65 .M57 1984</t>
        </is>
      </c>
      <c r="C1504" t="inlineStr">
        <is>
          <t>0                      RC 0065000M  57          1984</t>
        </is>
      </c>
      <c r="D1504" t="inlineStr">
        <is>
          <t>The discourse of medicine : dialectics of medical interviews / Elliot G. Mishler.</t>
        </is>
      </c>
      <c r="F1504" t="inlineStr">
        <is>
          <t>No</t>
        </is>
      </c>
      <c r="G1504" t="inlineStr">
        <is>
          <t>1</t>
        </is>
      </c>
      <c r="H1504" t="inlineStr">
        <is>
          <t>No</t>
        </is>
      </c>
      <c r="I1504" t="inlineStr">
        <is>
          <t>No</t>
        </is>
      </c>
      <c r="J1504" t="inlineStr">
        <is>
          <t>0</t>
        </is>
      </c>
      <c r="K1504" t="inlineStr">
        <is>
          <t>Mishler, Elliot George, 1924-</t>
        </is>
      </c>
      <c r="L1504" t="inlineStr">
        <is>
          <t>Norwood, N.J. : Ablex Pub. Corp., c1984.</t>
        </is>
      </c>
      <c r="M1504" t="inlineStr">
        <is>
          <t>1984</t>
        </is>
      </c>
      <c r="O1504" t="inlineStr">
        <is>
          <t>eng</t>
        </is>
      </c>
      <c r="P1504" t="inlineStr">
        <is>
          <t>nju</t>
        </is>
      </c>
      <c r="Q1504" t="inlineStr">
        <is>
          <t>Language and learning for human service professions</t>
        </is>
      </c>
      <c r="R1504" t="inlineStr">
        <is>
          <t xml:space="preserve">RC </t>
        </is>
      </c>
      <c r="S1504" t="n">
        <v>0</v>
      </c>
      <c r="T1504" t="n">
        <v>0</v>
      </c>
      <c r="U1504" t="inlineStr">
        <is>
          <t>2008-03-20</t>
        </is>
      </c>
      <c r="V1504" t="inlineStr">
        <is>
          <t>2008-03-20</t>
        </is>
      </c>
      <c r="W1504" t="inlineStr">
        <is>
          <t>1991-10-23</t>
        </is>
      </c>
      <c r="X1504" t="inlineStr">
        <is>
          <t>1991-10-23</t>
        </is>
      </c>
      <c r="Y1504" t="n">
        <v>266</v>
      </c>
      <c r="Z1504" t="n">
        <v>183</v>
      </c>
      <c r="AA1504" t="n">
        <v>185</v>
      </c>
      <c r="AB1504" t="n">
        <v>1</v>
      </c>
      <c r="AC1504" t="n">
        <v>1</v>
      </c>
      <c r="AD1504" t="n">
        <v>11</v>
      </c>
      <c r="AE1504" t="n">
        <v>11</v>
      </c>
      <c r="AF1504" t="n">
        <v>2</v>
      </c>
      <c r="AG1504" t="n">
        <v>2</v>
      </c>
      <c r="AH1504" t="n">
        <v>6</v>
      </c>
      <c r="AI1504" t="n">
        <v>6</v>
      </c>
      <c r="AJ1504" t="n">
        <v>6</v>
      </c>
      <c r="AK1504" t="n">
        <v>6</v>
      </c>
      <c r="AL1504" t="n">
        <v>0</v>
      </c>
      <c r="AM1504" t="n">
        <v>0</v>
      </c>
      <c r="AN1504" t="n">
        <v>0</v>
      </c>
      <c r="AO1504" t="n">
        <v>0</v>
      </c>
      <c r="AP1504" t="inlineStr">
        <is>
          <t>No</t>
        </is>
      </c>
      <c r="AQ1504" t="inlineStr">
        <is>
          <t>Yes</t>
        </is>
      </c>
      <c r="AR1504">
        <f>HYPERLINK("http://catalog.hathitrust.org/Record/000413704","HathiTrust Record")</f>
        <v/>
      </c>
      <c r="AS1504">
        <f>HYPERLINK("https://creighton-primo.hosted.exlibrisgroup.com/primo-explore/search?tab=default_tab&amp;search_scope=EVERYTHING&amp;vid=01CRU&amp;lang=en_US&amp;offset=0&amp;query=any,contains,991000479249702656","Catalog Record")</f>
        <v/>
      </c>
      <c r="AT1504">
        <f>HYPERLINK("http://www.worldcat.org/oclc/11044696","WorldCat Record")</f>
        <v/>
      </c>
      <c r="AU1504" t="inlineStr">
        <is>
          <t>3212264:eng</t>
        </is>
      </c>
      <c r="AV1504" t="inlineStr">
        <is>
          <t>11044696</t>
        </is>
      </c>
      <c r="AW1504" t="inlineStr">
        <is>
          <t>991000479249702656</t>
        </is>
      </c>
      <c r="AX1504" t="inlineStr">
        <is>
          <t>991000479249702656</t>
        </is>
      </c>
      <c r="AY1504" t="inlineStr">
        <is>
          <t>2261232640002656</t>
        </is>
      </c>
      <c r="AZ1504" t="inlineStr">
        <is>
          <t>BOOK</t>
        </is>
      </c>
      <c r="BB1504" t="inlineStr">
        <is>
          <t>9780893912772</t>
        </is>
      </c>
      <c r="BC1504" t="inlineStr">
        <is>
          <t>32285000779438</t>
        </is>
      </c>
      <c r="BD1504" t="inlineStr">
        <is>
          <t>893896908</t>
        </is>
      </c>
    </row>
    <row r="1505">
      <c r="A1505" t="inlineStr">
        <is>
          <t>No</t>
        </is>
      </c>
      <c r="B1505" t="inlineStr">
        <is>
          <t>RC660 .B67 1979</t>
        </is>
      </c>
      <c r="C1505" t="inlineStr">
        <is>
          <t>0                      RC 0660000B  67          1979</t>
        </is>
      </c>
      <c r="D1505" t="inlineStr">
        <is>
          <t>The diabetic at work and play / by Buris R. Boshell.</t>
        </is>
      </c>
      <c r="F1505" t="inlineStr">
        <is>
          <t>No</t>
        </is>
      </c>
      <c r="G1505" t="inlineStr">
        <is>
          <t>1</t>
        </is>
      </c>
      <c r="H1505" t="inlineStr">
        <is>
          <t>No</t>
        </is>
      </c>
      <c r="I1505" t="inlineStr">
        <is>
          <t>No</t>
        </is>
      </c>
      <c r="J1505" t="inlineStr">
        <is>
          <t>0</t>
        </is>
      </c>
      <c r="K1505" t="inlineStr">
        <is>
          <t>Boshell, Buris R., 1926-</t>
        </is>
      </c>
      <c r="L1505" t="inlineStr">
        <is>
          <t>Springfield, Ill. : Thomas, 1979.</t>
        </is>
      </c>
      <c r="M1505" t="inlineStr">
        <is>
          <t>1979</t>
        </is>
      </c>
      <c r="N1505" t="inlineStr">
        <is>
          <t>2d ed.</t>
        </is>
      </c>
      <c r="O1505" t="inlineStr">
        <is>
          <t>eng</t>
        </is>
      </c>
      <c r="P1505" t="inlineStr">
        <is>
          <t>ilu</t>
        </is>
      </c>
      <c r="R1505" t="inlineStr">
        <is>
          <t xml:space="preserve">RC </t>
        </is>
      </c>
      <c r="S1505" t="n">
        <v>13</v>
      </c>
      <c r="T1505" t="n">
        <v>13</v>
      </c>
      <c r="U1505" t="inlineStr">
        <is>
          <t>2009-02-09</t>
        </is>
      </c>
      <c r="V1505" t="inlineStr">
        <is>
          <t>2009-02-09</t>
        </is>
      </c>
      <c r="W1505" t="inlineStr">
        <is>
          <t>1991-11-20</t>
        </is>
      </c>
      <c r="X1505" t="inlineStr">
        <is>
          <t>1991-11-20</t>
        </is>
      </c>
      <c r="Y1505" t="n">
        <v>112</v>
      </c>
      <c r="Z1505" t="n">
        <v>107</v>
      </c>
      <c r="AA1505" t="n">
        <v>107</v>
      </c>
      <c r="AB1505" t="n">
        <v>2</v>
      </c>
      <c r="AC1505" t="n">
        <v>2</v>
      </c>
      <c r="AD1505" t="n">
        <v>3</v>
      </c>
      <c r="AE1505" t="n">
        <v>3</v>
      </c>
      <c r="AF1505" t="n">
        <v>0</v>
      </c>
      <c r="AG1505" t="n">
        <v>0</v>
      </c>
      <c r="AH1505" t="n">
        <v>1</v>
      </c>
      <c r="AI1505" t="n">
        <v>1</v>
      </c>
      <c r="AJ1505" t="n">
        <v>2</v>
      </c>
      <c r="AK1505" t="n">
        <v>2</v>
      </c>
      <c r="AL1505" t="n">
        <v>1</v>
      </c>
      <c r="AM1505" t="n">
        <v>1</v>
      </c>
      <c r="AN1505" t="n">
        <v>0</v>
      </c>
      <c r="AO1505" t="n">
        <v>0</v>
      </c>
      <c r="AP1505" t="inlineStr">
        <is>
          <t>No</t>
        </is>
      </c>
      <c r="AQ1505" t="inlineStr">
        <is>
          <t>No</t>
        </is>
      </c>
      <c r="AS1505">
        <f>HYPERLINK("https://creighton-primo.hosted.exlibrisgroup.com/primo-explore/search?tab=default_tab&amp;search_scope=EVERYTHING&amp;vid=01CRU&amp;lang=en_US&amp;offset=0&amp;query=any,contains,991004712489702656","Catalog Record")</f>
        <v/>
      </c>
      <c r="AT1505">
        <f>HYPERLINK("http://www.worldcat.org/oclc/4774715","WorldCat Record")</f>
        <v/>
      </c>
      <c r="AU1505" t="inlineStr">
        <is>
          <t>3943860728:eng</t>
        </is>
      </c>
      <c r="AV1505" t="inlineStr">
        <is>
          <t>4774715</t>
        </is>
      </c>
      <c r="AW1505" t="inlineStr">
        <is>
          <t>991004712489702656</t>
        </is>
      </c>
      <c r="AX1505" t="inlineStr">
        <is>
          <t>991004712489702656</t>
        </is>
      </c>
      <c r="AY1505" t="inlineStr">
        <is>
          <t>2256797500002656</t>
        </is>
      </c>
      <c r="AZ1505" t="inlineStr">
        <is>
          <t>BOOK</t>
        </is>
      </c>
      <c r="BB1505" t="inlineStr">
        <is>
          <t>9780398039219</t>
        </is>
      </c>
      <c r="BC1505" t="inlineStr">
        <is>
          <t>32285000841519</t>
        </is>
      </c>
      <c r="BD1505" t="inlineStr">
        <is>
          <t>893325686</t>
        </is>
      </c>
    </row>
    <row r="1506">
      <c r="A1506" t="inlineStr">
        <is>
          <t>No</t>
        </is>
      </c>
      <c r="B1506" t="inlineStr">
        <is>
          <t>RC660.A1 K5</t>
        </is>
      </c>
      <c r="C1506" t="inlineStr">
        <is>
          <t>0                      RC 0660000A  1                  K  5</t>
        </is>
      </c>
      <c r="D1506" t="inlineStr">
        <is>
          <t>Hormonal regulation of energy metabolism [proceedings] Compiled and edited by Laurance W. Kinsell.</t>
        </is>
      </c>
      <c r="F1506" t="inlineStr">
        <is>
          <t>No</t>
        </is>
      </c>
      <c r="G1506" t="inlineStr">
        <is>
          <t>1</t>
        </is>
      </c>
      <c r="H1506" t="inlineStr">
        <is>
          <t>No</t>
        </is>
      </c>
      <c r="I1506" t="inlineStr">
        <is>
          <t>No</t>
        </is>
      </c>
      <c r="J1506" t="inlineStr">
        <is>
          <t>0</t>
        </is>
      </c>
      <c r="K1506" t="inlineStr">
        <is>
          <t>Conference on Hormonal Regulation of Energy Metabolism (1956 : Carmel, Calif.)</t>
        </is>
      </c>
      <c r="L1506" t="inlineStr">
        <is>
          <t>Springfield, Ill., Thomas [1957]</t>
        </is>
      </c>
      <c r="M1506" t="inlineStr">
        <is>
          <t>1957</t>
        </is>
      </c>
      <c r="O1506" t="inlineStr">
        <is>
          <t>eng</t>
        </is>
      </c>
      <c r="P1506" t="inlineStr">
        <is>
          <t>ilu</t>
        </is>
      </c>
      <c r="R1506" t="inlineStr">
        <is>
          <t xml:space="preserve">RC </t>
        </is>
      </c>
      <c r="S1506" t="n">
        <v>4</v>
      </c>
      <c r="T1506" t="n">
        <v>4</v>
      </c>
      <c r="U1506" t="inlineStr">
        <is>
          <t>2002-02-28</t>
        </is>
      </c>
      <c r="V1506" t="inlineStr">
        <is>
          <t>2002-02-28</t>
        </is>
      </c>
      <c r="W1506" t="inlineStr">
        <is>
          <t>1997-08-12</t>
        </is>
      </c>
      <c r="X1506" t="inlineStr">
        <is>
          <t>1997-08-12</t>
        </is>
      </c>
      <c r="Y1506" t="n">
        <v>102</v>
      </c>
      <c r="Z1506" t="n">
        <v>84</v>
      </c>
      <c r="AA1506" t="n">
        <v>86</v>
      </c>
      <c r="AB1506" t="n">
        <v>2</v>
      </c>
      <c r="AC1506" t="n">
        <v>2</v>
      </c>
      <c r="AD1506" t="n">
        <v>2</v>
      </c>
      <c r="AE1506" t="n">
        <v>2</v>
      </c>
      <c r="AF1506" t="n">
        <v>0</v>
      </c>
      <c r="AG1506" t="n">
        <v>0</v>
      </c>
      <c r="AH1506" t="n">
        <v>1</v>
      </c>
      <c r="AI1506" t="n">
        <v>1</v>
      </c>
      <c r="AJ1506" t="n">
        <v>1</v>
      </c>
      <c r="AK1506" t="n">
        <v>1</v>
      </c>
      <c r="AL1506" t="n">
        <v>0</v>
      </c>
      <c r="AM1506" t="n">
        <v>0</v>
      </c>
      <c r="AN1506" t="n">
        <v>0</v>
      </c>
      <c r="AO1506" t="n">
        <v>0</v>
      </c>
      <c r="AP1506" t="inlineStr">
        <is>
          <t>No</t>
        </is>
      </c>
      <c r="AQ1506" t="inlineStr">
        <is>
          <t>No</t>
        </is>
      </c>
      <c r="AR1506">
        <f>HYPERLINK("http://catalog.hathitrust.org/Record/001565805","HathiTrust Record")</f>
        <v/>
      </c>
      <c r="AS1506">
        <f>HYPERLINK("https://creighton-primo.hosted.exlibrisgroup.com/primo-explore/search?tab=default_tab&amp;search_scope=EVERYTHING&amp;vid=01CRU&amp;lang=en_US&amp;offset=0&amp;query=any,contains,991004490579702656","Catalog Record")</f>
        <v/>
      </c>
      <c r="AT1506">
        <f>HYPERLINK("http://www.worldcat.org/oclc/3658441","WorldCat Record")</f>
        <v/>
      </c>
      <c r="AU1506" t="inlineStr">
        <is>
          <t>4020355501:eng</t>
        </is>
      </c>
      <c r="AV1506" t="inlineStr">
        <is>
          <t>3658441</t>
        </is>
      </c>
      <c r="AW1506" t="inlineStr">
        <is>
          <t>991004490579702656</t>
        </is>
      </c>
      <c r="AX1506" t="inlineStr">
        <is>
          <t>991004490579702656</t>
        </is>
      </c>
      <c r="AY1506" t="inlineStr">
        <is>
          <t>2255094540002656</t>
        </is>
      </c>
      <c r="AZ1506" t="inlineStr">
        <is>
          <t>BOOK</t>
        </is>
      </c>
      <c r="BC1506" t="inlineStr">
        <is>
          <t>32285003092870</t>
        </is>
      </c>
      <c r="BD1506" t="inlineStr">
        <is>
          <t>893612413</t>
        </is>
      </c>
    </row>
    <row r="1507">
      <c r="A1507" t="inlineStr">
        <is>
          <t>No</t>
        </is>
      </c>
      <c r="B1507" t="inlineStr">
        <is>
          <t>RC662.2 .B7 1977</t>
        </is>
      </c>
      <c r="C1507" t="inlineStr">
        <is>
          <t>0                      RC 0662200B  7           1977</t>
        </is>
      </c>
      <c r="D1507" t="inlineStr">
        <is>
          <t>Nutrigenetics : new concepts for relieving hypoglycemia / by R. O. Brennan, with William C. Mulligan ; foreword by Roger J. Williams.</t>
        </is>
      </c>
      <c r="F1507" t="inlineStr">
        <is>
          <t>No</t>
        </is>
      </c>
      <c r="G1507" t="inlineStr">
        <is>
          <t>1</t>
        </is>
      </c>
      <c r="H1507" t="inlineStr">
        <is>
          <t>No</t>
        </is>
      </c>
      <c r="I1507" t="inlineStr">
        <is>
          <t>No</t>
        </is>
      </c>
      <c r="J1507" t="inlineStr">
        <is>
          <t>0</t>
        </is>
      </c>
      <c r="K1507" t="inlineStr">
        <is>
          <t>Brennan, Richard O.</t>
        </is>
      </c>
      <c r="L1507" t="inlineStr">
        <is>
          <t>New York : New American Library, 1977, c1975.</t>
        </is>
      </c>
      <c r="M1507" t="inlineStr">
        <is>
          <t>1977</t>
        </is>
      </c>
      <c r="O1507" t="inlineStr">
        <is>
          <t>eng</t>
        </is>
      </c>
      <c r="P1507" t="inlineStr">
        <is>
          <t>nyu</t>
        </is>
      </c>
      <c r="R1507" t="inlineStr">
        <is>
          <t xml:space="preserve">RC </t>
        </is>
      </c>
      <c r="S1507" t="n">
        <v>5</v>
      </c>
      <c r="T1507" t="n">
        <v>5</v>
      </c>
      <c r="U1507" t="inlineStr">
        <is>
          <t>2002-02-28</t>
        </is>
      </c>
      <c r="V1507" t="inlineStr">
        <is>
          <t>2002-02-28</t>
        </is>
      </c>
      <c r="W1507" t="inlineStr">
        <is>
          <t>1993-03-24</t>
        </is>
      </c>
      <c r="X1507" t="inlineStr">
        <is>
          <t>1993-03-24</t>
        </is>
      </c>
      <c r="Y1507" t="n">
        <v>236</v>
      </c>
      <c r="Z1507" t="n">
        <v>223</v>
      </c>
      <c r="AA1507" t="n">
        <v>233</v>
      </c>
      <c r="AB1507" t="n">
        <v>1</v>
      </c>
      <c r="AC1507" t="n">
        <v>1</v>
      </c>
      <c r="AD1507" t="n">
        <v>1</v>
      </c>
      <c r="AE1507" t="n">
        <v>1</v>
      </c>
      <c r="AF1507" t="n">
        <v>1</v>
      </c>
      <c r="AG1507" t="n">
        <v>1</v>
      </c>
      <c r="AH1507" t="n">
        <v>0</v>
      </c>
      <c r="AI1507" t="n">
        <v>0</v>
      </c>
      <c r="AJ1507" t="n">
        <v>1</v>
      </c>
      <c r="AK1507" t="n">
        <v>1</v>
      </c>
      <c r="AL1507" t="n">
        <v>0</v>
      </c>
      <c r="AM1507" t="n">
        <v>0</v>
      </c>
      <c r="AN1507" t="n">
        <v>0</v>
      </c>
      <c r="AO1507" t="n">
        <v>0</v>
      </c>
      <c r="AP1507" t="inlineStr">
        <is>
          <t>No</t>
        </is>
      </c>
      <c r="AQ1507" t="inlineStr">
        <is>
          <t>Yes</t>
        </is>
      </c>
      <c r="AR1507">
        <f>HYPERLINK("http://catalog.hathitrust.org/Record/002579121","HathiTrust Record")</f>
        <v/>
      </c>
      <c r="AS1507">
        <f>HYPERLINK("https://creighton-primo.hosted.exlibrisgroup.com/primo-explore/search?tab=default_tab&amp;search_scope=EVERYTHING&amp;vid=01CRU&amp;lang=en_US&amp;offset=0&amp;query=any,contains,991004543579702656","Catalog Record")</f>
        <v/>
      </c>
      <c r="AT1507">
        <f>HYPERLINK("http://www.worldcat.org/oclc/1551385","WorldCat Record")</f>
        <v/>
      </c>
      <c r="AU1507" t="inlineStr">
        <is>
          <t>582343:eng</t>
        </is>
      </c>
      <c r="AV1507" t="inlineStr">
        <is>
          <t>1551385</t>
        </is>
      </c>
      <c r="AW1507" t="inlineStr">
        <is>
          <t>991004543579702656</t>
        </is>
      </c>
      <c r="AX1507" t="inlineStr">
        <is>
          <t>991004543579702656</t>
        </is>
      </c>
      <c r="AY1507" t="inlineStr">
        <is>
          <t>2257075980002656</t>
        </is>
      </c>
      <c r="AZ1507" t="inlineStr">
        <is>
          <t>BOOK</t>
        </is>
      </c>
      <c r="BB1507" t="inlineStr">
        <is>
          <t>9780451077462</t>
        </is>
      </c>
      <c r="BC1507" t="inlineStr">
        <is>
          <t>32285001607919</t>
        </is>
      </c>
      <c r="BD1507" t="inlineStr">
        <is>
          <t>893706557</t>
        </is>
      </c>
    </row>
    <row r="1508">
      <c r="A1508" t="inlineStr">
        <is>
          <t>No</t>
        </is>
      </c>
      <c r="B1508" t="inlineStr">
        <is>
          <t>RC666.72 .J6725 1988</t>
        </is>
      </c>
      <c r="C1508" t="inlineStr">
        <is>
          <t>0                      RC 0666720J  6725        1988</t>
        </is>
      </c>
      <c r="D1508" t="inlineStr">
        <is>
          <t>Espigas / Salomón Jorge.</t>
        </is>
      </c>
      <c r="F1508" t="inlineStr">
        <is>
          <t>No</t>
        </is>
      </c>
      <c r="G1508" t="inlineStr">
        <is>
          <t>1</t>
        </is>
      </c>
      <c r="H1508" t="inlineStr">
        <is>
          <t>No</t>
        </is>
      </c>
      <c r="I1508" t="inlineStr">
        <is>
          <t>No</t>
        </is>
      </c>
      <c r="J1508" t="inlineStr">
        <is>
          <t>0</t>
        </is>
      </c>
      <c r="K1508" t="inlineStr">
        <is>
          <t>Jorge, Salomón, 1913-</t>
        </is>
      </c>
      <c r="L1508" t="inlineStr">
        <is>
          <t>Santiago, República Dominicana : PUCMM, 1988.</t>
        </is>
      </c>
      <c r="M1508" t="inlineStr">
        <is>
          <t>1988</t>
        </is>
      </c>
      <c r="N1508" t="inlineStr">
        <is>
          <t>1. ed.</t>
        </is>
      </c>
      <c r="O1508" t="inlineStr">
        <is>
          <t>spa</t>
        </is>
      </c>
      <c r="P1508" t="inlineStr">
        <is>
          <t xml:space="preserve">dr </t>
        </is>
      </c>
      <c r="Q1508" t="inlineStr">
        <is>
          <t>Colección contemporáneos ; 133</t>
        </is>
      </c>
      <c r="R1508" t="inlineStr">
        <is>
          <t xml:space="preserve">RC </t>
        </is>
      </c>
      <c r="S1508" t="n">
        <v>1</v>
      </c>
      <c r="T1508" t="n">
        <v>1</v>
      </c>
      <c r="U1508" t="inlineStr">
        <is>
          <t>2001-06-19</t>
        </is>
      </c>
      <c r="V1508" t="inlineStr">
        <is>
          <t>2001-06-19</t>
        </is>
      </c>
      <c r="W1508" t="inlineStr">
        <is>
          <t>2001-06-18</t>
        </is>
      </c>
      <c r="X1508" t="inlineStr">
        <is>
          <t>2001-06-18</t>
        </is>
      </c>
      <c r="Y1508" t="n">
        <v>18</v>
      </c>
      <c r="Z1508" t="n">
        <v>15</v>
      </c>
      <c r="AA1508" t="n">
        <v>18</v>
      </c>
      <c r="AB1508" t="n">
        <v>1</v>
      </c>
      <c r="AC1508" t="n">
        <v>1</v>
      </c>
      <c r="AD1508" t="n">
        <v>0</v>
      </c>
      <c r="AE1508" t="n">
        <v>0</v>
      </c>
      <c r="AF1508" t="n">
        <v>0</v>
      </c>
      <c r="AG1508" t="n">
        <v>0</v>
      </c>
      <c r="AH1508" t="n">
        <v>0</v>
      </c>
      <c r="AI1508" t="n">
        <v>0</v>
      </c>
      <c r="AJ1508" t="n">
        <v>0</v>
      </c>
      <c r="AK1508" t="n">
        <v>0</v>
      </c>
      <c r="AL1508" t="n">
        <v>0</v>
      </c>
      <c r="AM1508" t="n">
        <v>0</v>
      </c>
      <c r="AN1508" t="n">
        <v>0</v>
      </c>
      <c r="AO1508" t="n">
        <v>0</v>
      </c>
      <c r="AP1508" t="inlineStr">
        <is>
          <t>No</t>
        </is>
      </c>
      <c r="AQ1508" t="inlineStr">
        <is>
          <t>Yes</t>
        </is>
      </c>
      <c r="AR1508">
        <f>HYPERLINK("http://catalog.hathitrust.org/Record/101409097","HathiTrust Record")</f>
        <v/>
      </c>
      <c r="AS1508">
        <f>HYPERLINK("https://creighton-primo.hosted.exlibrisgroup.com/primo-explore/search?tab=default_tab&amp;search_scope=EVERYTHING&amp;vid=01CRU&amp;lang=en_US&amp;offset=0&amp;query=any,contains,991003560189702656","Catalog Record")</f>
        <v/>
      </c>
      <c r="AT1508">
        <f>HYPERLINK("http://www.worldcat.org/oclc/20121213","WorldCat Record")</f>
        <v/>
      </c>
      <c r="AU1508" t="inlineStr">
        <is>
          <t>21455558:spa</t>
        </is>
      </c>
      <c r="AV1508" t="inlineStr">
        <is>
          <t>20121213</t>
        </is>
      </c>
      <c r="AW1508" t="inlineStr">
        <is>
          <t>991003560189702656</t>
        </is>
      </c>
      <c r="AX1508" t="inlineStr">
        <is>
          <t>991003560189702656</t>
        </is>
      </c>
      <c r="AY1508" t="inlineStr">
        <is>
          <t>2261210860002656</t>
        </is>
      </c>
      <c r="AZ1508" t="inlineStr">
        <is>
          <t>BOOK</t>
        </is>
      </c>
      <c r="BC1508" t="inlineStr">
        <is>
          <t>32285004328224</t>
        </is>
      </c>
      <c r="BD1508" t="inlineStr">
        <is>
          <t>893793737</t>
        </is>
      </c>
    </row>
    <row r="1509">
      <c r="A1509" t="inlineStr">
        <is>
          <t>No</t>
        </is>
      </c>
      <c r="B1509" t="inlineStr">
        <is>
          <t>RC669 .A54 1985</t>
        </is>
      </c>
      <c r="C1509" t="inlineStr">
        <is>
          <t>0                      RC 0669000A  54          1985</t>
        </is>
      </c>
      <c r="D1509" t="inlineStr">
        <is>
          <t>Anger and hostility in cardiovascular and behavioral disorders / edited by Margaret A. Chesney, Ray H. Rosenman.</t>
        </is>
      </c>
      <c r="F1509" t="inlineStr">
        <is>
          <t>No</t>
        </is>
      </c>
      <c r="G1509" t="inlineStr">
        <is>
          <t>1</t>
        </is>
      </c>
      <c r="H1509" t="inlineStr">
        <is>
          <t>Yes</t>
        </is>
      </c>
      <c r="I1509" t="inlineStr">
        <is>
          <t>No</t>
        </is>
      </c>
      <c r="J1509" t="inlineStr">
        <is>
          <t>0</t>
        </is>
      </c>
      <c r="L1509" t="inlineStr">
        <is>
          <t>Washington : Hemisphere Pub. Corp., c1985.</t>
        </is>
      </c>
      <c r="M1509" t="inlineStr">
        <is>
          <t>1985</t>
        </is>
      </c>
      <c r="O1509" t="inlineStr">
        <is>
          <t>eng</t>
        </is>
      </c>
      <c r="P1509" t="inlineStr">
        <is>
          <t>dcu</t>
        </is>
      </c>
      <c r="Q1509" t="inlineStr">
        <is>
          <t>The Series in health psychology and behavioral medicine</t>
        </is>
      </c>
      <c r="R1509" t="inlineStr">
        <is>
          <t xml:space="preserve">RC </t>
        </is>
      </c>
      <c r="S1509" t="n">
        <v>13</v>
      </c>
      <c r="T1509" t="n">
        <v>13</v>
      </c>
      <c r="U1509" t="inlineStr">
        <is>
          <t>1999-10-25</t>
        </is>
      </c>
      <c r="V1509" t="inlineStr">
        <is>
          <t>1999-10-25</t>
        </is>
      </c>
      <c r="W1509" t="inlineStr">
        <is>
          <t>1992-12-14</t>
        </is>
      </c>
      <c r="X1509" t="inlineStr">
        <is>
          <t>1992-12-14</t>
        </is>
      </c>
      <c r="Y1509" t="n">
        <v>282</v>
      </c>
      <c r="Z1509" t="n">
        <v>230</v>
      </c>
      <c r="AA1509" t="n">
        <v>232</v>
      </c>
      <c r="AB1509" t="n">
        <v>2</v>
      </c>
      <c r="AC1509" t="n">
        <v>2</v>
      </c>
      <c r="AD1509" t="n">
        <v>7</v>
      </c>
      <c r="AE1509" t="n">
        <v>7</v>
      </c>
      <c r="AF1509" t="n">
        <v>2</v>
      </c>
      <c r="AG1509" t="n">
        <v>2</v>
      </c>
      <c r="AH1509" t="n">
        <v>1</v>
      </c>
      <c r="AI1509" t="n">
        <v>1</v>
      </c>
      <c r="AJ1509" t="n">
        <v>5</v>
      </c>
      <c r="AK1509" t="n">
        <v>5</v>
      </c>
      <c r="AL1509" t="n">
        <v>0</v>
      </c>
      <c r="AM1509" t="n">
        <v>0</v>
      </c>
      <c r="AN1509" t="n">
        <v>0</v>
      </c>
      <c r="AO1509" t="n">
        <v>0</v>
      </c>
      <c r="AP1509" t="inlineStr">
        <is>
          <t>No</t>
        </is>
      </c>
      <c r="AQ1509" t="inlineStr">
        <is>
          <t>Yes</t>
        </is>
      </c>
      <c r="AR1509">
        <f>HYPERLINK("http://catalog.hathitrust.org/Record/000352114","HathiTrust Record")</f>
        <v/>
      </c>
      <c r="AS1509">
        <f>HYPERLINK("https://creighton-primo.hosted.exlibrisgroup.com/primo-explore/search?tab=default_tab&amp;search_scope=EVERYTHING&amp;vid=01CRU&amp;lang=en_US&amp;offset=0&amp;query=any,contains,991000545339702656","Catalog Record")</f>
        <v/>
      </c>
      <c r="AT1509">
        <f>HYPERLINK("http://www.worldcat.org/oclc/11517814","WorldCat Record")</f>
        <v/>
      </c>
      <c r="AU1509" t="inlineStr">
        <is>
          <t>3908584:eng</t>
        </is>
      </c>
      <c r="AV1509" t="inlineStr">
        <is>
          <t>11517814</t>
        </is>
      </c>
      <c r="AW1509" t="inlineStr">
        <is>
          <t>991000545339702656</t>
        </is>
      </c>
      <c r="AX1509" t="inlineStr">
        <is>
          <t>991000545339702656</t>
        </is>
      </c>
      <c r="AY1509" t="inlineStr">
        <is>
          <t>2270605890002656</t>
        </is>
      </c>
      <c r="AZ1509" t="inlineStr">
        <is>
          <t>BOOK</t>
        </is>
      </c>
      <c r="BB1509" t="inlineStr">
        <is>
          <t>9780891163930</t>
        </is>
      </c>
      <c r="BC1509" t="inlineStr">
        <is>
          <t>32285001466407</t>
        </is>
      </c>
      <c r="BD1509" t="inlineStr">
        <is>
          <t>893425818</t>
        </is>
      </c>
    </row>
    <row r="1510">
      <c r="A1510" t="inlineStr">
        <is>
          <t>No</t>
        </is>
      </c>
      <c r="B1510" t="inlineStr">
        <is>
          <t>RC669 .C277 1987</t>
        </is>
      </c>
      <c r="C1510" t="inlineStr">
        <is>
          <t>0                      RC 0669000C  277         1987</t>
        </is>
      </c>
      <c r="D1510" t="inlineStr">
        <is>
          <t>Cardiovascular disease and behavior / edited by Jeffrey W. Elias, Phillip Howard Marshall.</t>
        </is>
      </c>
      <c r="F1510" t="inlineStr">
        <is>
          <t>No</t>
        </is>
      </c>
      <c r="G1510" t="inlineStr">
        <is>
          <t>1</t>
        </is>
      </c>
      <c r="H1510" t="inlineStr">
        <is>
          <t>No</t>
        </is>
      </c>
      <c r="I1510" t="inlineStr">
        <is>
          <t>No</t>
        </is>
      </c>
      <c r="J1510" t="inlineStr">
        <is>
          <t>0</t>
        </is>
      </c>
      <c r="L1510" t="inlineStr">
        <is>
          <t>Washington : Hemisphere Pub. Corp., c1987.</t>
        </is>
      </c>
      <c r="M1510" t="inlineStr">
        <is>
          <t>1987</t>
        </is>
      </c>
      <c r="O1510" t="inlineStr">
        <is>
          <t>eng</t>
        </is>
      </c>
      <c r="P1510" t="inlineStr">
        <is>
          <t>dcu</t>
        </is>
      </c>
      <c r="Q1510" t="inlineStr">
        <is>
          <t>The Series in health psychology and behavioral medicine</t>
        </is>
      </c>
      <c r="R1510" t="inlineStr">
        <is>
          <t xml:space="preserve">RC </t>
        </is>
      </c>
      <c r="S1510" t="n">
        <v>35</v>
      </c>
      <c r="T1510" t="n">
        <v>35</v>
      </c>
      <c r="U1510" t="inlineStr">
        <is>
          <t>2002-05-15</t>
        </is>
      </c>
      <c r="V1510" t="inlineStr">
        <is>
          <t>2002-05-15</t>
        </is>
      </c>
      <c r="W1510" t="inlineStr">
        <is>
          <t>1992-04-24</t>
        </is>
      </c>
      <c r="X1510" t="inlineStr">
        <is>
          <t>1992-04-24</t>
        </is>
      </c>
      <c r="Y1510" t="n">
        <v>176</v>
      </c>
      <c r="Z1510" t="n">
        <v>137</v>
      </c>
      <c r="AA1510" t="n">
        <v>139</v>
      </c>
      <c r="AB1510" t="n">
        <v>1</v>
      </c>
      <c r="AC1510" t="n">
        <v>1</v>
      </c>
      <c r="AD1510" t="n">
        <v>5</v>
      </c>
      <c r="AE1510" t="n">
        <v>5</v>
      </c>
      <c r="AF1510" t="n">
        <v>2</v>
      </c>
      <c r="AG1510" t="n">
        <v>2</v>
      </c>
      <c r="AH1510" t="n">
        <v>1</v>
      </c>
      <c r="AI1510" t="n">
        <v>1</v>
      </c>
      <c r="AJ1510" t="n">
        <v>4</v>
      </c>
      <c r="AK1510" t="n">
        <v>4</v>
      </c>
      <c r="AL1510" t="n">
        <v>0</v>
      </c>
      <c r="AM1510" t="n">
        <v>0</v>
      </c>
      <c r="AN1510" t="n">
        <v>0</v>
      </c>
      <c r="AO1510" t="n">
        <v>0</v>
      </c>
      <c r="AP1510" t="inlineStr">
        <is>
          <t>No</t>
        </is>
      </c>
      <c r="AQ1510" t="inlineStr">
        <is>
          <t>Yes</t>
        </is>
      </c>
      <c r="AR1510">
        <f>HYPERLINK("http://catalog.hathitrust.org/Record/000822302","HathiTrust Record")</f>
        <v/>
      </c>
      <c r="AS1510">
        <f>HYPERLINK("https://creighton-primo.hosted.exlibrisgroup.com/primo-explore/search?tab=default_tab&amp;search_scope=EVERYTHING&amp;vid=01CRU&amp;lang=en_US&amp;offset=0&amp;query=any,contains,991000942109702656","Catalog Record")</f>
        <v/>
      </c>
      <c r="AT1510">
        <f>HYPERLINK("http://www.worldcat.org/oclc/14413474","WorldCat Record")</f>
        <v/>
      </c>
      <c r="AU1510" t="inlineStr">
        <is>
          <t>441666443:eng</t>
        </is>
      </c>
      <c r="AV1510" t="inlineStr">
        <is>
          <t>14413474</t>
        </is>
      </c>
      <c r="AW1510" t="inlineStr">
        <is>
          <t>991000942109702656</t>
        </is>
      </c>
      <c r="AX1510" t="inlineStr">
        <is>
          <t>991000942109702656</t>
        </is>
      </c>
      <c r="AY1510" t="inlineStr">
        <is>
          <t>2266394120002656</t>
        </is>
      </c>
      <c r="AZ1510" t="inlineStr">
        <is>
          <t>BOOK</t>
        </is>
      </c>
      <c r="BB1510" t="inlineStr">
        <is>
          <t>9780891164012</t>
        </is>
      </c>
      <c r="BC1510" t="inlineStr">
        <is>
          <t>32285001071512</t>
        </is>
      </c>
      <c r="BD1510" t="inlineStr">
        <is>
          <t>893534368</t>
        </is>
      </c>
    </row>
    <row r="1511">
      <c r="A1511" t="inlineStr">
        <is>
          <t>No</t>
        </is>
      </c>
      <c r="B1511" t="inlineStr">
        <is>
          <t>RC669 .C288 1993</t>
        </is>
      </c>
      <c r="C1511" t="inlineStr">
        <is>
          <t>0                      RC 0669000C  288         1993</t>
        </is>
      </c>
      <c r="D1511" t="inlineStr">
        <is>
          <t>Cardiovascular reactivity to psychological stress &amp; disease / edited by Jim Blascovich and Edward S. Katkin.</t>
        </is>
      </c>
      <c r="F1511" t="inlineStr">
        <is>
          <t>No</t>
        </is>
      </c>
      <c r="G1511" t="inlineStr">
        <is>
          <t>1</t>
        </is>
      </c>
      <c r="H1511" t="inlineStr">
        <is>
          <t>No</t>
        </is>
      </c>
      <c r="I1511" t="inlineStr">
        <is>
          <t>No</t>
        </is>
      </c>
      <c r="J1511" t="inlineStr">
        <is>
          <t>0</t>
        </is>
      </c>
      <c r="L1511" t="inlineStr">
        <is>
          <t>Washington, DC : American Psychological Association ; Hyattsville, MD : APA Order Dept., c1993.</t>
        </is>
      </c>
      <c r="M1511" t="inlineStr">
        <is>
          <t>1993</t>
        </is>
      </c>
      <c r="N1511" t="inlineStr">
        <is>
          <t>1st ed.</t>
        </is>
      </c>
      <c r="O1511" t="inlineStr">
        <is>
          <t>eng</t>
        </is>
      </c>
      <c r="P1511" t="inlineStr">
        <is>
          <t>dcu</t>
        </is>
      </c>
      <c r="Q1511" t="inlineStr">
        <is>
          <t>APA science volumes</t>
        </is>
      </c>
      <c r="R1511" t="inlineStr">
        <is>
          <t xml:space="preserve">RC </t>
        </is>
      </c>
      <c r="S1511" t="n">
        <v>19</v>
      </c>
      <c r="T1511" t="n">
        <v>19</v>
      </c>
      <c r="U1511" t="inlineStr">
        <is>
          <t>2000-11-27</t>
        </is>
      </c>
      <c r="V1511" t="inlineStr">
        <is>
          <t>2000-11-27</t>
        </is>
      </c>
      <c r="W1511" t="inlineStr">
        <is>
          <t>1994-01-07</t>
        </is>
      </c>
      <c r="X1511" t="inlineStr">
        <is>
          <t>1994-01-07</t>
        </is>
      </c>
      <c r="Y1511" t="n">
        <v>289</v>
      </c>
      <c r="Z1511" t="n">
        <v>232</v>
      </c>
      <c r="AA1511" t="n">
        <v>318</v>
      </c>
      <c r="AB1511" t="n">
        <v>1</v>
      </c>
      <c r="AC1511" t="n">
        <v>2</v>
      </c>
      <c r="AD1511" t="n">
        <v>8</v>
      </c>
      <c r="AE1511" t="n">
        <v>13</v>
      </c>
      <c r="AF1511" t="n">
        <v>2</v>
      </c>
      <c r="AG1511" t="n">
        <v>4</v>
      </c>
      <c r="AH1511" t="n">
        <v>3</v>
      </c>
      <c r="AI1511" t="n">
        <v>3</v>
      </c>
      <c r="AJ1511" t="n">
        <v>6</v>
      </c>
      <c r="AK1511" t="n">
        <v>8</v>
      </c>
      <c r="AL1511" t="n">
        <v>0</v>
      </c>
      <c r="AM1511" t="n">
        <v>1</v>
      </c>
      <c r="AN1511" t="n">
        <v>0</v>
      </c>
      <c r="AO1511" t="n">
        <v>0</v>
      </c>
      <c r="AP1511" t="inlineStr">
        <is>
          <t>No</t>
        </is>
      </c>
      <c r="AQ1511" t="inlineStr">
        <is>
          <t>No</t>
        </is>
      </c>
      <c r="AS1511">
        <f>HYPERLINK("https://creighton-primo.hosted.exlibrisgroup.com/primo-explore/search?tab=default_tab&amp;search_scope=EVERYTHING&amp;vid=01CRU&amp;lang=en_US&amp;offset=0&amp;query=any,contains,991002126189702656","Catalog Record")</f>
        <v/>
      </c>
      <c r="AT1511">
        <f>HYPERLINK("http://www.worldcat.org/oclc/27227968","WorldCat Record")</f>
        <v/>
      </c>
      <c r="AU1511" t="inlineStr">
        <is>
          <t>351828069:eng</t>
        </is>
      </c>
      <c r="AV1511" t="inlineStr">
        <is>
          <t>27227968</t>
        </is>
      </c>
      <c r="AW1511" t="inlineStr">
        <is>
          <t>991002126189702656</t>
        </is>
      </c>
      <c r="AX1511" t="inlineStr">
        <is>
          <t>991002126189702656</t>
        </is>
      </c>
      <c r="AY1511" t="inlineStr">
        <is>
          <t>2265669810002656</t>
        </is>
      </c>
      <c r="AZ1511" t="inlineStr">
        <is>
          <t>BOOK</t>
        </is>
      </c>
      <c r="BB1511" t="inlineStr">
        <is>
          <t>9781557981929</t>
        </is>
      </c>
      <c r="BC1511" t="inlineStr">
        <is>
          <t>32285001830149</t>
        </is>
      </c>
      <c r="BD1511" t="inlineStr">
        <is>
          <t>893341059</t>
        </is>
      </c>
    </row>
    <row r="1512">
      <c r="A1512" t="inlineStr">
        <is>
          <t>No</t>
        </is>
      </c>
      <c r="B1512" t="inlineStr">
        <is>
          <t>RC669 .H285 1986</t>
        </is>
      </c>
      <c r="C1512" t="inlineStr">
        <is>
          <t>0                      RC 0669000H  285         1986</t>
        </is>
      </c>
      <c r="D1512" t="inlineStr">
        <is>
          <t>Handbook of stress, reactivity, and cardiovascular disease / edited by Karen A. Matthews ... [et al.].</t>
        </is>
      </c>
      <c r="F1512" t="inlineStr">
        <is>
          <t>No</t>
        </is>
      </c>
      <c r="G1512" t="inlineStr">
        <is>
          <t>1</t>
        </is>
      </c>
      <c r="H1512" t="inlineStr">
        <is>
          <t>No</t>
        </is>
      </c>
      <c r="I1512" t="inlineStr">
        <is>
          <t>No</t>
        </is>
      </c>
      <c r="J1512" t="inlineStr">
        <is>
          <t>0</t>
        </is>
      </c>
      <c r="L1512" t="inlineStr">
        <is>
          <t>New York : Wiley, c1986.</t>
        </is>
      </c>
      <c r="M1512" t="inlineStr">
        <is>
          <t>1986</t>
        </is>
      </c>
      <c r="O1512" t="inlineStr">
        <is>
          <t>eng</t>
        </is>
      </c>
      <c r="P1512" t="inlineStr">
        <is>
          <t>nyu</t>
        </is>
      </c>
      <c r="Q1512" t="inlineStr">
        <is>
          <t>Wiley series on health psychology/behavioral medicine</t>
        </is>
      </c>
      <c r="R1512" t="inlineStr">
        <is>
          <t xml:space="preserve">RC </t>
        </is>
      </c>
      <c r="S1512" t="n">
        <v>10</v>
      </c>
      <c r="T1512" t="n">
        <v>10</v>
      </c>
      <c r="U1512" t="inlineStr">
        <is>
          <t>1997-09-30</t>
        </is>
      </c>
      <c r="V1512" t="inlineStr">
        <is>
          <t>1997-09-30</t>
        </is>
      </c>
      <c r="W1512" t="inlineStr">
        <is>
          <t>1990-03-01</t>
        </is>
      </c>
      <c r="X1512" t="inlineStr">
        <is>
          <t>1990-03-01</t>
        </is>
      </c>
      <c r="Y1512" t="n">
        <v>370</v>
      </c>
      <c r="Z1512" t="n">
        <v>280</v>
      </c>
      <c r="AA1512" t="n">
        <v>282</v>
      </c>
      <c r="AB1512" t="n">
        <v>1</v>
      </c>
      <c r="AC1512" t="n">
        <v>1</v>
      </c>
      <c r="AD1512" t="n">
        <v>11</v>
      </c>
      <c r="AE1512" t="n">
        <v>11</v>
      </c>
      <c r="AF1512" t="n">
        <v>6</v>
      </c>
      <c r="AG1512" t="n">
        <v>6</v>
      </c>
      <c r="AH1512" t="n">
        <v>2</v>
      </c>
      <c r="AI1512" t="n">
        <v>2</v>
      </c>
      <c r="AJ1512" t="n">
        <v>11</v>
      </c>
      <c r="AK1512" t="n">
        <v>11</v>
      </c>
      <c r="AL1512" t="n">
        <v>0</v>
      </c>
      <c r="AM1512" t="n">
        <v>0</v>
      </c>
      <c r="AN1512" t="n">
        <v>0</v>
      </c>
      <c r="AO1512" t="n">
        <v>0</v>
      </c>
      <c r="AP1512" t="inlineStr">
        <is>
          <t>No</t>
        </is>
      </c>
      <c r="AQ1512" t="inlineStr">
        <is>
          <t>Yes</t>
        </is>
      </c>
      <c r="AR1512">
        <f>HYPERLINK("http://catalog.hathitrust.org/Record/000669317","HathiTrust Record")</f>
        <v/>
      </c>
      <c r="AS1512">
        <f>HYPERLINK("https://creighton-primo.hosted.exlibrisgroup.com/primo-explore/search?tab=default_tab&amp;search_scope=EVERYTHING&amp;vid=01CRU&amp;lang=en_US&amp;offset=0&amp;query=any,contains,991000754379702656","Catalog Record")</f>
        <v/>
      </c>
      <c r="AT1512">
        <f>HYPERLINK("http://www.worldcat.org/oclc/12945942","WorldCat Record")</f>
        <v/>
      </c>
      <c r="AU1512" t="inlineStr">
        <is>
          <t>5859395:eng</t>
        </is>
      </c>
      <c r="AV1512" t="inlineStr">
        <is>
          <t>12945942</t>
        </is>
      </c>
      <c r="AW1512" t="inlineStr">
        <is>
          <t>991000754379702656</t>
        </is>
      </c>
      <c r="AX1512" t="inlineStr">
        <is>
          <t>991000754379702656</t>
        </is>
      </c>
      <c r="AY1512" t="inlineStr">
        <is>
          <t>2271006990002656</t>
        </is>
      </c>
      <c r="AZ1512" t="inlineStr">
        <is>
          <t>BOOK</t>
        </is>
      </c>
      <c r="BB1512" t="inlineStr">
        <is>
          <t>9780471822196</t>
        </is>
      </c>
      <c r="BC1512" t="inlineStr">
        <is>
          <t>32285000075480</t>
        </is>
      </c>
      <c r="BD1512" t="inlineStr">
        <is>
          <t>893778212</t>
        </is>
      </c>
    </row>
    <row r="1513">
      <c r="A1513" t="inlineStr">
        <is>
          <t>No</t>
        </is>
      </c>
      <c r="B1513" t="inlineStr">
        <is>
          <t>RC669 .P79</t>
        </is>
      </c>
      <c r="C1513" t="inlineStr">
        <is>
          <t>0                      RC 0669000P  79</t>
        </is>
      </c>
      <c r="D1513" t="inlineStr">
        <is>
          <t>Psychosocial aspects of cardiovascular disease : the life-threatened patient, the family, and the staff / edited by James Reiffel ... [et al.] ; with the editorial assistance of Lillian G. Kutscher.</t>
        </is>
      </c>
      <c r="F1513" t="inlineStr">
        <is>
          <t>No</t>
        </is>
      </c>
      <c r="G1513" t="inlineStr">
        <is>
          <t>1</t>
        </is>
      </c>
      <c r="H1513" t="inlineStr">
        <is>
          <t>No</t>
        </is>
      </c>
      <c r="I1513" t="inlineStr">
        <is>
          <t>No</t>
        </is>
      </c>
      <c r="J1513" t="inlineStr">
        <is>
          <t>0</t>
        </is>
      </c>
      <c r="L1513" t="inlineStr">
        <is>
          <t>New York : Columbia University Press, 1980.</t>
        </is>
      </c>
      <c r="M1513" t="inlineStr">
        <is>
          <t>1980</t>
        </is>
      </c>
      <c r="O1513" t="inlineStr">
        <is>
          <t>eng</t>
        </is>
      </c>
      <c r="P1513" t="inlineStr">
        <is>
          <t>nyu</t>
        </is>
      </c>
      <c r="Q1513" t="inlineStr">
        <is>
          <t>Columbia University Press/Foundation of Thanatology series</t>
        </is>
      </c>
      <c r="R1513" t="inlineStr">
        <is>
          <t xml:space="preserve">RC </t>
        </is>
      </c>
      <c r="S1513" t="n">
        <v>5</v>
      </c>
      <c r="T1513" t="n">
        <v>5</v>
      </c>
      <c r="U1513" t="inlineStr">
        <is>
          <t>1997-10-10</t>
        </is>
      </c>
      <c r="V1513" t="inlineStr">
        <is>
          <t>1997-10-10</t>
        </is>
      </c>
      <c r="W1513" t="inlineStr">
        <is>
          <t>1993-03-24</t>
        </is>
      </c>
      <c r="X1513" t="inlineStr">
        <is>
          <t>1993-03-24</t>
        </is>
      </c>
      <c r="Y1513" t="n">
        <v>161</v>
      </c>
      <c r="Z1513" t="n">
        <v>132</v>
      </c>
      <c r="AA1513" t="n">
        <v>135</v>
      </c>
      <c r="AB1513" t="n">
        <v>2</v>
      </c>
      <c r="AC1513" t="n">
        <v>2</v>
      </c>
      <c r="AD1513" t="n">
        <v>3</v>
      </c>
      <c r="AE1513" t="n">
        <v>3</v>
      </c>
      <c r="AF1513" t="n">
        <v>0</v>
      </c>
      <c r="AG1513" t="n">
        <v>0</v>
      </c>
      <c r="AH1513" t="n">
        <v>1</v>
      </c>
      <c r="AI1513" t="n">
        <v>1</v>
      </c>
      <c r="AJ1513" t="n">
        <v>1</v>
      </c>
      <c r="AK1513" t="n">
        <v>1</v>
      </c>
      <c r="AL1513" t="n">
        <v>1</v>
      </c>
      <c r="AM1513" t="n">
        <v>1</v>
      </c>
      <c r="AN1513" t="n">
        <v>0</v>
      </c>
      <c r="AO1513" t="n">
        <v>0</v>
      </c>
      <c r="AP1513" t="inlineStr">
        <is>
          <t>No</t>
        </is>
      </c>
      <c r="AQ1513" t="inlineStr">
        <is>
          <t>No</t>
        </is>
      </c>
      <c r="AS1513">
        <f>HYPERLINK("https://creighton-primo.hosted.exlibrisgroup.com/primo-explore/search?tab=default_tab&amp;search_scope=EVERYTHING&amp;vid=01CRU&amp;lang=en_US&amp;offset=0&amp;query=any,contains,991004896949702656","Catalog Record")</f>
        <v/>
      </c>
      <c r="AT1513">
        <f>HYPERLINK("http://www.worldcat.org/oclc/5894449","WorldCat Record")</f>
        <v/>
      </c>
      <c r="AU1513" t="inlineStr">
        <is>
          <t>866643269:eng</t>
        </is>
      </c>
      <c r="AV1513" t="inlineStr">
        <is>
          <t>5894449</t>
        </is>
      </c>
      <c r="AW1513" t="inlineStr">
        <is>
          <t>991004896949702656</t>
        </is>
      </c>
      <c r="AX1513" t="inlineStr">
        <is>
          <t>991004896949702656</t>
        </is>
      </c>
      <c r="AY1513" t="inlineStr">
        <is>
          <t>2264301810002656</t>
        </is>
      </c>
      <c r="AZ1513" t="inlineStr">
        <is>
          <t>BOOK</t>
        </is>
      </c>
      <c r="BB1513" t="inlineStr">
        <is>
          <t>9780231043540</t>
        </is>
      </c>
      <c r="BC1513" t="inlineStr">
        <is>
          <t>32285001579720</t>
        </is>
      </c>
      <c r="BD1513" t="inlineStr">
        <is>
          <t>893801453</t>
        </is>
      </c>
    </row>
    <row r="1514">
      <c r="A1514" t="inlineStr">
        <is>
          <t>No</t>
        </is>
      </c>
      <c r="B1514" t="inlineStr">
        <is>
          <t>RC672 .B66 1977</t>
        </is>
      </c>
      <c r="C1514" t="inlineStr">
        <is>
          <t>0                      RC 0672000B  66          1977</t>
        </is>
      </c>
      <c r="D1514" t="inlineStr">
        <is>
          <t>How to keep the heart healthy and fit / by Paul C. Bragg and Patricia Bragg.</t>
        </is>
      </c>
      <c r="F1514" t="inlineStr">
        <is>
          <t>No</t>
        </is>
      </c>
      <c r="G1514" t="inlineStr">
        <is>
          <t>1</t>
        </is>
      </c>
      <c r="H1514" t="inlineStr">
        <is>
          <t>No</t>
        </is>
      </c>
      <c r="I1514" t="inlineStr">
        <is>
          <t>No</t>
        </is>
      </c>
      <c r="J1514" t="inlineStr">
        <is>
          <t>0</t>
        </is>
      </c>
      <c r="K1514" t="inlineStr">
        <is>
          <t>Bragg, Paul C. (Paul Chappuis), 1895-1976.</t>
        </is>
      </c>
      <c r="L1514" t="inlineStr">
        <is>
          <t>Burbank, Calif. : Health Science, c1977.</t>
        </is>
      </c>
      <c r="M1514" t="inlineStr">
        <is>
          <t>1977</t>
        </is>
      </c>
      <c r="O1514" t="inlineStr">
        <is>
          <t>eng</t>
        </is>
      </c>
      <c r="P1514" t="inlineStr">
        <is>
          <t>cau</t>
        </is>
      </c>
      <c r="R1514" t="inlineStr">
        <is>
          <t xml:space="preserve">RC </t>
        </is>
      </c>
      <c r="S1514" t="n">
        <v>6</v>
      </c>
      <c r="T1514" t="n">
        <v>6</v>
      </c>
      <c r="U1514" t="inlineStr">
        <is>
          <t>2010-06-23</t>
        </is>
      </c>
      <c r="V1514" t="inlineStr">
        <is>
          <t>2010-06-23</t>
        </is>
      </c>
      <c r="W1514" t="inlineStr">
        <is>
          <t>1992-10-19</t>
        </is>
      </c>
      <c r="X1514" t="inlineStr">
        <is>
          <t>1992-10-19</t>
        </is>
      </c>
      <c r="Y1514" t="n">
        <v>18</v>
      </c>
      <c r="Z1514" t="n">
        <v>16</v>
      </c>
      <c r="AA1514" t="n">
        <v>21</v>
      </c>
      <c r="AB1514" t="n">
        <v>1</v>
      </c>
      <c r="AC1514" t="n">
        <v>1</v>
      </c>
      <c r="AD1514" t="n">
        <v>0</v>
      </c>
      <c r="AE1514" t="n">
        <v>0</v>
      </c>
      <c r="AF1514" t="n">
        <v>0</v>
      </c>
      <c r="AG1514" t="n">
        <v>0</v>
      </c>
      <c r="AH1514" t="n">
        <v>0</v>
      </c>
      <c r="AI1514" t="n">
        <v>0</v>
      </c>
      <c r="AJ1514" t="n">
        <v>0</v>
      </c>
      <c r="AK1514" t="n">
        <v>0</v>
      </c>
      <c r="AL1514" t="n">
        <v>0</v>
      </c>
      <c r="AM1514" t="n">
        <v>0</v>
      </c>
      <c r="AN1514" t="n">
        <v>0</v>
      </c>
      <c r="AO1514" t="n">
        <v>0</v>
      </c>
      <c r="AP1514" t="inlineStr">
        <is>
          <t>No</t>
        </is>
      </c>
      <c r="AQ1514" t="inlineStr">
        <is>
          <t>Yes</t>
        </is>
      </c>
      <c r="AR1514">
        <f>HYPERLINK("http://catalog.hathitrust.org/Record/008385843","HathiTrust Record")</f>
        <v/>
      </c>
      <c r="AS1514">
        <f>HYPERLINK("https://creighton-primo.hosted.exlibrisgroup.com/primo-explore/search?tab=default_tab&amp;search_scope=EVERYTHING&amp;vid=01CRU&amp;lang=en_US&amp;offset=0&amp;query=any,contains,991004806999702656","Catalog Record")</f>
        <v/>
      </c>
      <c r="AT1514">
        <f>HYPERLINK("http://www.worldcat.org/oclc/443345","WorldCat Record")</f>
        <v/>
      </c>
      <c r="AU1514" t="inlineStr">
        <is>
          <t>643518:eng</t>
        </is>
      </c>
      <c r="AV1514" t="inlineStr">
        <is>
          <t>443345</t>
        </is>
      </c>
      <c r="AW1514" t="inlineStr">
        <is>
          <t>991004806999702656</t>
        </is>
      </c>
      <c r="AX1514" t="inlineStr">
        <is>
          <t>991004806999702656</t>
        </is>
      </c>
      <c r="AY1514" t="inlineStr">
        <is>
          <t>2264220430002656</t>
        </is>
      </c>
      <c r="AZ1514" t="inlineStr">
        <is>
          <t>BOOK</t>
        </is>
      </c>
      <c r="BB1514" t="inlineStr">
        <is>
          <t>9780877900047</t>
        </is>
      </c>
      <c r="BC1514" t="inlineStr">
        <is>
          <t>32285001351898</t>
        </is>
      </c>
      <c r="BD1514" t="inlineStr">
        <is>
          <t>893338151</t>
        </is>
      </c>
    </row>
    <row r="1515">
      <c r="A1515" t="inlineStr">
        <is>
          <t>No</t>
        </is>
      </c>
      <c r="B1515" t="inlineStr">
        <is>
          <t>RC672 .D413 1997</t>
        </is>
      </c>
      <c r="C1515" t="inlineStr">
        <is>
          <t>0                      RC 0672000D  413         1997</t>
        </is>
      </c>
      <c r="D1515" t="inlineStr">
        <is>
          <t>The new living heart / Michael E. DeBakey, Antonio M. Gotto, Jr.</t>
        </is>
      </c>
      <c r="F1515" t="inlineStr">
        <is>
          <t>No</t>
        </is>
      </c>
      <c r="G1515" t="inlineStr">
        <is>
          <t>1</t>
        </is>
      </c>
      <c r="H1515" t="inlineStr">
        <is>
          <t>No</t>
        </is>
      </c>
      <c r="I1515" t="inlineStr">
        <is>
          <t>No</t>
        </is>
      </c>
      <c r="J1515" t="inlineStr">
        <is>
          <t>0</t>
        </is>
      </c>
      <c r="K1515" t="inlineStr">
        <is>
          <t>DeBakey, Michael E. (Michael Ellis), 1908-2008.</t>
        </is>
      </c>
      <c r="L1515" t="inlineStr">
        <is>
          <t>Holbrook, Mass. : Adams Media Corp., c1997.</t>
        </is>
      </c>
      <c r="M1515" t="inlineStr">
        <is>
          <t>1997</t>
        </is>
      </c>
      <c r="O1515" t="inlineStr">
        <is>
          <t>eng</t>
        </is>
      </c>
      <c r="P1515" t="inlineStr">
        <is>
          <t>mau</t>
        </is>
      </c>
      <c r="R1515" t="inlineStr">
        <is>
          <t xml:space="preserve">RC </t>
        </is>
      </c>
      <c r="S1515" t="n">
        <v>10</v>
      </c>
      <c r="T1515" t="n">
        <v>10</v>
      </c>
      <c r="U1515" t="inlineStr">
        <is>
          <t>2008-12-18</t>
        </is>
      </c>
      <c r="V1515" t="inlineStr">
        <is>
          <t>2008-12-18</t>
        </is>
      </c>
      <c r="W1515" t="inlineStr">
        <is>
          <t>1997-08-28</t>
        </is>
      </c>
      <c r="X1515" t="inlineStr">
        <is>
          <t>1997-08-28</t>
        </is>
      </c>
      <c r="Y1515" t="n">
        <v>535</v>
      </c>
      <c r="Z1515" t="n">
        <v>500</v>
      </c>
      <c r="AA1515" t="n">
        <v>517</v>
      </c>
      <c r="AB1515" t="n">
        <v>1</v>
      </c>
      <c r="AC1515" t="n">
        <v>1</v>
      </c>
      <c r="AD1515" t="n">
        <v>3</v>
      </c>
      <c r="AE1515" t="n">
        <v>5</v>
      </c>
      <c r="AF1515" t="n">
        <v>1</v>
      </c>
      <c r="AG1515" t="n">
        <v>2</v>
      </c>
      <c r="AH1515" t="n">
        <v>0</v>
      </c>
      <c r="AI1515" t="n">
        <v>1</v>
      </c>
      <c r="AJ1515" t="n">
        <v>3</v>
      </c>
      <c r="AK1515" t="n">
        <v>3</v>
      </c>
      <c r="AL1515" t="n">
        <v>0</v>
      </c>
      <c r="AM1515" t="n">
        <v>0</v>
      </c>
      <c r="AN1515" t="n">
        <v>0</v>
      </c>
      <c r="AO1515" t="n">
        <v>0</v>
      </c>
      <c r="AP1515" t="inlineStr">
        <is>
          <t>No</t>
        </is>
      </c>
      <c r="AQ1515" t="inlineStr">
        <is>
          <t>Yes</t>
        </is>
      </c>
      <c r="AR1515">
        <f>HYPERLINK("http://catalog.hathitrust.org/Record/009146862","HathiTrust Record")</f>
        <v/>
      </c>
      <c r="AS1515">
        <f>HYPERLINK("https://creighton-primo.hosted.exlibrisgroup.com/primo-explore/search?tab=default_tab&amp;search_scope=EVERYTHING&amp;vid=01CRU&amp;lang=en_US&amp;offset=0&amp;query=any,contains,991002759779702656","Catalog Record")</f>
        <v/>
      </c>
      <c r="AT1515">
        <f>HYPERLINK("http://www.worldcat.org/oclc/36201356","WorldCat Record")</f>
        <v/>
      </c>
      <c r="AU1515" t="inlineStr">
        <is>
          <t>3858387188:eng</t>
        </is>
      </c>
      <c r="AV1515" t="inlineStr">
        <is>
          <t>36201356</t>
        </is>
      </c>
      <c r="AW1515" t="inlineStr">
        <is>
          <t>991002759779702656</t>
        </is>
      </c>
      <c r="AX1515" t="inlineStr">
        <is>
          <t>991002759779702656</t>
        </is>
      </c>
      <c r="AY1515" t="inlineStr">
        <is>
          <t>2266745270002656</t>
        </is>
      </c>
      <c r="AZ1515" t="inlineStr">
        <is>
          <t>BOOK</t>
        </is>
      </c>
      <c r="BB1515" t="inlineStr">
        <is>
          <t>9781558507227</t>
        </is>
      </c>
      <c r="BC1515" t="inlineStr">
        <is>
          <t>32285003002416</t>
        </is>
      </c>
      <c r="BD1515" t="inlineStr">
        <is>
          <t>893524018</t>
        </is>
      </c>
    </row>
    <row r="1516">
      <c r="A1516" t="inlineStr">
        <is>
          <t>No</t>
        </is>
      </c>
      <c r="B1516" t="inlineStr">
        <is>
          <t>RC672 .L34</t>
        </is>
      </c>
      <c r="C1516" t="inlineStr">
        <is>
          <t>0                      RC 0672000L  34</t>
        </is>
      </c>
      <c r="D1516" t="inlineStr">
        <is>
          <t>Your heart and how to live with it / [by] Lawrence E. Lamb.</t>
        </is>
      </c>
      <c r="F1516" t="inlineStr">
        <is>
          <t>No</t>
        </is>
      </c>
      <c r="G1516" t="inlineStr">
        <is>
          <t>1</t>
        </is>
      </c>
      <c r="H1516" t="inlineStr">
        <is>
          <t>No</t>
        </is>
      </c>
      <c r="I1516" t="inlineStr">
        <is>
          <t>No</t>
        </is>
      </c>
      <c r="J1516" t="inlineStr">
        <is>
          <t>0</t>
        </is>
      </c>
      <c r="K1516" t="inlineStr">
        <is>
          <t>Lamb, Lawrence E.</t>
        </is>
      </c>
      <c r="L1516" t="inlineStr">
        <is>
          <t>New York : Viking Press, [1969]</t>
        </is>
      </c>
      <c r="M1516" t="inlineStr">
        <is>
          <t>1969</t>
        </is>
      </c>
      <c r="O1516" t="inlineStr">
        <is>
          <t>eng</t>
        </is>
      </c>
      <c r="P1516" t="inlineStr">
        <is>
          <t>nyu</t>
        </is>
      </c>
      <c r="R1516" t="inlineStr">
        <is>
          <t xml:space="preserve">RC </t>
        </is>
      </c>
      <c r="S1516" t="n">
        <v>2</v>
      </c>
      <c r="T1516" t="n">
        <v>2</v>
      </c>
      <c r="U1516" t="inlineStr">
        <is>
          <t>1997-09-30</t>
        </is>
      </c>
      <c r="V1516" t="inlineStr">
        <is>
          <t>1997-09-30</t>
        </is>
      </c>
      <c r="W1516" t="inlineStr">
        <is>
          <t>1992-04-03</t>
        </is>
      </c>
      <c r="X1516" t="inlineStr">
        <is>
          <t>1992-04-03</t>
        </is>
      </c>
      <c r="Y1516" t="n">
        <v>233</v>
      </c>
      <c r="Z1516" t="n">
        <v>219</v>
      </c>
      <c r="AA1516" t="n">
        <v>244</v>
      </c>
      <c r="AB1516" t="n">
        <v>5</v>
      </c>
      <c r="AC1516" t="n">
        <v>5</v>
      </c>
      <c r="AD1516" t="n">
        <v>3</v>
      </c>
      <c r="AE1516" t="n">
        <v>3</v>
      </c>
      <c r="AF1516" t="n">
        <v>0</v>
      </c>
      <c r="AG1516" t="n">
        <v>0</v>
      </c>
      <c r="AH1516" t="n">
        <v>0</v>
      </c>
      <c r="AI1516" t="n">
        <v>0</v>
      </c>
      <c r="AJ1516" t="n">
        <v>0</v>
      </c>
      <c r="AK1516" t="n">
        <v>0</v>
      </c>
      <c r="AL1516" t="n">
        <v>3</v>
      </c>
      <c r="AM1516" t="n">
        <v>3</v>
      </c>
      <c r="AN1516" t="n">
        <v>0</v>
      </c>
      <c r="AO1516" t="n">
        <v>0</v>
      </c>
      <c r="AP1516" t="inlineStr">
        <is>
          <t>No</t>
        </is>
      </c>
      <c r="AQ1516" t="inlineStr">
        <is>
          <t>Yes</t>
        </is>
      </c>
      <c r="AR1516">
        <f>HYPERLINK("http://catalog.hathitrust.org/Record/006203521","HathiTrust Record")</f>
        <v/>
      </c>
      <c r="AS1516">
        <f>HYPERLINK("https://creighton-primo.hosted.exlibrisgroup.com/primo-explore/search?tab=default_tab&amp;search_scope=EVERYTHING&amp;vid=01CRU&amp;lang=en_US&amp;offset=0&amp;query=any,contains,991000053799702656","Catalog Record")</f>
        <v/>
      </c>
      <c r="AT1516">
        <f>HYPERLINK("http://www.worldcat.org/oclc/23089","WorldCat Record")</f>
        <v/>
      </c>
      <c r="AU1516" t="inlineStr">
        <is>
          <t>1145251:eng</t>
        </is>
      </c>
      <c r="AV1516" t="inlineStr">
        <is>
          <t>23089</t>
        </is>
      </c>
      <c r="AW1516" t="inlineStr">
        <is>
          <t>991000053799702656</t>
        </is>
      </c>
      <c r="AX1516" t="inlineStr">
        <is>
          <t>991000053799702656</t>
        </is>
      </c>
      <c r="AY1516" t="inlineStr">
        <is>
          <t>2265420650002656</t>
        </is>
      </c>
      <c r="AZ1516" t="inlineStr">
        <is>
          <t>BOOK</t>
        </is>
      </c>
      <c r="BC1516" t="inlineStr">
        <is>
          <t>32285001033199</t>
        </is>
      </c>
      <c r="BD1516" t="inlineStr">
        <is>
          <t>893589083</t>
        </is>
      </c>
    </row>
    <row r="1517">
      <c r="A1517" t="inlineStr">
        <is>
          <t>No</t>
        </is>
      </c>
      <c r="B1517" t="inlineStr">
        <is>
          <t>RC674 .S9</t>
        </is>
      </c>
      <c r="C1517" t="inlineStr">
        <is>
          <t>0                      RC 0674000S  9</t>
        </is>
      </c>
      <c r="D1517" t="inlineStr">
        <is>
          <t>Monitoring heart rhythm / Charles P. Summerall III, J. Mangiaracina, Jan McNeely.</t>
        </is>
      </c>
      <c r="F1517" t="inlineStr">
        <is>
          <t>No</t>
        </is>
      </c>
      <c r="G1517" t="inlineStr">
        <is>
          <t>1</t>
        </is>
      </c>
      <c r="H1517" t="inlineStr">
        <is>
          <t>Yes</t>
        </is>
      </c>
      <c r="I1517" t="inlineStr">
        <is>
          <t>No</t>
        </is>
      </c>
      <c r="J1517" t="inlineStr">
        <is>
          <t>0</t>
        </is>
      </c>
      <c r="K1517" t="inlineStr">
        <is>
          <t>Summerall, Charles P.</t>
        </is>
      </c>
      <c r="L1517" t="inlineStr">
        <is>
          <t>New York : Wiley, c1976.</t>
        </is>
      </c>
      <c r="M1517" t="inlineStr">
        <is>
          <t>1976</t>
        </is>
      </c>
      <c r="O1517" t="inlineStr">
        <is>
          <t>eng</t>
        </is>
      </c>
      <c r="P1517" t="inlineStr">
        <is>
          <t>nyu</t>
        </is>
      </c>
      <c r="Q1517" t="inlineStr">
        <is>
          <t>A Wiley biomedical publication</t>
        </is>
      </c>
      <c r="R1517" t="inlineStr">
        <is>
          <t xml:space="preserve">RC </t>
        </is>
      </c>
      <c r="S1517" t="n">
        <v>0</v>
      </c>
      <c r="T1517" t="n">
        <v>11</v>
      </c>
      <c r="V1517" t="inlineStr">
        <is>
          <t>1996-07-23</t>
        </is>
      </c>
      <c r="W1517" t="inlineStr">
        <is>
          <t>1990-04-09</t>
        </is>
      </c>
      <c r="X1517" t="inlineStr">
        <is>
          <t>1990-04-09</t>
        </is>
      </c>
      <c r="Y1517" t="n">
        <v>91</v>
      </c>
      <c r="Z1517" t="n">
        <v>63</v>
      </c>
      <c r="AA1517" t="n">
        <v>153</v>
      </c>
      <c r="AB1517" t="n">
        <v>3</v>
      </c>
      <c r="AC1517" t="n">
        <v>3</v>
      </c>
      <c r="AD1517" t="n">
        <v>2</v>
      </c>
      <c r="AE1517" t="n">
        <v>2</v>
      </c>
      <c r="AF1517" t="n">
        <v>0</v>
      </c>
      <c r="AG1517" t="n">
        <v>0</v>
      </c>
      <c r="AH1517" t="n">
        <v>0</v>
      </c>
      <c r="AI1517" t="n">
        <v>0</v>
      </c>
      <c r="AJ1517" t="n">
        <v>1</v>
      </c>
      <c r="AK1517" t="n">
        <v>1</v>
      </c>
      <c r="AL1517" t="n">
        <v>1</v>
      </c>
      <c r="AM1517" t="n">
        <v>1</v>
      </c>
      <c r="AN1517" t="n">
        <v>0</v>
      </c>
      <c r="AO1517" t="n">
        <v>0</v>
      </c>
      <c r="AP1517" t="inlineStr">
        <is>
          <t>No</t>
        </is>
      </c>
      <c r="AQ1517" t="inlineStr">
        <is>
          <t>No</t>
        </is>
      </c>
      <c r="AS1517">
        <f>HYPERLINK("https://creighton-primo.hosted.exlibrisgroup.com/primo-explore/search?tab=default_tab&amp;search_scope=EVERYTHING&amp;vid=01CRU&amp;lang=en_US&amp;offset=0&amp;query=any,contains,991001791579702656","Catalog Record")</f>
        <v/>
      </c>
      <c r="AT1517">
        <f>HYPERLINK("http://www.worldcat.org/oclc/1974277","WorldCat Record")</f>
        <v/>
      </c>
      <c r="AU1517" t="inlineStr">
        <is>
          <t>580845:eng</t>
        </is>
      </c>
      <c r="AV1517" t="inlineStr">
        <is>
          <t>1974277</t>
        </is>
      </c>
      <c r="AW1517" t="inlineStr">
        <is>
          <t>991001791579702656</t>
        </is>
      </c>
      <c r="AX1517" t="inlineStr">
        <is>
          <t>991001791579702656</t>
        </is>
      </c>
      <c r="AY1517" t="inlineStr">
        <is>
          <t>2265596650002656</t>
        </is>
      </c>
      <c r="AZ1517" t="inlineStr">
        <is>
          <t>BOOK</t>
        </is>
      </c>
      <c r="BB1517" t="inlineStr">
        <is>
          <t>9780471835561</t>
        </is>
      </c>
      <c r="BC1517" t="inlineStr">
        <is>
          <t>32285000112994</t>
        </is>
      </c>
      <c r="BD1517" t="inlineStr">
        <is>
          <t>893426868</t>
        </is>
      </c>
    </row>
    <row r="1518">
      <c r="A1518" t="inlineStr">
        <is>
          <t>No</t>
        </is>
      </c>
      <c r="B1518" t="inlineStr">
        <is>
          <t>RC681 .H794 1988</t>
        </is>
      </c>
      <c r="C1518" t="inlineStr">
        <is>
          <t>0                      RC 0681000H  794         1988</t>
        </is>
      </c>
      <c r="D1518" t="inlineStr">
        <is>
          <t>Heartbeat : a complete guide to understanding and preventing heart disease / Emmanuel Horovitz ; illustrations by Therese Trebaol.</t>
        </is>
      </c>
      <c r="F1518" t="inlineStr">
        <is>
          <t>No</t>
        </is>
      </c>
      <c r="G1518" t="inlineStr">
        <is>
          <t>1</t>
        </is>
      </c>
      <c r="H1518" t="inlineStr">
        <is>
          <t>No</t>
        </is>
      </c>
      <c r="I1518" t="inlineStr">
        <is>
          <t>No</t>
        </is>
      </c>
      <c r="J1518" t="inlineStr">
        <is>
          <t>0</t>
        </is>
      </c>
      <c r="K1518" t="inlineStr">
        <is>
          <t>Horovitz, Emmanuel.</t>
        </is>
      </c>
      <c r="L1518" t="inlineStr">
        <is>
          <t>Los Angeles : Health Trend Pub., c1988.</t>
        </is>
      </c>
      <c r="M1518" t="inlineStr">
        <is>
          <t>1988</t>
        </is>
      </c>
      <c r="O1518" t="inlineStr">
        <is>
          <t>eng</t>
        </is>
      </c>
      <c r="P1518" t="inlineStr">
        <is>
          <t>cau</t>
        </is>
      </c>
      <c r="R1518" t="inlineStr">
        <is>
          <t xml:space="preserve">RC </t>
        </is>
      </c>
      <c r="S1518" t="n">
        <v>12</v>
      </c>
      <c r="T1518" t="n">
        <v>12</v>
      </c>
      <c r="U1518" t="inlineStr">
        <is>
          <t>1995-02-10</t>
        </is>
      </c>
      <c r="V1518" t="inlineStr">
        <is>
          <t>1995-02-10</t>
        </is>
      </c>
      <c r="W1518" t="inlineStr">
        <is>
          <t>1995-03-28</t>
        </is>
      </c>
      <c r="X1518" t="inlineStr">
        <is>
          <t>1995-03-28</t>
        </is>
      </c>
      <c r="Y1518" t="n">
        <v>270</v>
      </c>
      <c r="Z1518" t="n">
        <v>267</v>
      </c>
      <c r="AA1518" t="n">
        <v>273</v>
      </c>
      <c r="AB1518" t="n">
        <v>1</v>
      </c>
      <c r="AC1518" t="n">
        <v>1</v>
      </c>
      <c r="AD1518" t="n">
        <v>1</v>
      </c>
      <c r="AE1518" t="n">
        <v>1</v>
      </c>
      <c r="AF1518" t="n">
        <v>0</v>
      </c>
      <c r="AG1518" t="n">
        <v>0</v>
      </c>
      <c r="AH1518" t="n">
        <v>1</v>
      </c>
      <c r="AI1518" t="n">
        <v>1</v>
      </c>
      <c r="AJ1518" t="n">
        <v>1</v>
      </c>
      <c r="AK1518" t="n">
        <v>1</v>
      </c>
      <c r="AL1518" t="n">
        <v>0</v>
      </c>
      <c r="AM1518" t="n">
        <v>0</v>
      </c>
      <c r="AN1518" t="n">
        <v>0</v>
      </c>
      <c r="AO1518" t="n">
        <v>0</v>
      </c>
      <c r="AP1518" t="inlineStr">
        <is>
          <t>No</t>
        </is>
      </c>
      <c r="AQ1518" t="inlineStr">
        <is>
          <t>Yes</t>
        </is>
      </c>
      <c r="AR1518">
        <f>HYPERLINK("http://catalog.hathitrust.org/Record/007067963","HathiTrust Record")</f>
        <v/>
      </c>
      <c r="AS1518">
        <f>HYPERLINK("https://creighton-primo.hosted.exlibrisgroup.com/primo-explore/search?tab=default_tab&amp;search_scope=EVERYTHING&amp;vid=01CRU&amp;lang=en_US&amp;offset=0&amp;query=any,contains,991001278659702656","Catalog Record")</f>
        <v/>
      </c>
      <c r="AT1518">
        <f>HYPERLINK("http://www.worldcat.org/oclc/17889319","WorldCat Record")</f>
        <v/>
      </c>
      <c r="AU1518" t="inlineStr">
        <is>
          <t>16994440:eng</t>
        </is>
      </c>
      <c r="AV1518" t="inlineStr">
        <is>
          <t>17889319</t>
        </is>
      </c>
      <c r="AW1518" t="inlineStr">
        <is>
          <t>991001278659702656</t>
        </is>
      </c>
      <c r="AX1518" t="inlineStr">
        <is>
          <t>991001278659702656</t>
        </is>
      </c>
      <c r="AY1518" t="inlineStr">
        <is>
          <t>2269224060002656</t>
        </is>
      </c>
      <c r="AZ1518" t="inlineStr">
        <is>
          <t>BOOK</t>
        </is>
      </c>
      <c r="BB1518" t="inlineStr">
        <is>
          <t>9780961932961</t>
        </is>
      </c>
      <c r="BC1518" t="inlineStr">
        <is>
          <t>32285002020666</t>
        </is>
      </c>
      <c r="BD1518" t="inlineStr">
        <is>
          <t>893608731</t>
        </is>
      </c>
    </row>
    <row r="1519">
      <c r="A1519" t="inlineStr">
        <is>
          <t>No</t>
        </is>
      </c>
      <c r="B1519" t="inlineStr">
        <is>
          <t>RC682 .A45 1978</t>
        </is>
      </c>
      <c r="C1519" t="inlineStr">
        <is>
          <t>0                      RC 0682000A  45          1978</t>
        </is>
      </c>
      <c r="D1519" t="inlineStr">
        <is>
          <t>Nutrition and heart disease / edited by Herbert K. Naito.</t>
        </is>
      </c>
      <c r="F1519" t="inlineStr">
        <is>
          <t>No</t>
        </is>
      </c>
      <c r="G1519" t="inlineStr">
        <is>
          <t>1</t>
        </is>
      </c>
      <c r="H1519" t="inlineStr">
        <is>
          <t>No</t>
        </is>
      </c>
      <c r="I1519" t="inlineStr">
        <is>
          <t>No</t>
        </is>
      </c>
      <c r="J1519" t="inlineStr">
        <is>
          <t>0</t>
        </is>
      </c>
      <c r="K1519" t="inlineStr">
        <is>
          <t>American College of Nutrition (U.S.). Meeting (19th : 1978 : Bloomington, Minn.)</t>
        </is>
      </c>
      <c r="L1519" t="inlineStr">
        <is>
          <t>New York : Spectrum Publications, c1982.</t>
        </is>
      </c>
      <c r="M1519" t="inlineStr">
        <is>
          <t>1982</t>
        </is>
      </c>
      <c r="O1519" t="inlineStr">
        <is>
          <t>eng</t>
        </is>
      </c>
      <c r="P1519" t="inlineStr">
        <is>
          <t>nyu</t>
        </is>
      </c>
      <c r="Q1519" t="inlineStr">
        <is>
          <t>Monographs of the American College of Nutrition ; v. 5</t>
        </is>
      </c>
      <c r="R1519" t="inlineStr">
        <is>
          <t xml:space="preserve">RC </t>
        </is>
      </c>
      <c r="S1519" t="n">
        <v>12</v>
      </c>
      <c r="T1519" t="n">
        <v>12</v>
      </c>
      <c r="U1519" t="inlineStr">
        <is>
          <t>1999-10-02</t>
        </is>
      </c>
      <c r="V1519" t="inlineStr">
        <is>
          <t>1999-10-02</t>
        </is>
      </c>
      <c r="W1519" t="inlineStr">
        <is>
          <t>1992-10-19</t>
        </is>
      </c>
      <c r="X1519" t="inlineStr">
        <is>
          <t>1992-10-19</t>
        </is>
      </c>
      <c r="Y1519" t="n">
        <v>127</v>
      </c>
      <c r="Z1519" t="n">
        <v>110</v>
      </c>
      <c r="AA1519" t="n">
        <v>147</v>
      </c>
      <c r="AB1519" t="n">
        <v>1</v>
      </c>
      <c r="AC1519" t="n">
        <v>1</v>
      </c>
      <c r="AD1519" t="n">
        <v>0</v>
      </c>
      <c r="AE1519" t="n">
        <v>1</v>
      </c>
      <c r="AF1519" t="n">
        <v>0</v>
      </c>
      <c r="AG1519" t="n">
        <v>0</v>
      </c>
      <c r="AH1519" t="n">
        <v>0</v>
      </c>
      <c r="AI1519" t="n">
        <v>1</v>
      </c>
      <c r="AJ1519" t="n">
        <v>0</v>
      </c>
      <c r="AK1519" t="n">
        <v>0</v>
      </c>
      <c r="AL1519" t="n">
        <v>0</v>
      </c>
      <c r="AM1519" t="n">
        <v>0</v>
      </c>
      <c r="AN1519" t="n">
        <v>0</v>
      </c>
      <c r="AO1519" t="n">
        <v>0</v>
      </c>
      <c r="AP1519" t="inlineStr">
        <is>
          <t>No</t>
        </is>
      </c>
      <c r="AQ1519" t="inlineStr">
        <is>
          <t>Yes</t>
        </is>
      </c>
      <c r="AR1519">
        <f>HYPERLINK("http://catalog.hathitrust.org/Record/000315496","HathiTrust Record")</f>
        <v/>
      </c>
      <c r="AS1519">
        <f>HYPERLINK("https://creighton-primo.hosted.exlibrisgroup.com/primo-explore/search?tab=default_tab&amp;search_scope=EVERYTHING&amp;vid=01CRU&amp;lang=en_US&amp;offset=0&amp;query=any,contains,991005035869702656","Catalog Record")</f>
        <v/>
      </c>
      <c r="AT1519">
        <f>HYPERLINK("http://www.worldcat.org/oclc/6761282","WorldCat Record")</f>
        <v/>
      </c>
      <c r="AU1519" t="inlineStr">
        <is>
          <t>550008:eng</t>
        </is>
      </c>
      <c r="AV1519" t="inlineStr">
        <is>
          <t>6761282</t>
        </is>
      </c>
      <c r="AW1519" t="inlineStr">
        <is>
          <t>991005035869702656</t>
        </is>
      </c>
      <c r="AX1519" t="inlineStr">
        <is>
          <t>991005035869702656</t>
        </is>
      </c>
      <c r="AY1519" t="inlineStr">
        <is>
          <t>2260936290002656</t>
        </is>
      </c>
      <c r="AZ1519" t="inlineStr">
        <is>
          <t>BOOK</t>
        </is>
      </c>
      <c r="BB1519" t="inlineStr">
        <is>
          <t>9780893351199</t>
        </is>
      </c>
      <c r="BC1519" t="inlineStr">
        <is>
          <t>32285001351880</t>
        </is>
      </c>
      <c r="BD1519" t="inlineStr">
        <is>
          <t>893332309</t>
        </is>
      </c>
    </row>
    <row r="1520">
      <c r="A1520" t="inlineStr">
        <is>
          <t>No</t>
        </is>
      </c>
      <c r="B1520" t="inlineStr">
        <is>
          <t>RC682 .L85</t>
        </is>
      </c>
      <c r="C1520" t="inlineStr">
        <is>
          <t>0                      RC 0682000L  85</t>
        </is>
      </c>
      <c r="D1520" t="inlineStr">
        <is>
          <t>The broken heart : the medical consequences of loneliness / James J. Lynch.</t>
        </is>
      </c>
      <c r="F1520" t="inlineStr">
        <is>
          <t>No</t>
        </is>
      </c>
      <c r="G1520" t="inlineStr">
        <is>
          <t>1</t>
        </is>
      </c>
      <c r="H1520" t="inlineStr">
        <is>
          <t>Yes</t>
        </is>
      </c>
      <c r="I1520" t="inlineStr">
        <is>
          <t>No</t>
        </is>
      </c>
      <c r="J1520" t="inlineStr">
        <is>
          <t>0</t>
        </is>
      </c>
      <c r="K1520" t="inlineStr">
        <is>
          <t>Lynch, James J., 1938-</t>
        </is>
      </c>
      <c r="L1520" t="inlineStr">
        <is>
          <t>New York : Basic Books, c1977.</t>
        </is>
      </c>
      <c r="M1520" t="inlineStr">
        <is>
          <t>1977</t>
        </is>
      </c>
      <c r="O1520" t="inlineStr">
        <is>
          <t>eng</t>
        </is>
      </c>
      <c r="P1520" t="inlineStr">
        <is>
          <t>nyu</t>
        </is>
      </c>
      <c r="R1520" t="inlineStr">
        <is>
          <t xml:space="preserve">RC </t>
        </is>
      </c>
      <c r="S1520" t="n">
        <v>1</v>
      </c>
      <c r="T1520" t="n">
        <v>6</v>
      </c>
      <c r="V1520" t="inlineStr">
        <is>
          <t>1990-03-26</t>
        </is>
      </c>
      <c r="W1520" t="inlineStr">
        <is>
          <t>1997-08-12</t>
        </is>
      </c>
      <c r="X1520" t="inlineStr">
        <is>
          <t>1997-08-12</t>
        </is>
      </c>
      <c r="Y1520" t="n">
        <v>999</v>
      </c>
      <c r="Z1520" t="n">
        <v>873</v>
      </c>
      <c r="AA1520" t="n">
        <v>954</v>
      </c>
      <c r="AB1520" t="n">
        <v>10</v>
      </c>
      <c r="AC1520" t="n">
        <v>10</v>
      </c>
      <c r="AD1520" t="n">
        <v>31</v>
      </c>
      <c r="AE1520" t="n">
        <v>34</v>
      </c>
      <c r="AF1520" t="n">
        <v>9</v>
      </c>
      <c r="AG1520" t="n">
        <v>11</v>
      </c>
      <c r="AH1520" t="n">
        <v>7</v>
      </c>
      <c r="AI1520" t="n">
        <v>8</v>
      </c>
      <c r="AJ1520" t="n">
        <v>16</v>
      </c>
      <c r="AK1520" t="n">
        <v>17</v>
      </c>
      <c r="AL1520" t="n">
        <v>5</v>
      </c>
      <c r="AM1520" t="n">
        <v>5</v>
      </c>
      <c r="AN1520" t="n">
        <v>0</v>
      </c>
      <c r="AO1520" t="n">
        <v>0</v>
      </c>
      <c r="AP1520" t="inlineStr">
        <is>
          <t>No</t>
        </is>
      </c>
      <c r="AQ1520" t="inlineStr">
        <is>
          <t>Yes</t>
        </is>
      </c>
      <c r="AR1520">
        <f>HYPERLINK("http://catalog.hathitrust.org/Record/000173250","HathiTrust Record")</f>
        <v/>
      </c>
      <c r="AS1520">
        <f>HYPERLINK("https://creighton-primo.hosted.exlibrisgroup.com/primo-explore/search?tab=default_tab&amp;search_scope=EVERYTHING&amp;vid=01CRU&amp;lang=en_US&amp;offset=0&amp;query=any,contains,991001790749702656","Catalog Record")</f>
        <v/>
      </c>
      <c r="AT1520">
        <f>HYPERLINK("http://www.worldcat.org/oclc/2797972","WorldCat Record")</f>
        <v/>
      </c>
      <c r="AU1520" t="inlineStr">
        <is>
          <t>6346259:eng</t>
        </is>
      </c>
      <c r="AV1520" t="inlineStr">
        <is>
          <t>2797972</t>
        </is>
      </c>
      <c r="AW1520" t="inlineStr">
        <is>
          <t>991001790749702656</t>
        </is>
      </c>
      <c r="AX1520" t="inlineStr">
        <is>
          <t>991001790749702656</t>
        </is>
      </c>
      <c r="AY1520" t="inlineStr">
        <is>
          <t>2266149170002656</t>
        </is>
      </c>
      <c r="AZ1520" t="inlineStr">
        <is>
          <t>BOOK</t>
        </is>
      </c>
      <c r="BB1520" t="inlineStr">
        <is>
          <t>9780465007721</t>
        </is>
      </c>
      <c r="BC1520" t="inlineStr">
        <is>
          <t>32285003092888</t>
        </is>
      </c>
      <c r="BD1520" t="inlineStr">
        <is>
          <t>893684653</t>
        </is>
      </c>
    </row>
    <row r="1521">
      <c r="A1521" t="inlineStr">
        <is>
          <t>No</t>
        </is>
      </c>
      <c r="B1521" t="inlineStr">
        <is>
          <t>RC682 .L86 1985</t>
        </is>
      </c>
      <c r="C1521" t="inlineStr">
        <is>
          <t>0                      RC 0682000L  86          1985</t>
        </is>
      </c>
      <c r="D1521" t="inlineStr">
        <is>
          <t>The language of the heart : the body's response to human dialogue / James J. Lynch.</t>
        </is>
      </c>
      <c r="F1521" t="inlineStr">
        <is>
          <t>No</t>
        </is>
      </c>
      <c r="G1521" t="inlineStr">
        <is>
          <t>1</t>
        </is>
      </c>
      <c r="H1521" t="inlineStr">
        <is>
          <t>No</t>
        </is>
      </c>
      <c r="I1521" t="inlineStr">
        <is>
          <t>No</t>
        </is>
      </c>
      <c r="J1521" t="inlineStr">
        <is>
          <t>0</t>
        </is>
      </c>
      <c r="K1521" t="inlineStr">
        <is>
          <t>Lynch, James J., 1938-</t>
        </is>
      </c>
      <c r="L1521" t="inlineStr">
        <is>
          <t>New York : Basic Books, c1985.</t>
        </is>
      </c>
      <c r="M1521" t="inlineStr">
        <is>
          <t>1985</t>
        </is>
      </c>
      <c r="O1521" t="inlineStr">
        <is>
          <t>eng</t>
        </is>
      </c>
      <c r="P1521" t="inlineStr">
        <is>
          <t>nyu</t>
        </is>
      </c>
      <c r="R1521" t="inlineStr">
        <is>
          <t xml:space="preserve">RC </t>
        </is>
      </c>
      <c r="S1521" t="n">
        <v>8</v>
      </c>
      <c r="T1521" t="n">
        <v>8</v>
      </c>
      <c r="U1521" t="inlineStr">
        <is>
          <t>1997-09-03</t>
        </is>
      </c>
      <c r="V1521" t="inlineStr">
        <is>
          <t>1997-09-03</t>
        </is>
      </c>
      <c r="W1521" t="inlineStr">
        <is>
          <t>1990-06-13</t>
        </is>
      </c>
      <c r="X1521" t="inlineStr">
        <is>
          <t>1990-06-13</t>
        </is>
      </c>
      <c r="Y1521" t="n">
        <v>709</v>
      </c>
      <c r="Z1521" t="n">
        <v>655</v>
      </c>
      <c r="AA1521" t="n">
        <v>672</v>
      </c>
      <c r="AB1521" t="n">
        <v>4</v>
      </c>
      <c r="AC1521" t="n">
        <v>4</v>
      </c>
      <c r="AD1521" t="n">
        <v>16</v>
      </c>
      <c r="AE1521" t="n">
        <v>17</v>
      </c>
      <c r="AF1521" t="n">
        <v>6</v>
      </c>
      <c r="AG1521" t="n">
        <v>7</v>
      </c>
      <c r="AH1521" t="n">
        <v>4</v>
      </c>
      <c r="AI1521" t="n">
        <v>4</v>
      </c>
      <c r="AJ1521" t="n">
        <v>9</v>
      </c>
      <c r="AK1521" t="n">
        <v>9</v>
      </c>
      <c r="AL1521" t="n">
        <v>2</v>
      </c>
      <c r="AM1521" t="n">
        <v>2</v>
      </c>
      <c r="AN1521" t="n">
        <v>0</v>
      </c>
      <c r="AO1521" t="n">
        <v>0</v>
      </c>
      <c r="AP1521" t="inlineStr">
        <is>
          <t>No</t>
        </is>
      </c>
      <c r="AQ1521" t="inlineStr">
        <is>
          <t>No</t>
        </is>
      </c>
      <c r="AS1521">
        <f>HYPERLINK("https://creighton-primo.hosted.exlibrisgroup.com/primo-explore/search?tab=default_tab&amp;search_scope=EVERYTHING&amp;vid=01CRU&amp;lang=en_US&amp;offset=0&amp;query=any,contains,991000538139702656","Catalog Record")</f>
        <v/>
      </c>
      <c r="AT1521">
        <f>HYPERLINK("http://www.worldcat.org/oclc/11468375","WorldCat Record")</f>
        <v/>
      </c>
      <c r="AU1521" t="inlineStr">
        <is>
          <t>61026304:eng</t>
        </is>
      </c>
      <c r="AV1521" t="inlineStr">
        <is>
          <t>11468375</t>
        </is>
      </c>
      <c r="AW1521" t="inlineStr">
        <is>
          <t>991000538139702656</t>
        </is>
      </c>
      <c r="AX1521" t="inlineStr">
        <is>
          <t>991000538139702656</t>
        </is>
      </c>
      <c r="AY1521" t="inlineStr">
        <is>
          <t>2264734200002656</t>
        </is>
      </c>
      <c r="AZ1521" t="inlineStr">
        <is>
          <t>BOOK</t>
        </is>
      </c>
      <c r="BB1521" t="inlineStr">
        <is>
          <t>9780465037957</t>
        </is>
      </c>
      <c r="BC1521" t="inlineStr">
        <is>
          <t>32285000191626</t>
        </is>
      </c>
      <c r="BD1521" t="inlineStr">
        <is>
          <t>893601835</t>
        </is>
      </c>
    </row>
    <row r="1522">
      <c r="A1522" t="inlineStr">
        <is>
          <t>No</t>
        </is>
      </c>
      <c r="B1522" t="inlineStr">
        <is>
          <t>RC682 .R39 1985</t>
        </is>
      </c>
      <c r="C1522" t="inlineStr">
        <is>
          <t>0                      RC 0682000R  39          1985</t>
        </is>
      </c>
      <c r="D1522" t="inlineStr">
        <is>
          <t>Helping cardiac patients / Andrew M. Razin and associates.</t>
        </is>
      </c>
      <c r="F1522" t="inlineStr">
        <is>
          <t>No</t>
        </is>
      </c>
      <c r="G1522" t="inlineStr">
        <is>
          <t>1</t>
        </is>
      </c>
      <c r="H1522" t="inlineStr">
        <is>
          <t>Yes</t>
        </is>
      </c>
      <c r="I1522" t="inlineStr">
        <is>
          <t>No</t>
        </is>
      </c>
      <c r="J1522" t="inlineStr">
        <is>
          <t>0</t>
        </is>
      </c>
      <c r="K1522" t="inlineStr">
        <is>
          <t>Razin, Andrew M.</t>
        </is>
      </c>
      <c r="L1522" t="inlineStr">
        <is>
          <t>San Francisco : Jossey-Bass, 1985.</t>
        </is>
      </c>
      <c r="M1522" t="inlineStr">
        <is>
          <t>1985</t>
        </is>
      </c>
      <c r="N1522" t="inlineStr">
        <is>
          <t>1st ed.</t>
        </is>
      </c>
      <c r="O1522" t="inlineStr">
        <is>
          <t>eng</t>
        </is>
      </c>
      <c r="P1522" t="inlineStr">
        <is>
          <t>cau</t>
        </is>
      </c>
      <c r="Q1522" t="inlineStr">
        <is>
          <t>A Joint publication in the Jossey-Bass social and behavioral science series and the Jossey-Bass health series</t>
        </is>
      </c>
      <c r="R1522" t="inlineStr">
        <is>
          <t xml:space="preserve">RC </t>
        </is>
      </c>
      <c r="S1522" t="n">
        <v>5</v>
      </c>
      <c r="T1522" t="n">
        <v>5</v>
      </c>
      <c r="U1522" t="inlineStr">
        <is>
          <t>1993-04-02</t>
        </is>
      </c>
      <c r="V1522" t="inlineStr">
        <is>
          <t>1993-04-02</t>
        </is>
      </c>
      <c r="W1522" t="inlineStr">
        <is>
          <t>1992-02-13</t>
        </is>
      </c>
      <c r="X1522" t="inlineStr">
        <is>
          <t>1992-02-13</t>
        </is>
      </c>
      <c r="Y1522" t="n">
        <v>199</v>
      </c>
      <c r="Z1522" t="n">
        <v>160</v>
      </c>
      <c r="AA1522" t="n">
        <v>162</v>
      </c>
      <c r="AB1522" t="n">
        <v>2</v>
      </c>
      <c r="AC1522" t="n">
        <v>2</v>
      </c>
      <c r="AD1522" t="n">
        <v>4</v>
      </c>
      <c r="AE1522" t="n">
        <v>4</v>
      </c>
      <c r="AF1522" t="n">
        <v>0</v>
      </c>
      <c r="AG1522" t="n">
        <v>0</v>
      </c>
      <c r="AH1522" t="n">
        <v>1</v>
      </c>
      <c r="AI1522" t="n">
        <v>1</v>
      </c>
      <c r="AJ1522" t="n">
        <v>4</v>
      </c>
      <c r="AK1522" t="n">
        <v>4</v>
      </c>
      <c r="AL1522" t="n">
        <v>0</v>
      </c>
      <c r="AM1522" t="n">
        <v>0</v>
      </c>
      <c r="AN1522" t="n">
        <v>0</v>
      </c>
      <c r="AO1522" t="n">
        <v>0</v>
      </c>
      <c r="AP1522" t="inlineStr">
        <is>
          <t>No</t>
        </is>
      </c>
      <c r="AQ1522" t="inlineStr">
        <is>
          <t>Yes</t>
        </is>
      </c>
      <c r="AR1522">
        <f>HYPERLINK("http://catalog.hathitrust.org/Record/000383911","HathiTrust Record")</f>
        <v/>
      </c>
      <c r="AS1522">
        <f>HYPERLINK("https://creighton-primo.hosted.exlibrisgroup.com/primo-explore/search?tab=default_tab&amp;search_scope=EVERYTHING&amp;vid=01CRU&amp;lang=en_US&amp;offset=0&amp;query=any,contains,991000531809702656","Catalog Record")</f>
        <v/>
      </c>
      <c r="AT1522">
        <f>HYPERLINK("http://www.worldcat.org/oclc/11399894","WorldCat Record")</f>
        <v/>
      </c>
      <c r="AU1522" t="inlineStr">
        <is>
          <t>4242647:eng</t>
        </is>
      </c>
      <c r="AV1522" t="inlineStr">
        <is>
          <t>11399894</t>
        </is>
      </c>
      <c r="AW1522" t="inlineStr">
        <is>
          <t>991000531809702656</t>
        </is>
      </c>
      <c r="AX1522" t="inlineStr">
        <is>
          <t>991000531809702656</t>
        </is>
      </c>
      <c r="AY1522" t="inlineStr">
        <is>
          <t>2268374190002656</t>
        </is>
      </c>
      <c r="AZ1522" t="inlineStr">
        <is>
          <t>BOOK</t>
        </is>
      </c>
      <c r="BB1522" t="inlineStr">
        <is>
          <t>9780875896274</t>
        </is>
      </c>
      <c r="BC1522" t="inlineStr">
        <is>
          <t>32285000980556</t>
        </is>
      </c>
      <c r="BD1522" t="inlineStr">
        <is>
          <t>893720722</t>
        </is>
      </c>
    </row>
    <row r="1523">
      <c r="A1523" t="inlineStr">
        <is>
          <t>No</t>
        </is>
      </c>
      <c r="B1523" t="inlineStr">
        <is>
          <t>RC682 .W54 1988</t>
        </is>
      </c>
      <c r="C1523" t="inlineStr">
        <is>
          <t>0                      RC 0682000W  54          1988</t>
        </is>
      </c>
      <c r="D1523" t="inlineStr">
        <is>
          <t>Cardiac rehabilitation, adult fitness, and exercise testing / Paul S. Fardy, Frank G. Yanowitz, Philip K. Wilson.</t>
        </is>
      </c>
      <c r="F1523" t="inlineStr">
        <is>
          <t>No</t>
        </is>
      </c>
      <c r="G1523" t="inlineStr">
        <is>
          <t>1</t>
        </is>
      </c>
      <c r="H1523" t="inlineStr">
        <is>
          <t>Yes</t>
        </is>
      </c>
      <c r="I1523" t="inlineStr">
        <is>
          <t>Yes</t>
        </is>
      </c>
      <c r="J1523" t="inlineStr">
        <is>
          <t>0</t>
        </is>
      </c>
      <c r="K1523" t="inlineStr">
        <is>
          <t>Fardy, Paul S.</t>
        </is>
      </c>
      <c r="L1523" t="inlineStr">
        <is>
          <t>Philadelphia : Lea &amp; Febiger, 1988.</t>
        </is>
      </c>
      <c r="M1523" t="inlineStr">
        <is>
          <t>1988</t>
        </is>
      </c>
      <c r="N1523" t="inlineStr">
        <is>
          <t>2nd ed.</t>
        </is>
      </c>
      <c r="O1523" t="inlineStr">
        <is>
          <t>eng</t>
        </is>
      </c>
      <c r="P1523" t="inlineStr">
        <is>
          <t>pau</t>
        </is>
      </c>
      <c r="R1523" t="inlineStr">
        <is>
          <t xml:space="preserve">RC </t>
        </is>
      </c>
      <c r="S1523" t="n">
        <v>13</v>
      </c>
      <c r="T1523" t="n">
        <v>13</v>
      </c>
      <c r="U1523" t="inlineStr">
        <is>
          <t>1997-10-11</t>
        </is>
      </c>
      <c r="V1523" t="inlineStr">
        <is>
          <t>1997-10-11</t>
        </is>
      </c>
      <c r="W1523" t="inlineStr">
        <is>
          <t>1990-07-25</t>
        </is>
      </c>
      <c r="X1523" t="inlineStr">
        <is>
          <t>1990-07-25</t>
        </is>
      </c>
      <c r="Y1523" t="n">
        <v>385</v>
      </c>
      <c r="Z1523" t="n">
        <v>309</v>
      </c>
      <c r="AA1523" t="n">
        <v>603</v>
      </c>
      <c r="AB1523" t="n">
        <v>4</v>
      </c>
      <c r="AC1523" t="n">
        <v>9</v>
      </c>
      <c r="AD1523" t="n">
        <v>9</v>
      </c>
      <c r="AE1523" t="n">
        <v>24</v>
      </c>
      <c r="AF1523" t="n">
        <v>4</v>
      </c>
      <c r="AG1523" t="n">
        <v>10</v>
      </c>
      <c r="AH1523" t="n">
        <v>2</v>
      </c>
      <c r="AI1523" t="n">
        <v>4</v>
      </c>
      <c r="AJ1523" t="n">
        <v>4</v>
      </c>
      <c r="AK1523" t="n">
        <v>10</v>
      </c>
      <c r="AL1523" t="n">
        <v>2</v>
      </c>
      <c r="AM1523" t="n">
        <v>6</v>
      </c>
      <c r="AN1523" t="n">
        <v>0</v>
      </c>
      <c r="AO1523" t="n">
        <v>0</v>
      </c>
      <c r="AP1523" t="inlineStr">
        <is>
          <t>No</t>
        </is>
      </c>
      <c r="AQ1523" t="inlineStr">
        <is>
          <t>Yes</t>
        </is>
      </c>
      <c r="AR1523">
        <f>HYPERLINK("http://catalog.hathitrust.org/Record/000901409","HathiTrust Record")</f>
        <v/>
      </c>
      <c r="AS1523">
        <f>HYPERLINK("https://creighton-primo.hosted.exlibrisgroup.com/primo-explore/search?tab=default_tab&amp;search_scope=EVERYTHING&amp;vid=01CRU&amp;lang=en_US&amp;offset=0&amp;query=any,contains,991001120229702656","Catalog Record")</f>
        <v/>
      </c>
      <c r="AT1523">
        <f>HYPERLINK("http://www.worldcat.org/oclc/16579536","WorldCat Record")</f>
        <v/>
      </c>
      <c r="AU1523" t="inlineStr">
        <is>
          <t>12429702:eng</t>
        </is>
      </c>
      <c r="AV1523" t="inlineStr">
        <is>
          <t>16579536</t>
        </is>
      </c>
      <c r="AW1523" t="inlineStr">
        <is>
          <t>991001120229702656</t>
        </is>
      </c>
      <c r="AX1523" t="inlineStr">
        <is>
          <t>991001120229702656</t>
        </is>
      </c>
      <c r="AY1523" t="inlineStr">
        <is>
          <t>2269827180002656</t>
        </is>
      </c>
      <c r="AZ1523" t="inlineStr">
        <is>
          <t>BOOK</t>
        </is>
      </c>
      <c r="BB1523" t="inlineStr">
        <is>
          <t>9780812111040</t>
        </is>
      </c>
      <c r="BC1523" t="inlineStr">
        <is>
          <t>32285000240159</t>
        </is>
      </c>
      <c r="BD1523" t="inlineStr">
        <is>
          <t>893249993</t>
        </is>
      </c>
    </row>
    <row r="1524">
      <c r="A1524" t="inlineStr">
        <is>
          <t>No</t>
        </is>
      </c>
      <c r="B1524" t="inlineStr">
        <is>
          <t>RC683.5.E5 M29 1987</t>
        </is>
      </c>
      <c r="C1524" t="inlineStr">
        <is>
          <t>0                      RC 0683500E  5                  M  29          1987</t>
        </is>
      </c>
      <c r="D1524" t="inlineStr">
        <is>
          <t>ECG/PDQ / Henry J.L. Marriott.</t>
        </is>
      </c>
      <c r="F1524" t="inlineStr">
        <is>
          <t>No</t>
        </is>
      </c>
      <c r="G1524" t="inlineStr">
        <is>
          <t>1</t>
        </is>
      </c>
      <c r="H1524" t="inlineStr">
        <is>
          <t>Yes</t>
        </is>
      </c>
      <c r="I1524" t="inlineStr">
        <is>
          <t>No</t>
        </is>
      </c>
      <c r="J1524" t="inlineStr">
        <is>
          <t>0</t>
        </is>
      </c>
      <c r="K1524" t="inlineStr">
        <is>
          <t>Marriott, Henry J. L. (Henry Joseph Llewellyn), 1917-2007.</t>
        </is>
      </c>
      <c r="L1524" t="inlineStr">
        <is>
          <t>Baltimore : Williams &amp; Wilkins, c1987.</t>
        </is>
      </c>
      <c r="M1524" t="inlineStr">
        <is>
          <t>1987</t>
        </is>
      </c>
      <c r="O1524" t="inlineStr">
        <is>
          <t>eng</t>
        </is>
      </c>
      <c r="P1524" t="inlineStr">
        <is>
          <t>mdu</t>
        </is>
      </c>
      <c r="R1524" t="inlineStr">
        <is>
          <t xml:space="preserve">RC </t>
        </is>
      </c>
      <c r="S1524" t="n">
        <v>4</v>
      </c>
      <c r="T1524" t="n">
        <v>4</v>
      </c>
      <c r="U1524" t="inlineStr">
        <is>
          <t>1999-02-12</t>
        </is>
      </c>
      <c r="V1524" t="inlineStr">
        <is>
          <t>1999-02-12</t>
        </is>
      </c>
      <c r="W1524" t="inlineStr">
        <is>
          <t>1993-03-24</t>
        </is>
      </c>
      <c r="X1524" t="inlineStr">
        <is>
          <t>1993-03-24</t>
        </is>
      </c>
      <c r="Y1524" t="n">
        <v>94</v>
      </c>
      <c r="Z1524" t="n">
        <v>68</v>
      </c>
      <c r="AA1524" t="n">
        <v>68</v>
      </c>
      <c r="AB1524" t="n">
        <v>2</v>
      </c>
      <c r="AC1524" t="n">
        <v>2</v>
      </c>
      <c r="AD1524" t="n">
        <v>2</v>
      </c>
      <c r="AE1524" t="n">
        <v>2</v>
      </c>
      <c r="AF1524" t="n">
        <v>1</v>
      </c>
      <c r="AG1524" t="n">
        <v>1</v>
      </c>
      <c r="AH1524" t="n">
        <v>1</v>
      </c>
      <c r="AI1524" t="n">
        <v>1</v>
      </c>
      <c r="AJ1524" t="n">
        <v>1</v>
      </c>
      <c r="AK1524" t="n">
        <v>1</v>
      </c>
      <c r="AL1524" t="n">
        <v>0</v>
      </c>
      <c r="AM1524" t="n">
        <v>0</v>
      </c>
      <c r="AN1524" t="n">
        <v>0</v>
      </c>
      <c r="AO1524" t="n">
        <v>0</v>
      </c>
      <c r="AP1524" t="inlineStr">
        <is>
          <t>No</t>
        </is>
      </c>
      <c r="AQ1524" t="inlineStr">
        <is>
          <t>No</t>
        </is>
      </c>
      <c r="AS1524">
        <f>HYPERLINK("https://creighton-primo.hosted.exlibrisgroup.com/primo-explore/search?tab=default_tab&amp;search_scope=EVERYTHING&amp;vid=01CRU&amp;lang=en_US&amp;offset=0&amp;query=any,contains,991001000699702656","Catalog Record")</f>
        <v/>
      </c>
      <c r="AT1524">
        <f>HYPERLINK("http://www.worldcat.org/oclc/15198173","WorldCat Record")</f>
        <v/>
      </c>
      <c r="AU1524" t="inlineStr">
        <is>
          <t>9467823:eng</t>
        </is>
      </c>
      <c r="AV1524" t="inlineStr">
        <is>
          <t>15198173</t>
        </is>
      </c>
      <c r="AW1524" t="inlineStr">
        <is>
          <t>991001000699702656</t>
        </is>
      </c>
      <c r="AX1524" t="inlineStr">
        <is>
          <t>991001000699702656</t>
        </is>
      </c>
      <c r="AY1524" t="inlineStr">
        <is>
          <t>2260468730002656</t>
        </is>
      </c>
      <c r="AZ1524" t="inlineStr">
        <is>
          <t>BOOK</t>
        </is>
      </c>
      <c r="BB1524" t="inlineStr">
        <is>
          <t>9780683055726</t>
        </is>
      </c>
      <c r="BC1524" t="inlineStr">
        <is>
          <t>32285001607935</t>
        </is>
      </c>
      <c r="BD1524" t="inlineStr">
        <is>
          <t>893683931</t>
        </is>
      </c>
    </row>
    <row r="1525">
      <c r="A1525" t="inlineStr">
        <is>
          <t>No</t>
        </is>
      </c>
      <c r="B1525" t="inlineStr">
        <is>
          <t>RC683.5.E5 P28 1988</t>
        </is>
      </c>
      <c r="C1525" t="inlineStr">
        <is>
          <t>0                      RC 0683500E  5                  P  28          1988</t>
        </is>
      </c>
      <c r="D1525" t="inlineStr">
        <is>
          <t>Generation and interpretation of the electrocardiogram / Robert Paine with Mabel A. Siegel ... [et al.].</t>
        </is>
      </c>
      <c r="F1525" t="inlineStr">
        <is>
          <t>No</t>
        </is>
      </c>
      <c r="G1525" t="inlineStr">
        <is>
          <t>1</t>
        </is>
      </c>
      <c r="H1525" t="inlineStr">
        <is>
          <t>No</t>
        </is>
      </c>
      <c r="I1525" t="inlineStr">
        <is>
          <t>No</t>
        </is>
      </c>
      <c r="J1525" t="inlineStr">
        <is>
          <t>0</t>
        </is>
      </c>
      <c r="K1525" t="inlineStr">
        <is>
          <t>Paine, Robert, 1921-</t>
        </is>
      </c>
      <c r="L1525" t="inlineStr">
        <is>
          <t>Philadelphia : Lea &amp; Febiger, 1988.</t>
        </is>
      </c>
      <c r="M1525" t="inlineStr">
        <is>
          <t>1988</t>
        </is>
      </c>
      <c r="O1525" t="inlineStr">
        <is>
          <t>eng</t>
        </is>
      </c>
      <c r="P1525" t="inlineStr">
        <is>
          <t>pau</t>
        </is>
      </c>
      <c r="R1525" t="inlineStr">
        <is>
          <t xml:space="preserve">RC </t>
        </is>
      </c>
      <c r="S1525" t="n">
        <v>5</v>
      </c>
      <c r="T1525" t="n">
        <v>5</v>
      </c>
      <c r="U1525" t="inlineStr">
        <is>
          <t>2002-03-01</t>
        </is>
      </c>
      <c r="V1525" t="inlineStr">
        <is>
          <t>2002-03-01</t>
        </is>
      </c>
      <c r="W1525" t="inlineStr">
        <is>
          <t>1990-07-20</t>
        </is>
      </c>
      <c r="X1525" t="inlineStr">
        <is>
          <t>1990-07-20</t>
        </is>
      </c>
      <c r="Y1525" t="n">
        <v>81</v>
      </c>
      <c r="Z1525" t="n">
        <v>59</v>
      </c>
      <c r="AA1525" t="n">
        <v>59</v>
      </c>
      <c r="AB1525" t="n">
        <v>1</v>
      </c>
      <c r="AC1525" t="n">
        <v>1</v>
      </c>
      <c r="AD1525" t="n">
        <v>1</v>
      </c>
      <c r="AE1525" t="n">
        <v>1</v>
      </c>
      <c r="AF1525" t="n">
        <v>0</v>
      </c>
      <c r="AG1525" t="n">
        <v>0</v>
      </c>
      <c r="AH1525" t="n">
        <v>0</v>
      </c>
      <c r="AI1525" t="n">
        <v>0</v>
      </c>
      <c r="AJ1525" t="n">
        <v>1</v>
      </c>
      <c r="AK1525" t="n">
        <v>1</v>
      </c>
      <c r="AL1525" t="n">
        <v>0</v>
      </c>
      <c r="AM1525" t="n">
        <v>0</v>
      </c>
      <c r="AN1525" t="n">
        <v>0</v>
      </c>
      <c r="AO1525" t="n">
        <v>0</v>
      </c>
      <c r="AP1525" t="inlineStr">
        <is>
          <t>No</t>
        </is>
      </c>
      <c r="AQ1525" t="inlineStr">
        <is>
          <t>No</t>
        </is>
      </c>
      <c r="AS1525">
        <f>HYPERLINK("https://creighton-primo.hosted.exlibrisgroup.com/primo-explore/search?tab=default_tab&amp;search_scope=EVERYTHING&amp;vid=01CRU&amp;lang=en_US&amp;offset=0&amp;query=any,contains,991001151349702656","Catalog Record")</f>
        <v/>
      </c>
      <c r="AT1525">
        <f>HYPERLINK("http://www.worldcat.org/oclc/16806213","WorldCat Record")</f>
        <v/>
      </c>
      <c r="AU1525" t="inlineStr">
        <is>
          <t>13197489:eng</t>
        </is>
      </c>
      <c r="AV1525" t="inlineStr">
        <is>
          <t>16806213</t>
        </is>
      </c>
      <c r="AW1525" t="inlineStr">
        <is>
          <t>991001151349702656</t>
        </is>
      </c>
      <c r="AX1525" t="inlineStr">
        <is>
          <t>991001151349702656</t>
        </is>
      </c>
      <c r="AY1525" t="inlineStr">
        <is>
          <t>2271507340002656</t>
        </is>
      </c>
      <c r="AZ1525" t="inlineStr">
        <is>
          <t>BOOK</t>
        </is>
      </c>
      <c r="BB1525" t="inlineStr">
        <is>
          <t>9780812111316</t>
        </is>
      </c>
      <c r="BC1525" t="inlineStr">
        <is>
          <t>32285000240076</t>
        </is>
      </c>
      <c r="BD1525" t="inlineStr">
        <is>
          <t>893903312</t>
        </is>
      </c>
    </row>
    <row r="1526">
      <c r="A1526" t="inlineStr">
        <is>
          <t>No</t>
        </is>
      </c>
      <c r="B1526" t="inlineStr">
        <is>
          <t>RC683.5.E5 S75 1992</t>
        </is>
      </c>
      <c r="C1526" t="inlineStr">
        <is>
          <t>0                      RC 0683500E  5                  S  75          1992</t>
        </is>
      </c>
      <c r="D1526" t="inlineStr">
        <is>
          <t>Rapid analysis of electrocardiograms : a self-study program / Emanuel Stein ; illustrations by Thomas Xenakis.</t>
        </is>
      </c>
      <c r="F1526" t="inlineStr">
        <is>
          <t>No</t>
        </is>
      </c>
      <c r="G1526" t="inlineStr">
        <is>
          <t>1</t>
        </is>
      </c>
      <c r="H1526" t="inlineStr">
        <is>
          <t>No</t>
        </is>
      </c>
      <c r="I1526" t="inlineStr">
        <is>
          <t>No</t>
        </is>
      </c>
      <c r="J1526" t="inlineStr">
        <is>
          <t>0</t>
        </is>
      </c>
      <c r="K1526" t="inlineStr">
        <is>
          <t>Stein, Emanuel, 1929-</t>
        </is>
      </c>
      <c r="L1526" t="inlineStr">
        <is>
          <t>Philadelphia : Lea &amp; Febiger, 1992.</t>
        </is>
      </c>
      <c r="M1526" t="inlineStr">
        <is>
          <t>1992</t>
        </is>
      </c>
      <c r="N1526" t="inlineStr">
        <is>
          <t>2nd ed.</t>
        </is>
      </c>
      <c r="O1526" t="inlineStr">
        <is>
          <t>eng</t>
        </is>
      </c>
      <c r="P1526" t="inlineStr">
        <is>
          <t>pau</t>
        </is>
      </c>
      <c r="R1526" t="inlineStr">
        <is>
          <t xml:space="preserve">RC </t>
        </is>
      </c>
      <c r="S1526" t="n">
        <v>6</v>
      </c>
      <c r="T1526" t="n">
        <v>6</v>
      </c>
      <c r="U1526" t="inlineStr">
        <is>
          <t>1996-07-02</t>
        </is>
      </c>
      <c r="V1526" t="inlineStr">
        <is>
          <t>1996-07-02</t>
        </is>
      </c>
      <c r="W1526" t="inlineStr">
        <is>
          <t>1992-06-16</t>
        </is>
      </c>
      <c r="X1526" t="inlineStr">
        <is>
          <t>1992-06-16</t>
        </is>
      </c>
      <c r="Y1526" t="n">
        <v>72</v>
      </c>
      <c r="Z1526" t="n">
        <v>53</v>
      </c>
      <c r="AA1526" t="n">
        <v>113</v>
      </c>
      <c r="AB1526" t="n">
        <v>1</v>
      </c>
      <c r="AC1526" t="n">
        <v>1</v>
      </c>
      <c r="AD1526" t="n">
        <v>1</v>
      </c>
      <c r="AE1526" t="n">
        <v>3</v>
      </c>
      <c r="AF1526" t="n">
        <v>0</v>
      </c>
      <c r="AG1526" t="n">
        <v>1</v>
      </c>
      <c r="AH1526" t="n">
        <v>0</v>
      </c>
      <c r="AI1526" t="n">
        <v>1</v>
      </c>
      <c r="AJ1526" t="n">
        <v>1</v>
      </c>
      <c r="AK1526" t="n">
        <v>2</v>
      </c>
      <c r="AL1526" t="n">
        <v>0</v>
      </c>
      <c r="AM1526" t="n">
        <v>0</v>
      </c>
      <c r="AN1526" t="n">
        <v>0</v>
      </c>
      <c r="AO1526" t="n">
        <v>0</v>
      </c>
      <c r="AP1526" t="inlineStr">
        <is>
          <t>No</t>
        </is>
      </c>
      <c r="AQ1526" t="inlineStr">
        <is>
          <t>No</t>
        </is>
      </c>
      <c r="AS1526">
        <f>HYPERLINK("https://creighton-primo.hosted.exlibrisgroup.com/primo-explore/search?tab=default_tab&amp;search_scope=EVERYTHING&amp;vid=01CRU&amp;lang=en_US&amp;offset=0&amp;query=any,contains,991001933259702656","Catalog Record")</f>
        <v/>
      </c>
      <c r="AT1526">
        <f>HYPERLINK("http://www.worldcat.org/oclc/24428926","WorldCat Record")</f>
        <v/>
      </c>
      <c r="AU1526" t="inlineStr">
        <is>
          <t>1103118936:eng</t>
        </is>
      </c>
      <c r="AV1526" t="inlineStr">
        <is>
          <t>24428926</t>
        </is>
      </c>
      <c r="AW1526" t="inlineStr">
        <is>
          <t>991001933259702656</t>
        </is>
      </c>
      <c r="AX1526" t="inlineStr">
        <is>
          <t>991001933259702656</t>
        </is>
      </c>
      <c r="AY1526" t="inlineStr">
        <is>
          <t>2261946410002656</t>
        </is>
      </c>
      <c r="AZ1526" t="inlineStr">
        <is>
          <t>BOOK</t>
        </is>
      </c>
      <c r="BB1526" t="inlineStr">
        <is>
          <t>9780812114416</t>
        </is>
      </c>
      <c r="BC1526" t="inlineStr">
        <is>
          <t>32285001129310</t>
        </is>
      </c>
      <c r="BD1526" t="inlineStr">
        <is>
          <t>893603003</t>
        </is>
      </c>
    </row>
    <row r="1527">
      <c r="A1527" t="inlineStr">
        <is>
          <t>No</t>
        </is>
      </c>
      <c r="B1527" t="inlineStr">
        <is>
          <t>RC683.5.E94 F76 1983</t>
        </is>
      </c>
      <c r="C1527" t="inlineStr">
        <is>
          <t>0                      RC 0683500E  94                 F  76          1983</t>
        </is>
      </c>
      <c r="D1527" t="inlineStr">
        <is>
          <t>Exercise testing &amp; training / Victor F. Froelicher.</t>
        </is>
      </c>
      <c r="F1527" t="inlineStr">
        <is>
          <t>No</t>
        </is>
      </c>
      <c r="G1527" t="inlineStr">
        <is>
          <t>1</t>
        </is>
      </c>
      <c r="H1527" t="inlineStr">
        <is>
          <t>No</t>
        </is>
      </c>
      <c r="I1527" t="inlineStr">
        <is>
          <t>No</t>
        </is>
      </c>
      <c r="J1527" t="inlineStr">
        <is>
          <t>0</t>
        </is>
      </c>
      <c r="K1527" t="inlineStr">
        <is>
          <t>Froelicher, Victor F.</t>
        </is>
      </c>
      <c r="L1527" t="inlineStr">
        <is>
          <t>Chicago : Year Book Medical Publishers, c1983.</t>
        </is>
      </c>
      <c r="M1527" t="inlineStr">
        <is>
          <t>1984</t>
        </is>
      </c>
      <c r="O1527" t="inlineStr">
        <is>
          <t>eng</t>
        </is>
      </c>
      <c r="P1527" t="inlineStr">
        <is>
          <t>ilu</t>
        </is>
      </c>
      <c r="R1527" t="inlineStr">
        <is>
          <t xml:space="preserve">RC </t>
        </is>
      </c>
      <c r="S1527" t="n">
        <v>3</v>
      </c>
      <c r="T1527" t="n">
        <v>3</v>
      </c>
      <c r="U1527" t="inlineStr">
        <is>
          <t>1997-04-08</t>
        </is>
      </c>
      <c r="V1527" t="inlineStr">
        <is>
          <t>1997-04-08</t>
        </is>
      </c>
      <c r="W1527" t="inlineStr">
        <is>
          <t>1990-04-17</t>
        </is>
      </c>
      <c r="X1527" t="inlineStr">
        <is>
          <t>1990-04-17</t>
        </is>
      </c>
      <c r="Y1527" t="n">
        <v>172</v>
      </c>
      <c r="Z1527" t="n">
        <v>152</v>
      </c>
      <c r="AA1527" t="n">
        <v>267</v>
      </c>
      <c r="AB1527" t="n">
        <v>3</v>
      </c>
      <c r="AC1527" t="n">
        <v>3</v>
      </c>
      <c r="AD1527" t="n">
        <v>4</v>
      </c>
      <c r="AE1527" t="n">
        <v>5</v>
      </c>
      <c r="AF1527" t="n">
        <v>1</v>
      </c>
      <c r="AG1527" t="n">
        <v>1</v>
      </c>
      <c r="AH1527" t="n">
        <v>1</v>
      </c>
      <c r="AI1527" t="n">
        <v>2</v>
      </c>
      <c r="AJ1527" t="n">
        <v>1</v>
      </c>
      <c r="AK1527" t="n">
        <v>2</v>
      </c>
      <c r="AL1527" t="n">
        <v>2</v>
      </c>
      <c r="AM1527" t="n">
        <v>2</v>
      </c>
      <c r="AN1527" t="n">
        <v>0</v>
      </c>
      <c r="AO1527" t="n">
        <v>0</v>
      </c>
      <c r="AP1527" t="inlineStr">
        <is>
          <t>No</t>
        </is>
      </c>
      <c r="AQ1527" t="inlineStr">
        <is>
          <t>Yes</t>
        </is>
      </c>
      <c r="AR1527">
        <f>HYPERLINK("http://catalog.hathitrust.org/Record/000164439","HathiTrust Record")</f>
        <v/>
      </c>
      <c r="AS1527">
        <f>HYPERLINK("https://creighton-primo.hosted.exlibrisgroup.com/primo-explore/search?tab=default_tab&amp;search_scope=EVERYTHING&amp;vid=01CRU&amp;lang=en_US&amp;offset=0&amp;query=any,contains,991000371029702656","Catalog Record")</f>
        <v/>
      </c>
      <c r="AT1527">
        <f>HYPERLINK("http://www.worldcat.org/oclc/10430421","WorldCat Record")</f>
        <v/>
      </c>
      <c r="AU1527" t="inlineStr">
        <is>
          <t>3345257:eng</t>
        </is>
      </c>
      <c r="AV1527" t="inlineStr">
        <is>
          <t>10430421</t>
        </is>
      </c>
      <c r="AW1527" t="inlineStr">
        <is>
          <t>991000371029702656</t>
        </is>
      </c>
      <c r="AX1527" t="inlineStr">
        <is>
          <t>991000371029702656</t>
        </is>
      </c>
      <c r="AY1527" t="inlineStr">
        <is>
          <t>2264322610002656</t>
        </is>
      </c>
      <c r="AZ1527" t="inlineStr">
        <is>
          <t>BOOK</t>
        </is>
      </c>
      <c r="BB1527" t="inlineStr">
        <is>
          <t>9780815133322</t>
        </is>
      </c>
      <c r="BC1527" t="inlineStr">
        <is>
          <t>32285000122662</t>
        </is>
      </c>
      <c r="BD1527" t="inlineStr">
        <is>
          <t>893314855</t>
        </is>
      </c>
    </row>
    <row r="1528">
      <c r="A1528" t="inlineStr">
        <is>
          <t>No</t>
        </is>
      </c>
      <c r="B1528" t="inlineStr">
        <is>
          <t>RC683.5.E94 F77 1994</t>
        </is>
      </c>
      <c r="C1528" t="inlineStr">
        <is>
          <t>0                      RC 0683500E  94                 F  77          1994</t>
        </is>
      </c>
      <c r="D1528" t="inlineStr">
        <is>
          <t>Manual of exercise testing / Victor F. Froelicher.</t>
        </is>
      </c>
      <c r="F1528" t="inlineStr">
        <is>
          <t>No</t>
        </is>
      </c>
      <c r="G1528" t="inlineStr">
        <is>
          <t>1</t>
        </is>
      </c>
      <c r="H1528" t="inlineStr">
        <is>
          <t>No</t>
        </is>
      </c>
      <c r="I1528" t="inlineStr">
        <is>
          <t>Yes</t>
        </is>
      </c>
      <c r="J1528" t="inlineStr">
        <is>
          <t>0</t>
        </is>
      </c>
      <c r="K1528" t="inlineStr">
        <is>
          <t>Froelicher, Victor F.</t>
        </is>
      </c>
      <c r="L1528" t="inlineStr">
        <is>
          <t>St. Louis : Mosby, c1994.</t>
        </is>
      </c>
      <c r="M1528" t="inlineStr">
        <is>
          <t>1994</t>
        </is>
      </c>
      <c r="N1528" t="inlineStr">
        <is>
          <t>2nd ed.</t>
        </is>
      </c>
      <c r="O1528" t="inlineStr">
        <is>
          <t>eng</t>
        </is>
      </c>
      <c r="P1528" t="inlineStr">
        <is>
          <t>mou</t>
        </is>
      </c>
      <c r="R1528" t="inlineStr">
        <is>
          <t xml:space="preserve">RC </t>
        </is>
      </c>
      <c r="S1528" t="n">
        <v>1</v>
      </c>
      <c r="T1528" t="n">
        <v>1</v>
      </c>
      <c r="U1528" t="inlineStr">
        <is>
          <t>1995-08-30</t>
        </is>
      </c>
      <c r="V1528" t="inlineStr">
        <is>
          <t>1995-08-30</t>
        </is>
      </c>
      <c r="W1528" t="inlineStr">
        <is>
          <t>1994-06-20</t>
        </is>
      </c>
      <c r="X1528" t="inlineStr">
        <is>
          <t>1994-06-20</t>
        </is>
      </c>
      <c r="Y1528" t="n">
        <v>183</v>
      </c>
      <c r="Z1528" t="n">
        <v>142</v>
      </c>
      <c r="AA1528" t="n">
        <v>397</v>
      </c>
      <c r="AB1528" t="n">
        <v>1</v>
      </c>
      <c r="AC1528" t="n">
        <v>3</v>
      </c>
      <c r="AD1528" t="n">
        <v>2</v>
      </c>
      <c r="AE1528" t="n">
        <v>9</v>
      </c>
      <c r="AF1528" t="n">
        <v>1</v>
      </c>
      <c r="AG1528" t="n">
        <v>3</v>
      </c>
      <c r="AH1528" t="n">
        <v>1</v>
      </c>
      <c r="AI1528" t="n">
        <v>2</v>
      </c>
      <c r="AJ1528" t="n">
        <v>1</v>
      </c>
      <c r="AK1528" t="n">
        <v>4</v>
      </c>
      <c r="AL1528" t="n">
        <v>0</v>
      </c>
      <c r="AM1528" t="n">
        <v>1</v>
      </c>
      <c r="AN1528" t="n">
        <v>0</v>
      </c>
      <c r="AO1528" t="n">
        <v>0</v>
      </c>
      <c r="AP1528" t="inlineStr">
        <is>
          <t>No</t>
        </is>
      </c>
      <c r="AQ1528" t="inlineStr">
        <is>
          <t>Yes</t>
        </is>
      </c>
      <c r="AR1528">
        <f>HYPERLINK("http://catalog.hathitrust.org/Record/002792358","HathiTrust Record")</f>
        <v/>
      </c>
      <c r="AS1528">
        <f>HYPERLINK("https://creighton-primo.hosted.exlibrisgroup.com/primo-explore/search?tab=default_tab&amp;search_scope=EVERYTHING&amp;vid=01CRU&amp;lang=en_US&amp;offset=0&amp;query=any,contains,991002250139702656","Catalog Record")</f>
        <v/>
      </c>
      <c r="AT1528">
        <f>HYPERLINK("http://www.worldcat.org/oclc/29032700","WorldCat Record")</f>
        <v/>
      </c>
      <c r="AU1528" t="inlineStr">
        <is>
          <t>2762017:eng</t>
        </is>
      </c>
      <c r="AV1528" t="inlineStr">
        <is>
          <t>29032700</t>
        </is>
      </c>
      <c r="AW1528" t="inlineStr">
        <is>
          <t>991002250139702656</t>
        </is>
      </c>
      <c r="AX1528" t="inlineStr">
        <is>
          <t>991002250139702656</t>
        </is>
      </c>
      <c r="AY1528" t="inlineStr">
        <is>
          <t>2263093880002656</t>
        </is>
      </c>
      <c r="AZ1528" t="inlineStr">
        <is>
          <t>BOOK</t>
        </is>
      </c>
      <c r="BB1528" t="inlineStr">
        <is>
          <t>9780815133469</t>
        </is>
      </c>
      <c r="BC1528" t="inlineStr">
        <is>
          <t>32285001923472</t>
        </is>
      </c>
      <c r="BD1528" t="inlineStr">
        <is>
          <t>893408867</t>
        </is>
      </c>
    </row>
    <row r="1529">
      <c r="A1529" t="inlineStr">
        <is>
          <t>No</t>
        </is>
      </c>
      <c r="B1529" t="inlineStr">
        <is>
          <t>RC684.E9 A45 1991</t>
        </is>
      </c>
      <c r="C1529" t="inlineStr">
        <is>
          <t>0                      RC 0684000E  9                  A  45          1991</t>
        </is>
      </c>
      <c r="D1529" t="inlineStr">
        <is>
          <t>Guidelines for exercise testing and prescription / American College of Sports Medicine.</t>
        </is>
      </c>
      <c r="F1529" t="inlineStr">
        <is>
          <t>No</t>
        </is>
      </c>
      <c r="G1529" t="inlineStr">
        <is>
          <t>1</t>
        </is>
      </c>
      <c r="H1529" t="inlineStr">
        <is>
          <t>No</t>
        </is>
      </c>
      <c r="I1529" t="inlineStr">
        <is>
          <t>No</t>
        </is>
      </c>
      <c r="J1529" t="inlineStr">
        <is>
          <t>0</t>
        </is>
      </c>
      <c r="L1529" t="inlineStr">
        <is>
          <t>Philadelphia : Lea &amp; Febiger, 1991.</t>
        </is>
      </c>
      <c r="M1529" t="inlineStr">
        <is>
          <t>1991</t>
        </is>
      </c>
      <c r="N1529" t="inlineStr">
        <is>
          <t>4th ed.</t>
        </is>
      </c>
      <c r="O1529" t="inlineStr">
        <is>
          <t>eng</t>
        </is>
      </c>
      <c r="P1529" t="inlineStr">
        <is>
          <t>pau</t>
        </is>
      </c>
      <c r="R1529" t="inlineStr">
        <is>
          <t xml:space="preserve">RC </t>
        </is>
      </c>
      <c r="S1529" t="n">
        <v>9</v>
      </c>
      <c r="T1529" t="n">
        <v>9</v>
      </c>
      <c r="U1529" t="inlineStr">
        <is>
          <t>1997-06-17</t>
        </is>
      </c>
      <c r="V1529" t="inlineStr">
        <is>
          <t>1997-06-17</t>
        </is>
      </c>
      <c r="W1529" t="inlineStr">
        <is>
          <t>1991-02-22</t>
        </is>
      </c>
      <c r="X1529" t="inlineStr">
        <is>
          <t>1991-02-22</t>
        </is>
      </c>
      <c r="Y1529" t="n">
        <v>453</v>
      </c>
      <c r="Z1529" t="n">
        <v>376</v>
      </c>
      <c r="AA1529" t="n">
        <v>563</v>
      </c>
      <c r="AB1529" t="n">
        <v>2</v>
      </c>
      <c r="AC1529" t="n">
        <v>3</v>
      </c>
      <c r="AD1529" t="n">
        <v>9</v>
      </c>
      <c r="AE1529" t="n">
        <v>15</v>
      </c>
      <c r="AF1529" t="n">
        <v>5</v>
      </c>
      <c r="AG1529" t="n">
        <v>8</v>
      </c>
      <c r="AH1529" t="n">
        <v>2</v>
      </c>
      <c r="AI1529" t="n">
        <v>4</v>
      </c>
      <c r="AJ1529" t="n">
        <v>4</v>
      </c>
      <c r="AK1529" t="n">
        <v>5</v>
      </c>
      <c r="AL1529" t="n">
        <v>1</v>
      </c>
      <c r="AM1529" t="n">
        <v>1</v>
      </c>
      <c r="AN1529" t="n">
        <v>0</v>
      </c>
      <c r="AO1529" t="n">
        <v>0</v>
      </c>
      <c r="AP1529" t="inlineStr">
        <is>
          <t>No</t>
        </is>
      </c>
      <c r="AQ1529" t="inlineStr">
        <is>
          <t>Yes</t>
        </is>
      </c>
      <c r="AR1529">
        <f>HYPERLINK("http://catalog.hathitrust.org/Record/002233639","HathiTrust Record")</f>
        <v/>
      </c>
      <c r="AS1529">
        <f>HYPERLINK("https://creighton-primo.hosted.exlibrisgroup.com/primo-explore/search?tab=default_tab&amp;search_scope=EVERYTHING&amp;vid=01CRU&amp;lang=en_US&amp;offset=0&amp;query=any,contains,991005309229702656","Catalog Record")</f>
        <v/>
      </c>
      <c r="AT1529">
        <f>HYPERLINK("http://www.worldcat.org/oclc/22243545","WorldCat Record")</f>
        <v/>
      </c>
      <c r="AU1529" t="inlineStr">
        <is>
          <t>3749710183:eng</t>
        </is>
      </c>
      <c r="AV1529" t="inlineStr">
        <is>
          <t>22243545</t>
        </is>
      </c>
      <c r="AW1529" t="inlineStr">
        <is>
          <t>991005309229702656</t>
        </is>
      </c>
      <c r="AX1529" t="inlineStr">
        <is>
          <t>991005309229702656</t>
        </is>
      </c>
      <c r="AY1529" t="inlineStr">
        <is>
          <t>2271680500002656</t>
        </is>
      </c>
      <c r="AZ1529" t="inlineStr">
        <is>
          <t>BOOK</t>
        </is>
      </c>
      <c r="BB1529" t="inlineStr">
        <is>
          <t>9780812113242</t>
        </is>
      </c>
      <c r="BC1529" t="inlineStr">
        <is>
          <t>32285000490739</t>
        </is>
      </c>
      <c r="BD1529" t="inlineStr">
        <is>
          <t>893619778</t>
        </is>
      </c>
    </row>
    <row r="1530">
      <c r="A1530" t="inlineStr">
        <is>
          <t>No</t>
        </is>
      </c>
      <c r="B1530" t="inlineStr">
        <is>
          <t>RC684.E9 G84 1991</t>
        </is>
      </c>
      <c r="C1530" t="inlineStr">
        <is>
          <t>0                      RC 0684000E  9                  G  84          1991</t>
        </is>
      </c>
      <c r="D1530" t="inlineStr">
        <is>
          <t>Guidelines for cardiac rehabilitation programs / American Association of Cardiovascular and Pulmonary Rehabilitation.</t>
        </is>
      </c>
      <c r="F1530" t="inlineStr">
        <is>
          <t>No</t>
        </is>
      </c>
      <c r="G1530" t="inlineStr">
        <is>
          <t>1</t>
        </is>
      </c>
      <c r="H1530" t="inlineStr">
        <is>
          <t>No</t>
        </is>
      </c>
      <c r="I1530" t="inlineStr">
        <is>
          <t>Yes</t>
        </is>
      </c>
      <c r="J1530" t="inlineStr">
        <is>
          <t>0</t>
        </is>
      </c>
      <c r="L1530" t="inlineStr">
        <is>
          <t>Champaign, IL : Human Kinetics Books, c1991.</t>
        </is>
      </c>
      <c r="M1530" t="inlineStr">
        <is>
          <t>1991</t>
        </is>
      </c>
      <c r="O1530" t="inlineStr">
        <is>
          <t>eng</t>
        </is>
      </c>
      <c r="P1530" t="inlineStr">
        <is>
          <t>ilu</t>
        </is>
      </c>
      <c r="R1530" t="inlineStr">
        <is>
          <t xml:space="preserve">RC </t>
        </is>
      </c>
      <c r="S1530" t="n">
        <v>12</v>
      </c>
      <c r="T1530" t="n">
        <v>12</v>
      </c>
      <c r="U1530" t="inlineStr">
        <is>
          <t>1997-04-27</t>
        </is>
      </c>
      <c r="V1530" t="inlineStr">
        <is>
          <t>1997-04-27</t>
        </is>
      </c>
      <c r="W1530" t="inlineStr">
        <is>
          <t>1991-04-17</t>
        </is>
      </c>
      <c r="X1530" t="inlineStr">
        <is>
          <t>1991-04-17</t>
        </is>
      </c>
      <c r="Y1530" t="n">
        <v>209</v>
      </c>
      <c r="Z1530" t="n">
        <v>154</v>
      </c>
      <c r="AA1530" t="n">
        <v>258</v>
      </c>
      <c r="AB1530" t="n">
        <v>2</v>
      </c>
      <c r="AC1530" t="n">
        <v>4</v>
      </c>
      <c r="AD1530" t="n">
        <v>3</v>
      </c>
      <c r="AE1530" t="n">
        <v>7</v>
      </c>
      <c r="AF1530" t="n">
        <v>0</v>
      </c>
      <c r="AG1530" t="n">
        <v>2</v>
      </c>
      <c r="AH1530" t="n">
        <v>1</v>
      </c>
      <c r="AI1530" t="n">
        <v>1</v>
      </c>
      <c r="AJ1530" t="n">
        <v>2</v>
      </c>
      <c r="AK1530" t="n">
        <v>4</v>
      </c>
      <c r="AL1530" t="n">
        <v>1</v>
      </c>
      <c r="AM1530" t="n">
        <v>2</v>
      </c>
      <c r="AN1530" t="n">
        <v>0</v>
      </c>
      <c r="AO1530" t="n">
        <v>0</v>
      </c>
      <c r="AP1530" t="inlineStr">
        <is>
          <t>No</t>
        </is>
      </c>
      <c r="AQ1530" t="inlineStr">
        <is>
          <t>Yes</t>
        </is>
      </c>
      <c r="AR1530">
        <f>HYPERLINK("http://catalog.hathitrust.org/Record/004495130","HathiTrust Record")</f>
        <v/>
      </c>
      <c r="AS1530">
        <f>HYPERLINK("https://creighton-primo.hosted.exlibrisgroup.com/primo-explore/search?tab=default_tab&amp;search_scope=EVERYTHING&amp;vid=01CRU&amp;lang=en_US&amp;offset=0&amp;query=any,contains,991001737059702656","Catalog Record")</f>
        <v/>
      </c>
      <c r="AT1530">
        <f>HYPERLINK("http://www.worldcat.org/oclc/21973485","WorldCat Record")</f>
        <v/>
      </c>
      <c r="AU1530" t="inlineStr">
        <is>
          <t>9380904521:eng</t>
        </is>
      </c>
      <c r="AV1530" t="inlineStr">
        <is>
          <t>21973485</t>
        </is>
      </c>
      <c r="AW1530" t="inlineStr">
        <is>
          <t>991001737059702656</t>
        </is>
      </c>
      <c r="AX1530" t="inlineStr">
        <is>
          <t>991001737059702656</t>
        </is>
      </c>
      <c r="AY1530" t="inlineStr">
        <is>
          <t>2268684630002656</t>
        </is>
      </c>
      <c r="AZ1530" t="inlineStr">
        <is>
          <t>BOOK</t>
        </is>
      </c>
      <c r="BB1530" t="inlineStr">
        <is>
          <t>9780873223041</t>
        </is>
      </c>
      <c r="BC1530" t="inlineStr">
        <is>
          <t>32285000568419</t>
        </is>
      </c>
      <c r="BD1530" t="inlineStr">
        <is>
          <t>893433077</t>
        </is>
      </c>
    </row>
    <row r="1531">
      <c r="A1531" t="inlineStr">
        <is>
          <t>No</t>
        </is>
      </c>
      <c r="B1531" t="inlineStr">
        <is>
          <t>RC684.E9 G84 1995</t>
        </is>
      </c>
      <c r="C1531" t="inlineStr">
        <is>
          <t>0                      RC 0684000E  9                  G  84          1995</t>
        </is>
      </c>
      <c r="D1531" t="inlineStr">
        <is>
          <t>Guidelines for cardiac rehabilitation programs / American Association of Cardiovascular and Pulmonary Rehabilitation.</t>
        </is>
      </c>
      <c r="F1531" t="inlineStr">
        <is>
          <t>No</t>
        </is>
      </c>
      <c r="G1531" t="inlineStr">
        <is>
          <t>1</t>
        </is>
      </c>
      <c r="H1531" t="inlineStr">
        <is>
          <t>Yes</t>
        </is>
      </c>
      <c r="I1531" t="inlineStr">
        <is>
          <t>Yes</t>
        </is>
      </c>
      <c r="J1531" t="inlineStr">
        <is>
          <t>0</t>
        </is>
      </c>
      <c r="L1531" t="inlineStr">
        <is>
          <t>Champaign, IL : Human Kinetics, c1995.</t>
        </is>
      </c>
      <c r="M1531" t="inlineStr">
        <is>
          <t>1995</t>
        </is>
      </c>
      <c r="N1531" t="inlineStr">
        <is>
          <t>2nd ed.</t>
        </is>
      </c>
      <c r="O1531" t="inlineStr">
        <is>
          <t>eng</t>
        </is>
      </c>
      <c r="P1531" t="inlineStr">
        <is>
          <t>ilu</t>
        </is>
      </c>
      <c r="R1531" t="inlineStr">
        <is>
          <t xml:space="preserve">RC </t>
        </is>
      </c>
      <c r="S1531" t="n">
        <v>14</v>
      </c>
      <c r="T1531" t="n">
        <v>37</v>
      </c>
      <c r="U1531" t="inlineStr">
        <is>
          <t>2001-02-23</t>
        </is>
      </c>
      <c r="V1531" t="inlineStr">
        <is>
          <t>2001-02-23</t>
        </is>
      </c>
      <c r="W1531" t="inlineStr">
        <is>
          <t>1997-01-02</t>
        </is>
      </c>
      <c r="X1531" t="inlineStr">
        <is>
          <t>1997-01-02</t>
        </is>
      </c>
      <c r="Y1531" t="n">
        <v>183</v>
      </c>
      <c r="Z1531" t="n">
        <v>131</v>
      </c>
      <c r="AA1531" t="n">
        <v>258</v>
      </c>
      <c r="AB1531" t="n">
        <v>3</v>
      </c>
      <c r="AC1531" t="n">
        <v>4</v>
      </c>
      <c r="AD1531" t="n">
        <v>5</v>
      </c>
      <c r="AE1531" t="n">
        <v>7</v>
      </c>
      <c r="AF1531" t="n">
        <v>2</v>
      </c>
      <c r="AG1531" t="n">
        <v>2</v>
      </c>
      <c r="AH1531" t="n">
        <v>1</v>
      </c>
      <c r="AI1531" t="n">
        <v>1</v>
      </c>
      <c r="AJ1531" t="n">
        <v>3</v>
      </c>
      <c r="AK1531" t="n">
        <v>4</v>
      </c>
      <c r="AL1531" t="n">
        <v>1</v>
      </c>
      <c r="AM1531" t="n">
        <v>2</v>
      </c>
      <c r="AN1531" t="n">
        <v>0</v>
      </c>
      <c r="AO1531" t="n">
        <v>0</v>
      </c>
      <c r="AP1531" t="inlineStr">
        <is>
          <t>No</t>
        </is>
      </c>
      <c r="AQ1531" t="inlineStr">
        <is>
          <t>Yes</t>
        </is>
      </c>
      <c r="AR1531">
        <f>HYPERLINK("http://catalog.hathitrust.org/Record/002938400","HathiTrust Record")</f>
        <v/>
      </c>
      <c r="AS1531">
        <f>HYPERLINK("https://creighton-primo.hosted.exlibrisgroup.com/primo-explore/search?tab=default_tab&amp;search_scope=EVERYTHING&amp;vid=01CRU&amp;lang=en_US&amp;offset=0&amp;query=any,contains,991001755809702656","Catalog Record")</f>
        <v/>
      </c>
      <c r="AT1531">
        <f>HYPERLINK("http://www.worldcat.org/oclc/30780184","WorldCat Record")</f>
        <v/>
      </c>
      <c r="AU1531" t="inlineStr">
        <is>
          <t>9380904521:eng</t>
        </is>
      </c>
      <c r="AV1531" t="inlineStr">
        <is>
          <t>30780184</t>
        </is>
      </c>
      <c r="AW1531" t="inlineStr">
        <is>
          <t>991001755809702656</t>
        </is>
      </c>
      <c r="AX1531" t="inlineStr">
        <is>
          <t>991001755809702656</t>
        </is>
      </c>
      <c r="AY1531" t="inlineStr">
        <is>
          <t>2264815170002656</t>
        </is>
      </c>
      <c r="AZ1531" t="inlineStr">
        <is>
          <t>BOOK</t>
        </is>
      </c>
      <c r="BB1531" t="inlineStr">
        <is>
          <t>9780873227780</t>
        </is>
      </c>
      <c r="BC1531" t="inlineStr">
        <is>
          <t>32285002404548</t>
        </is>
      </c>
      <c r="BD1531" t="inlineStr">
        <is>
          <t>893340668</t>
        </is>
      </c>
    </row>
    <row r="1532">
      <c r="A1532" t="inlineStr">
        <is>
          <t>No</t>
        </is>
      </c>
      <c r="B1532" t="inlineStr">
        <is>
          <t>RC684.E9 K37 1989</t>
        </is>
      </c>
      <c r="C1532" t="inlineStr">
        <is>
          <t>0                      RC 0684000E  9                  K  37          1989</t>
        </is>
      </c>
      <c r="D1532" t="inlineStr">
        <is>
          <t>A practical guide to cardiac rehabilitation / Christopher Karam.</t>
        </is>
      </c>
      <c r="F1532" t="inlineStr">
        <is>
          <t>No</t>
        </is>
      </c>
      <c r="G1532" t="inlineStr">
        <is>
          <t>1</t>
        </is>
      </c>
      <c r="H1532" t="inlineStr">
        <is>
          <t>No</t>
        </is>
      </c>
      <c r="I1532" t="inlineStr">
        <is>
          <t>No</t>
        </is>
      </c>
      <c r="J1532" t="inlineStr">
        <is>
          <t>0</t>
        </is>
      </c>
      <c r="K1532" t="inlineStr">
        <is>
          <t>Karam, Christopher.</t>
        </is>
      </c>
      <c r="L1532" t="inlineStr">
        <is>
          <t>Rockville, Md. : Aspen Publishers, 1989.</t>
        </is>
      </c>
      <c r="M1532" t="inlineStr">
        <is>
          <t>1989</t>
        </is>
      </c>
      <c r="O1532" t="inlineStr">
        <is>
          <t>eng</t>
        </is>
      </c>
      <c r="P1532" t="inlineStr">
        <is>
          <t>mdu</t>
        </is>
      </c>
      <c r="R1532" t="inlineStr">
        <is>
          <t xml:space="preserve">RC </t>
        </is>
      </c>
      <c r="S1532" t="n">
        <v>11</v>
      </c>
      <c r="T1532" t="n">
        <v>11</v>
      </c>
      <c r="U1532" t="inlineStr">
        <is>
          <t>2001-02-27</t>
        </is>
      </c>
      <c r="V1532" t="inlineStr">
        <is>
          <t>2001-02-27</t>
        </is>
      </c>
      <c r="W1532" t="inlineStr">
        <is>
          <t>1989-12-29</t>
        </is>
      </c>
      <c r="X1532" t="inlineStr">
        <is>
          <t>1989-12-29</t>
        </is>
      </c>
      <c r="Y1532" t="n">
        <v>130</v>
      </c>
      <c r="Z1532" t="n">
        <v>111</v>
      </c>
      <c r="AA1532" t="n">
        <v>113</v>
      </c>
      <c r="AB1532" t="n">
        <v>1</v>
      </c>
      <c r="AC1532" t="n">
        <v>1</v>
      </c>
      <c r="AD1532" t="n">
        <v>1</v>
      </c>
      <c r="AE1532" t="n">
        <v>1</v>
      </c>
      <c r="AF1532" t="n">
        <v>0</v>
      </c>
      <c r="AG1532" t="n">
        <v>0</v>
      </c>
      <c r="AH1532" t="n">
        <v>1</v>
      </c>
      <c r="AI1532" t="n">
        <v>1</v>
      </c>
      <c r="AJ1532" t="n">
        <v>1</v>
      </c>
      <c r="AK1532" t="n">
        <v>1</v>
      </c>
      <c r="AL1532" t="n">
        <v>0</v>
      </c>
      <c r="AM1532" t="n">
        <v>0</v>
      </c>
      <c r="AN1532" t="n">
        <v>0</v>
      </c>
      <c r="AO1532" t="n">
        <v>0</v>
      </c>
      <c r="AP1532" t="inlineStr">
        <is>
          <t>No</t>
        </is>
      </c>
      <c r="AQ1532" t="inlineStr">
        <is>
          <t>Yes</t>
        </is>
      </c>
      <c r="AR1532">
        <f>HYPERLINK("http://catalog.hathitrust.org/Record/001827285","HathiTrust Record")</f>
        <v/>
      </c>
      <c r="AS1532">
        <f>HYPERLINK("https://creighton-primo.hosted.exlibrisgroup.com/primo-explore/search?tab=default_tab&amp;search_scope=EVERYTHING&amp;vid=01CRU&amp;lang=en_US&amp;offset=0&amp;query=any,contains,991001534949702656","Catalog Record")</f>
        <v/>
      </c>
      <c r="AT1532">
        <f>HYPERLINK("http://www.worldcat.org/oclc/20057465","WorldCat Record")</f>
        <v/>
      </c>
      <c r="AU1532" t="inlineStr">
        <is>
          <t>21232906:eng</t>
        </is>
      </c>
      <c r="AV1532" t="inlineStr">
        <is>
          <t>20057465</t>
        </is>
      </c>
      <c r="AW1532" t="inlineStr">
        <is>
          <t>991001534949702656</t>
        </is>
      </c>
      <c r="AX1532" t="inlineStr">
        <is>
          <t>991001534949702656</t>
        </is>
      </c>
      <c r="AY1532" t="inlineStr">
        <is>
          <t>2269748210002656</t>
        </is>
      </c>
      <c r="AZ1532" t="inlineStr">
        <is>
          <t>BOOK</t>
        </is>
      </c>
      <c r="BB1532" t="inlineStr">
        <is>
          <t>9780834200890</t>
        </is>
      </c>
      <c r="BC1532" t="inlineStr">
        <is>
          <t>32285000025873</t>
        </is>
      </c>
      <c r="BD1532" t="inlineStr">
        <is>
          <t>893626720</t>
        </is>
      </c>
    </row>
    <row r="1533">
      <c r="A1533" t="inlineStr">
        <is>
          <t>No</t>
        </is>
      </c>
      <c r="B1533" t="inlineStr">
        <is>
          <t>RC684.E9 T73 1998</t>
        </is>
      </c>
      <c r="C1533" t="inlineStr">
        <is>
          <t>0                      RC 0684000E  9                  T  73          1998</t>
        </is>
      </c>
      <c r="D1533" t="inlineStr">
        <is>
          <t>Training techniques in cardiac rehabilitation / Paul S. Fardy ... [et al.].</t>
        </is>
      </c>
      <c r="F1533" t="inlineStr">
        <is>
          <t>No</t>
        </is>
      </c>
      <c r="G1533" t="inlineStr">
        <is>
          <t>1</t>
        </is>
      </c>
      <c r="H1533" t="inlineStr">
        <is>
          <t>No</t>
        </is>
      </c>
      <c r="I1533" t="inlineStr">
        <is>
          <t>No</t>
        </is>
      </c>
      <c r="J1533" t="inlineStr">
        <is>
          <t>0</t>
        </is>
      </c>
      <c r="L1533" t="inlineStr">
        <is>
          <t>Champaign, IL : Human Kinetics, c1998.</t>
        </is>
      </c>
      <c r="M1533" t="inlineStr">
        <is>
          <t>1998</t>
        </is>
      </c>
      <c r="O1533" t="inlineStr">
        <is>
          <t>eng</t>
        </is>
      </c>
      <c r="P1533" t="inlineStr">
        <is>
          <t>ilu</t>
        </is>
      </c>
      <c r="Q1533" t="inlineStr">
        <is>
          <t>Current issues in cardiac rehabilitation series, 1071-7889 ; monograph no. 3</t>
        </is>
      </c>
      <c r="R1533" t="inlineStr">
        <is>
          <t xml:space="preserve">RC </t>
        </is>
      </c>
      <c r="S1533" t="n">
        <v>4</v>
      </c>
      <c r="T1533" t="n">
        <v>4</v>
      </c>
      <c r="U1533" t="inlineStr">
        <is>
          <t>2001-03-22</t>
        </is>
      </c>
      <c r="V1533" t="inlineStr">
        <is>
          <t>2001-03-22</t>
        </is>
      </c>
      <c r="W1533" t="inlineStr">
        <is>
          <t>1998-03-25</t>
        </is>
      </c>
      <c r="X1533" t="inlineStr">
        <is>
          <t>1998-03-25</t>
        </is>
      </c>
      <c r="Y1533" t="n">
        <v>215</v>
      </c>
      <c r="Z1533" t="n">
        <v>146</v>
      </c>
      <c r="AA1533" t="n">
        <v>146</v>
      </c>
      <c r="AB1533" t="n">
        <v>2</v>
      </c>
      <c r="AC1533" t="n">
        <v>2</v>
      </c>
      <c r="AD1533" t="n">
        <v>5</v>
      </c>
      <c r="AE1533" t="n">
        <v>5</v>
      </c>
      <c r="AF1533" t="n">
        <v>2</v>
      </c>
      <c r="AG1533" t="n">
        <v>2</v>
      </c>
      <c r="AH1533" t="n">
        <v>1</v>
      </c>
      <c r="AI1533" t="n">
        <v>1</v>
      </c>
      <c r="AJ1533" t="n">
        <v>4</v>
      </c>
      <c r="AK1533" t="n">
        <v>4</v>
      </c>
      <c r="AL1533" t="n">
        <v>1</v>
      </c>
      <c r="AM1533" t="n">
        <v>1</v>
      </c>
      <c r="AN1533" t="n">
        <v>0</v>
      </c>
      <c r="AO1533" t="n">
        <v>0</v>
      </c>
      <c r="AP1533" t="inlineStr">
        <is>
          <t>No</t>
        </is>
      </c>
      <c r="AQ1533" t="inlineStr">
        <is>
          <t>No</t>
        </is>
      </c>
      <c r="AS1533">
        <f>HYPERLINK("https://creighton-primo.hosted.exlibrisgroup.com/primo-explore/search?tab=default_tab&amp;search_scope=EVERYTHING&amp;vid=01CRU&amp;lang=en_US&amp;offset=0&amp;query=any,contains,991002816069702656","Catalog Record")</f>
        <v/>
      </c>
      <c r="AT1533">
        <f>HYPERLINK("http://www.worldcat.org/oclc/36994098","WorldCat Record")</f>
        <v/>
      </c>
      <c r="AU1533" t="inlineStr">
        <is>
          <t>2242180440:eng</t>
        </is>
      </c>
      <c r="AV1533" t="inlineStr">
        <is>
          <t>36994098</t>
        </is>
      </c>
      <c r="AW1533" t="inlineStr">
        <is>
          <t>991002816069702656</t>
        </is>
      </c>
      <c r="AX1533" t="inlineStr">
        <is>
          <t>991002816069702656</t>
        </is>
      </c>
      <c r="AY1533" t="inlineStr">
        <is>
          <t>2265925720002656</t>
        </is>
      </c>
      <c r="AZ1533" t="inlineStr">
        <is>
          <t>BOOK</t>
        </is>
      </c>
      <c r="BB1533" t="inlineStr">
        <is>
          <t>9780873225366</t>
        </is>
      </c>
      <c r="BC1533" t="inlineStr">
        <is>
          <t>32285003380671</t>
        </is>
      </c>
      <c r="BD1533" t="inlineStr">
        <is>
          <t>893799055</t>
        </is>
      </c>
    </row>
    <row r="1534">
      <c r="A1534" t="inlineStr">
        <is>
          <t>No</t>
        </is>
      </c>
      <c r="B1534" t="inlineStr">
        <is>
          <t>RC684.E9 W55 1994</t>
        </is>
      </c>
      <c r="C1534" t="inlineStr">
        <is>
          <t>0                      RC 0684000E  9                  W  55          1994</t>
        </is>
      </c>
      <c r="D1534" t="inlineStr">
        <is>
          <t>Exercise testing and training in the elderly cardiac patient / Mark A. Williams.</t>
        </is>
      </c>
      <c r="F1534" t="inlineStr">
        <is>
          <t>No</t>
        </is>
      </c>
      <c r="G1534" t="inlineStr">
        <is>
          <t>1</t>
        </is>
      </c>
      <c r="H1534" t="inlineStr">
        <is>
          <t>Yes</t>
        </is>
      </c>
      <c r="I1534" t="inlineStr">
        <is>
          <t>No</t>
        </is>
      </c>
      <c r="J1534" t="inlineStr">
        <is>
          <t>0</t>
        </is>
      </c>
      <c r="K1534" t="inlineStr">
        <is>
          <t>Williams, Mark Alan, 1951-</t>
        </is>
      </c>
      <c r="L1534" t="inlineStr">
        <is>
          <t>Champaign, IL : Human Kinetics Publishers, c1994.</t>
        </is>
      </c>
      <c r="M1534" t="inlineStr">
        <is>
          <t>1994</t>
        </is>
      </c>
      <c r="O1534" t="inlineStr">
        <is>
          <t>eng</t>
        </is>
      </c>
      <c r="P1534" t="inlineStr">
        <is>
          <t>ilu</t>
        </is>
      </c>
      <c r="Q1534" t="inlineStr">
        <is>
          <t>Current issues in cardiac rehabilitation, 1071-7889 ; monograph no. 1</t>
        </is>
      </c>
      <c r="R1534" t="inlineStr">
        <is>
          <t xml:space="preserve">RC </t>
        </is>
      </c>
      <c r="S1534" t="n">
        <v>14</v>
      </c>
      <c r="T1534" t="n">
        <v>19</v>
      </c>
      <c r="U1534" t="inlineStr">
        <is>
          <t>2001-03-22</t>
        </is>
      </c>
      <c r="V1534" t="inlineStr">
        <is>
          <t>2001-03-22</t>
        </is>
      </c>
      <c r="W1534" t="inlineStr">
        <is>
          <t>1994-04-07</t>
        </is>
      </c>
      <c r="X1534" t="inlineStr">
        <is>
          <t>1995-01-10</t>
        </is>
      </c>
      <c r="Y1534" t="n">
        <v>256</v>
      </c>
      <c r="Z1534" t="n">
        <v>174</v>
      </c>
      <c r="AA1534" t="n">
        <v>175</v>
      </c>
      <c r="AB1534" t="n">
        <v>4</v>
      </c>
      <c r="AC1534" t="n">
        <v>4</v>
      </c>
      <c r="AD1534" t="n">
        <v>6</v>
      </c>
      <c r="AE1534" t="n">
        <v>6</v>
      </c>
      <c r="AF1534" t="n">
        <v>3</v>
      </c>
      <c r="AG1534" t="n">
        <v>3</v>
      </c>
      <c r="AH1534" t="n">
        <v>1</v>
      </c>
      <c r="AI1534" t="n">
        <v>1</v>
      </c>
      <c r="AJ1534" t="n">
        <v>3</v>
      </c>
      <c r="AK1534" t="n">
        <v>3</v>
      </c>
      <c r="AL1534" t="n">
        <v>2</v>
      </c>
      <c r="AM1534" t="n">
        <v>2</v>
      </c>
      <c r="AN1534" t="n">
        <v>0</v>
      </c>
      <c r="AO1534" t="n">
        <v>0</v>
      </c>
      <c r="AP1534" t="inlineStr">
        <is>
          <t>No</t>
        </is>
      </c>
      <c r="AQ1534" t="inlineStr">
        <is>
          <t>Yes</t>
        </is>
      </c>
      <c r="AR1534">
        <f>HYPERLINK("http://catalog.hathitrust.org/Record/004531496","HathiTrust Record")</f>
        <v/>
      </c>
      <c r="AS1534">
        <f>HYPERLINK("https://creighton-primo.hosted.exlibrisgroup.com/primo-explore/search?tab=default_tab&amp;search_scope=EVERYTHING&amp;vid=01CRU&amp;lang=en_US&amp;offset=0&amp;query=any,contains,991001755769702656","Catalog Record")</f>
        <v/>
      </c>
      <c r="AT1534">
        <f>HYPERLINK("http://www.worldcat.org/oclc/28888256","WorldCat Record")</f>
        <v/>
      </c>
      <c r="AU1534" t="inlineStr">
        <is>
          <t>353549597:eng</t>
        </is>
      </c>
      <c r="AV1534" t="inlineStr">
        <is>
          <t>28888256</t>
        </is>
      </c>
      <c r="AW1534" t="inlineStr">
        <is>
          <t>991001755769702656</t>
        </is>
      </c>
      <c r="AX1534" t="inlineStr">
        <is>
          <t>991001755769702656</t>
        </is>
      </c>
      <c r="AY1534" t="inlineStr">
        <is>
          <t>2264088680002656</t>
        </is>
      </c>
      <c r="AZ1534" t="inlineStr">
        <is>
          <t>BOOK</t>
        </is>
      </c>
      <c r="BB1534" t="inlineStr">
        <is>
          <t>9780873226219</t>
        </is>
      </c>
      <c r="BC1534" t="inlineStr">
        <is>
          <t>32285001859528</t>
        </is>
      </c>
      <c r="BD1534" t="inlineStr">
        <is>
          <t>893414450</t>
        </is>
      </c>
    </row>
    <row r="1535">
      <c r="A1535" t="inlineStr">
        <is>
          <t>No</t>
        </is>
      </c>
      <c r="B1535" t="inlineStr">
        <is>
          <t>RC685.A65 S75 1988</t>
        </is>
      </c>
      <c r="C1535" t="inlineStr">
        <is>
          <t>0                      RC 0685000A  65                 S  75          1988</t>
        </is>
      </c>
      <c r="D1535" t="inlineStr">
        <is>
          <t>Interpretation of arrhythmias : a self-study program / Emanuel Stein ; illustrations by Thomas Xenakis.</t>
        </is>
      </c>
      <c r="F1535" t="inlineStr">
        <is>
          <t>No</t>
        </is>
      </c>
      <c r="G1535" t="inlineStr">
        <is>
          <t>1</t>
        </is>
      </c>
      <c r="H1535" t="inlineStr">
        <is>
          <t>No</t>
        </is>
      </c>
      <c r="I1535" t="inlineStr">
        <is>
          <t>No</t>
        </is>
      </c>
      <c r="J1535" t="inlineStr">
        <is>
          <t>0</t>
        </is>
      </c>
      <c r="K1535" t="inlineStr">
        <is>
          <t>Stein, Emanuel, 1929-</t>
        </is>
      </c>
      <c r="L1535" t="inlineStr">
        <is>
          <t>Philadelphia : Lea &amp; Febiger, 1988.</t>
        </is>
      </c>
      <c r="M1535" t="inlineStr">
        <is>
          <t>1988</t>
        </is>
      </c>
      <c r="O1535" t="inlineStr">
        <is>
          <t>eng</t>
        </is>
      </c>
      <c r="P1535" t="inlineStr">
        <is>
          <t>pau</t>
        </is>
      </c>
      <c r="R1535" t="inlineStr">
        <is>
          <t xml:space="preserve">RC </t>
        </is>
      </c>
      <c r="S1535" t="n">
        <v>2</v>
      </c>
      <c r="T1535" t="n">
        <v>2</v>
      </c>
      <c r="U1535" t="inlineStr">
        <is>
          <t>2005-11-29</t>
        </is>
      </c>
      <c r="V1535" t="inlineStr">
        <is>
          <t>2005-11-29</t>
        </is>
      </c>
      <c r="W1535" t="inlineStr">
        <is>
          <t>1990-08-27</t>
        </is>
      </c>
      <c r="X1535" t="inlineStr">
        <is>
          <t>1990-08-27</t>
        </is>
      </c>
      <c r="Y1535" t="n">
        <v>87</v>
      </c>
      <c r="Z1535" t="n">
        <v>72</v>
      </c>
      <c r="AA1535" t="n">
        <v>77</v>
      </c>
      <c r="AB1535" t="n">
        <v>1</v>
      </c>
      <c r="AC1535" t="n">
        <v>1</v>
      </c>
      <c r="AD1535" t="n">
        <v>0</v>
      </c>
      <c r="AE1535" t="n">
        <v>0</v>
      </c>
      <c r="AF1535" t="n">
        <v>0</v>
      </c>
      <c r="AG1535" t="n">
        <v>0</v>
      </c>
      <c r="AH1535" t="n">
        <v>0</v>
      </c>
      <c r="AI1535" t="n">
        <v>0</v>
      </c>
      <c r="AJ1535" t="n">
        <v>0</v>
      </c>
      <c r="AK1535" t="n">
        <v>0</v>
      </c>
      <c r="AL1535" t="n">
        <v>0</v>
      </c>
      <c r="AM1535" t="n">
        <v>0</v>
      </c>
      <c r="AN1535" t="n">
        <v>0</v>
      </c>
      <c r="AO1535" t="n">
        <v>0</v>
      </c>
      <c r="AP1535" t="inlineStr">
        <is>
          <t>No</t>
        </is>
      </c>
      <c r="AQ1535" t="inlineStr">
        <is>
          <t>No</t>
        </is>
      </c>
      <c r="AS1535">
        <f>HYPERLINK("https://creighton-primo.hosted.exlibrisgroup.com/primo-explore/search?tab=default_tab&amp;search_scope=EVERYTHING&amp;vid=01CRU&amp;lang=en_US&amp;offset=0&amp;query=any,contains,991001178779702656","Catalog Record")</f>
        <v/>
      </c>
      <c r="AT1535">
        <f>HYPERLINK("http://www.worldcat.org/oclc/17105861","WorldCat Record")</f>
        <v/>
      </c>
      <c r="AU1535" t="inlineStr">
        <is>
          <t>5116998971:eng</t>
        </is>
      </c>
      <c r="AV1535" t="inlineStr">
        <is>
          <t>17105861</t>
        </is>
      </c>
      <c r="AW1535" t="inlineStr">
        <is>
          <t>991001178779702656</t>
        </is>
      </c>
      <c r="AX1535" t="inlineStr">
        <is>
          <t>991001178779702656</t>
        </is>
      </c>
      <c r="AY1535" t="inlineStr">
        <is>
          <t>2267108940002656</t>
        </is>
      </c>
      <c r="AZ1535" t="inlineStr">
        <is>
          <t>BOOK</t>
        </is>
      </c>
      <c r="BB1535" t="inlineStr">
        <is>
          <t>9780812111439</t>
        </is>
      </c>
      <c r="BC1535" t="inlineStr">
        <is>
          <t>32285000275205</t>
        </is>
      </c>
      <c r="BD1535" t="inlineStr">
        <is>
          <t>893534464</t>
        </is>
      </c>
    </row>
    <row r="1536">
      <c r="A1536" t="inlineStr">
        <is>
          <t>No</t>
        </is>
      </c>
      <c r="B1536" t="inlineStr">
        <is>
          <t>RC685.C6 C27 1984</t>
        </is>
      </c>
      <c r="C1536" t="inlineStr">
        <is>
          <t>0                      RC 0685000C  6                  C  27          1984</t>
        </is>
      </c>
      <c r="D1536" t="inlineStr">
        <is>
          <t>Cardiac rehabilitation : exercise testing and prescription / edited by Linda K. Hall, G. Curt Meyer, Herman K. Hellerstein.</t>
        </is>
      </c>
      <c r="F1536" t="inlineStr">
        <is>
          <t>No</t>
        </is>
      </c>
      <c r="G1536" t="inlineStr">
        <is>
          <t>1</t>
        </is>
      </c>
      <c r="H1536" t="inlineStr">
        <is>
          <t>No</t>
        </is>
      </c>
      <c r="I1536" t="inlineStr">
        <is>
          <t>No</t>
        </is>
      </c>
      <c r="J1536" t="inlineStr">
        <is>
          <t>0</t>
        </is>
      </c>
      <c r="L1536" t="inlineStr">
        <is>
          <t>New York : SP Medical &amp; Scientific Books, c1984.</t>
        </is>
      </c>
      <c r="M1536" t="inlineStr">
        <is>
          <t>1984</t>
        </is>
      </c>
      <c r="O1536" t="inlineStr">
        <is>
          <t>eng</t>
        </is>
      </c>
      <c r="P1536" t="inlineStr">
        <is>
          <t>nyu</t>
        </is>
      </c>
      <c r="Q1536" t="inlineStr">
        <is>
          <t>Sports medicine and health science</t>
        </is>
      </c>
      <c r="R1536" t="inlineStr">
        <is>
          <t xml:space="preserve">RC </t>
        </is>
      </c>
      <c r="S1536" t="n">
        <v>10</v>
      </c>
      <c r="T1536" t="n">
        <v>10</v>
      </c>
      <c r="U1536" t="inlineStr">
        <is>
          <t>1997-09-30</t>
        </is>
      </c>
      <c r="V1536" t="inlineStr">
        <is>
          <t>1997-09-30</t>
        </is>
      </c>
      <c r="W1536" t="inlineStr">
        <is>
          <t>1991-11-08</t>
        </is>
      </c>
      <c r="X1536" t="inlineStr">
        <is>
          <t>1991-11-08</t>
        </is>
      </c>
      <c r="Y1536" t="n">
        <v>166</v>
      </c>
      <c r="Z1536" t="n">
        <v>145</v>
      </c>
      <c r="AA1536" t="n">
        <v>269</v>
      </c>
      <c r="AB1536" t="n">
        <v>2</v>
      </c>
      <c r="AC1536" t="n">
        <v>4</v>
      </c>
      <c r="AD1536" t="n">
        <v>4</v>
      </c>
      <c r="AE1536" t="n">
        <v>7</v>
      </c>
      <c r="AF1536" t="n">
        <v>2</v>
      </c>
      <c r="AG1536" t="n">
        <v>3</v>
      </c>
      <c r="AH1536" t="n">
        <v>0</v>
      </c>
      <c r="AI1536" t="n">
        <v>0</v>
      </c>
      <c r="AJ1536" t="n">
        <v>2</v>
      </c>
      <c r="AK1536" t="n">
        <v>2</v>
      </c>
      <c r="AL1536" t="n">
        <v>1</v>
      </c>
      <c r="AM1536" t="n">
        <v>3</v>
      </c>
      <c r="AN1536" t="n">
        <v>0</v>
      </c>
      <c r="AO1536" t="n">
        <v>0</v>
      </c>
      <c r="AP1536" t="inlineStr">
        <is>
          <t>No</t>
        </is>
      </c>
      <c r="AQ1536" t="inlineStr">
        <is>
          <t>Yes</t>
        </is>
      </c>
      <c r="AR1536">
        <f>HYPERLINK("http://catalog.hathitrust.org/Record/000412534","HathiTrust Record")</f>
        <v/>
      </c>
      <c r="AS1536">
        <f>HYPERLINK("https://creighton-primo.hosted.exlibrisgroup.com/primo-explore/search?tab=default_tab&amp;search_scope=EVERYTHING&amp;vid=01CRU&amp;lang=en_US&amp;offset=0&amp;query=any,contains,991000370489702656","Catalog Record")</f>
        <v/>
      </c>
      <c r="AT1536">
        <f>HYPERLINK("http://www.worldcat.org/oclc/10429989","WorldCat Record")</f>
        <v/>
      </c>
      <c r="AU1536" t="inlineStr">
        <is>
          <t>792067356:eng</t>
        </is>
      </c>
      <c r="AV1536" t="inlineStr">
        <is>
          <t>10429989</t>
        </is>
      </c>
      <c r="AW1536" t="inlineStr">
        <is>
          <t>991000370489702656</t>
        </is>
      </c>
      <c r="AX1536" t="inlineStr">
        <is>
          <t>991000370489702656</t>
        </is>
      </c>
      <c r="AY1536" t="inlineStr">
        <is>
          <t>2259395250002656</t>
        </is>
      </c>
      <c r="AZ1536" t="inlineStr">
        <is>
          <t>BOOK</t>
        </is>
      </c>
      <c r="BB1536" t="inlineStr">
        <is>
          <t>9780893352011</t>
        </is>
      </c>
      <c r="BC1536" t="inlineStr">
        <is>
          <t>32285000821107</t>
        </is>
      </c>
      <c r="BD1536" t="inlineStr">
        <is>
          <t>893777878</t>
        </is>
      </c>
    </row>
    <row r="1537">
      <c r="A1537" t="inlineStr">
        <is>
          <t>No</t>
        </is>
      </c>
      <c r="B1537" t="inlineStr">
        <is>
          <t>RC685.C6 F54 1997</t>
        </is>
      </c>
      <c r="C1537" t="inlineStr">
        <is>
          <t>0                      RC 0685000C  6                  F  54          1997</t>
        </is>
      </c>
      <c r="D1537" t="inlineStr">
        <is>
          <t>How to bypass your bypass : what your doctor doesn't tell you about cholesterol and your diet / Richard M. Fleming.</t>
        </is>
      </c>
      <c r="F1537" t="inlineStr">
        <is>
          <t>No</t>
        </is>
      </c>
      <c r="G1537" t="inlineStr">
        <is>
          <t>1</t>
        </is>
      </c>
      <c r="H1537" t="inlineStr">
        <is>
          <t>Yes</t>
        </is>
      </c>
      <c r="I1537" t="inlineStr">
        <is>
          <t>No</t>
        </is>
      </c>
      <c r="J1537" t="inlineStr">
        <is>
          <t>0</t>
        </is>
      </c>
      <c r="K1537" t="inlineStr">
        <is>
          <t>Fleming, Richard M.</t>
        </is>
      </c>
      <c r="L1537" t="inlineStr">
        <is>
          <t>Bethel, Conn : Rutledge Books, Inc., c1997.</t>
        </is>
      </c>
      <c r="M1537" t="inlineStr">
        <is>
          <t>1997</t>
        </is>
      </c>
      <c r="O1537" t="inlineStr">
        <is>
          <t>eng</t>
        </is>
      </c>
      <c r="P1537" t="inlineStr">
        <is>
          <t>ctu</t>
        </is>
      </c>
      <c r="R1537" t="inlineStr">
        <is>
          <t xml:space="preserve">RC </t>
        </is>
      </c>
      <c r="S1537" t="n">
        <v>5</v>
      </c>
      <c r="T1537" t="n">
        <v>12</v>
      </c>
      <c r="U1537" t="inlineStr">
        <is>
          <t>1998-03-31</t>
        </is>
      </c>
      <c r="V1537" t="inlineStr">
        <is>
          <t>1999-10-09</t>
        </is>
      </c>
      <c r="W1537" t="inlineStr">
        <is>
          <t>1997-09-11</t>
        </is>
      </c>
      <c r="X1537" t="inlineStr">
        <is>
          <t>1999-04-30</t>
        </is>
      </c>
      <c r="Y1537" t="n">
        <v>31</v>
      </c>
      <c r="Z1537" t="n">
        <v>30</v>
      </c>
      <c r="AA1537" t="n">
        <v>30</v>
      </c>
      <c r="AB1537" t="n">
        <v>4</v>
      </c>
      <c r="AC1537" t="n">
        <v>4</v>
      </c>
      <c r="AD1537" t="n">
        <v>0</v>
      </c>
      <c r="AE1537" t="n">
        <v>0</v>
      </c>
      <c r="AF1537" t="n">
        <v>0</v>
      </c>
      <c r="AG1537" t="n">
        <v>0</v>
      </c>
      <c r="AH1537" t="n">
        <v>0</v>
      </c>
      <c r="AI1537" t="n">
        <v>0</v>
      </c>
      <c r="AJ1537" t="n">
        <v>0</v>
      </c>
      <c r="AK1537" t="n">
        <v>0</v>
      </c>
      <c r="AL1537" t="n">
        <v>0</v>
      </c>
      <c r="AM1537" t="n">
        <v>0</v>
      </c>
      <c r="AN1537" t="n">
        <v>0</v>
      </c>
      <c r="AO1537" t="n">
        <v>0</v>
      </c>
      <c r="AP1537" t="inlineStr">
        <is>
          <t>No</t>
        </is>
      </c>
      <c r="AQ1537" t="inlineStr">
        <is>
          <t>No</t>
        </is>
      </c>
      <c r="AS1537">
        <f>HYPERLINK("https://creighton-primo.hosted.exlibrisgroup.com/primo-explore/search?tab=default_tab&amp;search_scope=EVERYTHING&amp;vid=01CRU&amp;lang=en_US&amp;offset=0&amp;query=any,contains,991001808379702656","Catalog Record")</f>
        <v/>
      </c>
      <c r="AT1537">
        <f>HYPERLINK("http://www.worldcat.org/oclc/37549547","WorldCat Record")</f>
        <v/>
      </c>
      <c r="AU1537" t="inlineStr">
        <is>
          <t>623964:eng</t>
        </is>
      </c>
      <c r="AV1537" t="inlineStr">
        <is>
          <t>37549547</t>
        </is>
      </c>
      <c r="AW1537" t="inlineStr">
        <is>
          <t>991001808379702656</t>
        </is>
      </c>
      <c r="AX1537" t="inlineStr">
        <is>
          <t>991001808379702656</t>
        </is>
      </c>
      <c r="AY1537" t="inlineStr">
        <is>
          <t>2263235990002656</t>
        </is>
      </c>
      <c r="AZ1537" t="inlineStr">
        <is>
          <t>BOOK</t>
        </is>
      </c>
      <c r="BB1537" t="inlineStr">
        <is>
          <t>9781887750554</t>
        </is>
      </c>
      <c r="BC1537" t="inlineStr">
        <is>
          <t>32285003175212</t>
        </is>
      </c>
      <c r="BD1537" t="inlineStr">
        <is>
          <t>893772923</t>
        </is>
      </c>
    </row>
    <row r="1538">
      <c r="A1538" t="inlineStr">
        <is>
          <t>No</t>
        </is>
      </c>
      <c r="B1538" t="inlineStr">
        <is>
          <t>RC685.C6 F7 1985</t>
        </is>
      </c>
      <c r="C1538" t="inlineStr">
        <is>
          <t>0                      RC 0685000C  6                  F  7           1985</t>
        </is>
      </c>
      <c r="D1538" t="inlineStr">
        <is>
          <t>The Framingham heart study : what organizations need to know / William P. Castelli ... [et.al.]</t>
        </is>
      </c>
      <c r="F1538" t="inlineStr">
        <is>
          <t>No</t>
        </is>
      </c>
      <c r="G1538" t="inlineStr">
        <is>
          <t>1</t>
        </is>
      </c>
      <c r="H1538" t="inlineStr">
        <is>
          <t>No</t>
        </is>
      </c>
      <c r="I1538" t="inlineStr">
        <is>
          <t>No</t>
        </is>
      </c>
      <c r="J1538" t="inlineStr">
        <is>
          <t>0</t>
        </is>
      </c>
      <c r="L1538" t="inlineStr">
        <is>
          <t>[University Park, Pa.] : College of Business Administration, Pennsylvania State University, [1985?]</t>
        </is>
      </c>
      <c r="M1538" t="inlineStr">
        <is>
          <t>1985</t>
        </is>
      </c>
      <c r="O1538" t="inlineStr">
        <is>
          <t>eng</t>
        </is>
      </c>
      <c r="P1538" t="inlineStr">
        <is>
          <t>pau</t>
        </is>
      </c>
      <c r="Q1538" t="inlineStr">
        <is>
          <t>The William Elliott lectures ; 1985</t>
        </is>
      </c>
      <c r="R1538" t="inlineStr">
        <is>
          <t xml:space="preserve">RC </t>
        </is>
      </c>
      <c r="S1538" t="n">
        <v>3</v>
      </c>
      <c r="T1538" t="n">
        <v>3</v>
      </c>
      <c r="U1538" t="inlineStr">
        <is>
          <t>1995-02-14</t>
        </is>
      </c>
      <c r="V1538" t="inlineStr">
        <is>
          <t>1995-02-14</t>
        </is>
      </c>
      <c r="W1538" t="inlineStr">
        <is>
          <t>1993-03-24</t>
        </is>
      </c>
      <c r="X1538" t="inlineStr">
        <is>
          <t>1993-03-24</t>
        </is>
      </c>
      <c r="Y1538" t="n">
        <v>30</v>
      </c>
      <c r="Z1538" t="n">
        <v>30</v>
      </c>
      <c r="AA1538" t="n">
        <v>30</v>
      </c>
      <c r="AB1538" t="n">
        <v>2</v>
      </c>
      <c r="AC1538" t="n">
        <v>2</v>
      </c>
      <c r="AD1538" t="n">
        <v>1</v>
      </c>
      <c r="AE1538" t="n">
        <v>1</v>
      </c>
      <c r="AF1538" t="n">
        <v>0</v>
      </c>
      <c r="AG1538" t="n">
        <v>0</v>
      </c>
      <c r="AH1538" t="n">
        <v>0</v>
      </c>
      <c r="AI1538" t="n">
        <v>0</v>
      </c>
      <c r="AJ1538" t="n">
        <v>0</v>
      </c>
      <c r="AK1538" t="n">
        <v>0</v>
      </c>
      <c r="AL1538" t="n">
        <v>1</v>
      </c>
      <c r="AM1538" t="n">
        <v>1</v>
      </c>
      <c r="AN1538" t="n">
        <v>0</v>
      </c>
      <c r="AO1538" t="n">
        <v>0</v>
      </c>
      <c r="AP1538" t="inlineStr">
        <is>
          <t>No</t>
        </is>
      </c>
      <c r="AQ1538" t="inlineStr">
        <is>
          <t>No</t>
        </is>
      </c>
      <c r="AS1538">
        <f>HYPERLINK("https://creighton-primo.hosted.exlibrisgroup.com/primo-explore/search?tab=default_tab&amp;search_scope=EVERYTHING&amp;vid=01CRU&amp;lang=en_US&amp;offset=0&amp;query=any,contains,991001034749702656","Catalog Record")</f>
        <v/>
      </c>
      <c r="AT1538">
        <f>HYPERLINK("http://www.worldcat.org/oclc/15537479","WorldCat Record")</f>
        <v/>
      </c>
      <c r="AU1538" t="inlineStr">
        <is>
          <t>10556943:eng</t>
        </is>
      </c>
      <c r="AV1538" t="inlineStr">
        <is>
          <t>15537479</t>
        </is>
      </c>
      <c r="AW1538" t="inlineStr">
        <is>
          <t>991001034749702656</t>
        </is>
      </c>
      <c r="AX1538" t="inlineStr">
        <is>
          <t>991001034749702656</t>
        </is>
      </c>
      <c r="AY1538" t="inlineStr">
        <is>
          <t>2266916300002656</t>
        </is>
      </c>
      <c r="AZ1538" t="inlineStr">
        <is>
          <t>BOOK</t>
        </is>
      </c>
      <c r="BC1538" t="inlineStr">
        <is>
          <t>32285001607968</t>
        </is>
      </c>
      <c r="BD1538" t="inlineStr">
        <is>
          <t>893522229</t>
        </is>
      </c>
    </row>
    <row r="1539">
      <c r="A1539" t="inlineStr">
        <is>
          <t>No</t>
        </is>
      </c>
      <c r="B1539" t="inlineStr">
        <is>
          <t>RC685.C6 H35 1996</t>
        </is>
      </c>
      <c r="C1539" t="inlineStr">
        <is>
          <t>0                      RC 0685000C  6                  H  35          1996</t>
        </is>
      </c>
      <c r="D1539" t="inlineStr">
        <is>
          <t>Heart &amp; mind : the practice of cardiac psychology / edited by Robert Allan and Stephen Scheidt.</t>
        </is>
      </c>
      <c r="F1539" t="inlineStr">
        <is>
          <t>No</t>
        </is>
      </c>
      <c r="G1539" t="inlineStr">
        <is>
          <t>1</t>
        </is>
      </c>
      <c r="H1539" t="inlineStr">
        <is>
          <t>Yes</t>
        </is>
      </c>
      <c r="I1539" t="inlineStr">
        <is>
          <t>No</t>
        </is>
      </c>
      <c r="J1539" t="inlineStr">
        <is>
          <t>0</t>
        </is>
      </c>
      <c r="L1539" t="inlineStr">
        <is>
          <t>Washington, DC : American Psychological Association, c1996.</t>
        </is>
      </c>
      <c r="M1539" t="inlineStr">
        <is>
          <t>1996</t>
        </is>
      </c>
      <c r="N1539" t="inlineStr">
        <is>
          <t>1st ed.</t>
        </is>
      </c>
      <c r="O1539" t="inlineStr">
        <is>
          <t>eng</t>
        </is>
      </c>
      <c r="P1539" t="inlineStr">
        <is>
          <t>dcu</t>
        </is>
      </c>
      <c r="R1539" t="inlineStr">
        <is>
          <t xml:space="preserve">RC </t>
        </is>
      </c>
      <c r="S1539" t="n">
        <v>3</v>
      </c>
      <c r="T1539" t="n">
        <v>8</v>
      </c>
      <c r="U1539" t="inlineStr">
        <is>
          <t>1999-09-12</t>
        </is>
      </c>
      <c r="V1539" t="inlineStr">
        <is>
          <t>2010-09-30</t>
        </is>
      </c>
      <c r="W1539" t="inlineStr">
        <is>
          <t>1998-08-31</t>
        </is>
      </c>
      <c r="X1539" t="inlineStr">
        <is>
          <t>2002-06-18</t>
        </is>
      </c>
      <c r="Y1539" t="n">
        <v>303</v>
      </c>
      <c r="Z1539" t="n">
        <v>250</v>
      </c>
      <c r="AA1539" t="n">
        <v>426</v>
      </c>
      <c r="AB1539" t="n">
        <v>2</v>
      </c>
      <c r="AC1539" t="n">
        <v>3</v>
      </c>
      <c r="AD1539" t="n">
        <v>15</v>
      </c>
      <c r="AE1539" t="n">
        <v>23</v>
      </c>
      <c r="AF1539" t="n">
        <v>6</v>
      </c>
      <c r="AG1539" t="n">
        <v>8</v>
      </c>
      <c r="AH1539" t="n">
        <v>2</v>
      </c>
      <c r="AI1539" t="n">
        <v>3</v>
      </c>
      <c r="AJ1539" t="n">
        <v>10</v>
      </c>
      <c r="AK1539" t="n">
        <v>15</v>
      </c>
      <c r="AL1539" t="n">
        <v>1</v>
      </c>
      <c r="AM1539" t="n">
        <v>2</v>
      </c>
      <c r="AN1539" t="n">
        <v>0</v>
      </c>
      <c r="AO1539" t="n">
        <v>0</v>
      </c>
      <c r="AP1539" t="inlineStr">
        <is>
          <t>No</t>
        </is>
      </c>
      <c r="AQ1539" t="inlineStr">
        <is>
          <t>No</t>
        </is>
      </c>
      <c r="AS1539">
        <f>HYPERLINK("https://creighton-primo.hosted.exlibrisgroup.com/primo-explore/search?tab=default_tab&amp;search_scope=EVERYTHING&amp;vid=01CRU&amp;lang=en_US&amp;offset=0&amp;query=any,contains,991001691149702656","Catalog Record")</f>
        <v/>
      </c>
      <c r="AT1539">
        <f>HYPERLINK("http://www.worldcat.org/oclc/34413595","WorldCat Record")</f>
        <v/>
      </c>
      <c r="AU1539" t="inlineStr">
        <is>
          <t>1078121254:eng</t>
        </is>
      </c>
      <c r="AV1539" t="inlineStr">
        <is>
          <t>34413595</t>
        </is>
      </c>
      <c r="AW1539" t="inlineStr">
        <is>
          <t>991001691149702656</t>
        </is>
      </c>
      <c r="AX1539" t="inlineStr">
        <is>
          <t>991001691149702656</t>
        </is>
      </c>
      <c r="AY1539" t="inlineStr">
        <is>
          <t>2260009390002656</t>
        </is>
      </c>
      <c r="AZ1539" t="inlineStr">
        <is>
          <t>BOOK</t>
        </is>
      </c>
      <c r="BB1539" t="inlineStr">
        <is>
          <t>9781557983565</t>
        </is>
      </c>
      <c r="BC1539" t="inlineStr">
        <is>
          <t>32285003463584</t>
        </is>
      </c>
      <c r="BD1539" t="inlineStr">
        <is>
          <t>893615315</t>
        </is>
      </c>
    </row>
    <row r="1540">
      <c r="A1540" t="inlineStr">
        <is>
          <t>No</t>
        </is>
      </c>
      <c r="B1540" t="inlineStr">
        <is>
          <t>RC685.C6 K345 2008</t>
        </is>
      </c>
      <c r="C1540" t="inlineStr">
        <is>
          <t>0                      RC 0685000C  6                  K  345         2008</t>
        </is>
      </c>
      <c r="D1540" t="inlineStr">
        <is>
          <t>Empowering vulnerable populations : cognitive-behavioral interventions / Mary Keegan Eamon.</t>
        </is>
      </c>
      <c r="F1540" t="inlineStr">
        <is>
          <t>No</t>
        </is>
      </c>
      <c r="G1540" t="inlineStr">
        <is>
          <t>1</t>
        </is>
      </c>
      <c r="H1540" t="inlineStr">
        <is>
          <t>No</t>
        </is>
      </c>
      <c r="I1540" t="inlineStr">
        <is>
          <t>No</t>
        </is>
      </c>
      <c r="J1540" t="inlineStr">
        <is>
          <t>0</t>
        </is>
      </c>
      <c r="K1540" t="inlineStr">
        <is>
          <t>Keegan Eamon, Mary.</t>
        </is>
      </c>
      <c r="L1540" t="inlineStr">
        <is>
          <t>Chicago, Ill. : Lyceum Books, c2008.</t>
        </is>
      </c>
      <c r="M1540" t="inlineStr">
        <is>
          <t>2008</t>
        </is>
      </c>
      <c r="O1540" t="inlineStr">
        <is>
          <t>eng</t>
        </is>
      </c>
      <c r="P1540" t="inlineStr">
        <is>
          <t>ilu</t>
        </is>
      </c>
      <c r="R1540" t="inlineStr">
        <is>
          <t xml:space="preserve">RC </t>
        </is>
      </c>
      <c r="S1540" t="n">
        <v>2</v>
      </c>
      <c r="T1540" t="n">
        <v>2</v>
      </c>
      <c r="U1540" t="inlineStr">
        <is>
          <t>2009-06-11</t>
        </is>
      </c>
      <c r="V1540" t="inlineStr">
        <is>
          <t>2009-06-11</t>
        </is>
      </c>
      <c r="W1540" t="inlineStr">
        <is>
          <t>2008-03-03</t>
        </is>
      </c>
      <c r="X1540" t="inlineStr">
        <is>
          <t>2008-03-03</t>
        </is>
      </c>
      <c r="Y1540" t="n">
        <v>127</v>
      </c>
      <c r="Z1540" t="n">
        <v>98</v>
      </c>
      <c r="AA1540" t="n">
        <v>98</v>
      </c>
      <c r="AB1540" t="n">
        <v>1</v>
      </c>
      <c r="AC1540" t="n">
        <v>1</v>
      </c>
      <c r="AD1540" t="n">
        <v>8</v>
      </c>
      <c r="AE1540" t="n">
        <v>8</v>
      </c>
      <c r="AF1540" t="n">
        <v>5</v>
      </c>
      <c r="AG1540" t="n">
        <v>5</v>
      </c>
      <c r="AH1540" t="n">
        <v>0</v>
      </c>
      <c r="AI1540" t="n">
        <v>0</v>
      </c>
      <c r="AJ1540" t="n">
        <v>3</v>
      </c>
      <c r="AK1540" t="n">
        <v>3</v>
      </c>
      <c r="AL1540" t="n">
        <v>0</v>
      </c>
      <c r="AM1540" t="n">
        <v>0</v>
      </c>
      <c r="AN1540" t="n">
        <v>0</v>
      </c>
      <c r="AO1540" t="n">
        <v>0</v>
      </c>
      <c r="AP1540" t="inlineStr">
        <is>
          <t>No</t>
        </is>
      </c>
      <c r="AQ1540" t="inlineStr">
        <is>
          <t>No</t>
        </is>
      </c>
      <c r="AS1540">
        <f>HYPERLINK("https://creighton-primo.hosted.exlibrisgroup.com/primo-explore/search?tab=default_tab&amp;search_scope=EVERYTHING&amp;vid=01CRU&amp;lang=en_US&amp;offset=0&amp;query=any,contains,991005183839702656","Catalog Record")</f>
        <v/>
      </c>
      <c r="AT1540">
        <f>HYPERLINK("http://www.worldcat.org/oclc/173243795","WorldCat Record")</f>
        <v/>
      </c>
      <c r="AU1540" t="inlineStr">
        <is>
          <t>1149217679:eng</t>
        </is>
      </c>
      <c r="AV1540" t="inlineStr">
        <is>
          <t>173243795</t>
        </is>
      </c>
      <c r="AW1540" t="inlineStr">
        <is>
          <t>991005183839702656</t>
        </is>
      </c>
      <c r="AX1540" t="inlineStr">
        <is>
          <t>991005183839702656</t>
        </is>
      </c>
      <c r="AY1540" t="inlineStr">
        <is>
          <t>2264889110002656</t>
        </is>
      </c>
      <c r="AZ1540" t="inlineStr">
        <is>
          <t>BOOK</t>
        </is>
      </c>
      <c r="BB1540" t="inlineStr">
        <is>
          <t>9781933478210</t>
        </is>
      </c>
      <c r="BC1540" t="inlineStr">
        <is>
          <t>32285005395206</t>
        </is>
      </c>
      <c r="BD1540" t="inlineStr">
        <is>
          <t>893619603</t>
        </is>
      </c>
    </row>
    <row r="1541">
      <c r="A1541" t="inlineStr">
        <is>
          <t>No</t>
        </is>
      </c>
      <c r="B1541" t="inlineStr">
        <is>
          <t>RC685.C6 R68 1987</t>
        </is>
      </c>
      <c r="C1541" t="inlineStr">
        <is>
          <t>0                      RC 0685000C  6                  R  68          1987</t>
        </is>
      </c>
      <c r="D1541" t="inlineStr">
        <is>
          <t>Stress management for the healthy type A : theory and practice / Ethel Roskies ; foreword by Richard S. Lazarus.</t>
        </is>
      </c>
      <c r="F1541" t="inlineStr">
        <is>
          <t>No</t>
        </is>
      </c>
      <c r="G1541" t="inlineStr">
        <is>
          <t>1</t>
        </is>
      </c>
      <c r="H1541" t="inlineStr">
        <is>
          <t>Yes</t>
        </is>
      </c>
      <c r="I1541" t="inlineStr">
        <is>
          <t>No</t>
        </is>
      </c>
      <c r="J1541" t="inlineStr">
        <is>
          <t>0</t>
        </is>
      </c>
      <c r="K1541" t="inlineStr">
        <is>
          <t>Roskies, Ethel.</t>
        </is>
      </c>
      <c r="L1541" t="inlineStr">
        <is>
          <t>New York : Guilford Press, c1987.</t>
        </is>
      </c>
      <c r="M1541" t="inlineStr">
        <is>
          <t>1987</t>
        </is>
      </c>
      <c r="O1541" t="inlineStr">
        <is>
          <t>eng</t>
        </is>
      </c>
      <c r="P1541" t="inlineStr">
        <is>
          <t>nyu</t>
        </is>
      </c>
      <c r="R1541" t="inlineStr">
        <is>
          <t xml:space="preserve">RC </t>
        </is>
      </c>
      <c r="S1541" t="n">
        <v>14</v>
      </c>
      <c r="T1541" t="n">
        <v>14</v>
      </c>
      <c r="U1541" t="inlineStr">
        <is>
          <t>1999-04-05</t>
        </is>
      </c>
      <c r="V1541" t="inlineStr">
        <is>
          <t>1999-04-05</t>
        </is>
      </c>
      <c r="W1541" t="inlineStr">
        <is>
          <t>1990-02-21</t>
        </is>
      </c>
      <c r="X1541" t="inlineStr">
        <is>
          <t>1990-02-21</t>
        </is>
      </c>
      <c r="Y1541" t="n">
        <v>427</v>
      </c>
      <c r="Z1541" t="n">
        <v>365</v>
      </c>
      <c r="AA1541" t="n">
        <v>366</v>
      </c>
      <c r="AB1541" t="n">
        <v>5</v>
      </c>
      <c r="AC1541" t="n">
        <v>5</v>
      </c>
      <c r="AD1541" t="n">
        <v>18</v>
      </c>
      <c r="AE1541" t="n">
        <v>18</v>
      </c>
      <c r="AF1541" t="n">
        <v>6</v>
      </c>
      <c r="AG1541" t="n">
        <v>6</v>
      </c>
      <c r="AH1541" t="n">
        <v>5</v>
      </c>
      <c r="AI1541" t="n">
        <v>5</v>
      </c>
      <c r="AJ1541" t="n">
        <v>11</v>
      </c>
      <c r="AK1541" t="n">
        <v>11</v>
      </c>
      <c r="AL1541" t="n">
        <v>3</v>
      </c>
      <c r="AM1541" t="n">
        <v>3</v>
      </c>
      <c r="AN1541" t="n">
        <v>0</v>
      </c>
      <c r="AO1541" t="n">
        <v>0</v>
      </c>
      <c r="AP1541" t="inlineStr">
        <is>
          <t>No</t>
        </is>
      </c>
      <c r="AQ1541" t="inlineStr">
        <is>
          <t>No</t>
        </is>
      </c>
      <c r="AS1541">
        <f>HYPERLINK("https://creighton-primo.hosted.exlibrisgroup.com/primo-explore/search?tab=default_tab&amp;search_scope=EVERYTHING&amp;vid=01CRU&amp;lang=en_US&amp;offset=0&amp;query=any,contains,991000973719702656","Catalog Record")</f>
        <v/>
      </c>
      <c r="AT1541">
        <f>HYPERLINK("http://www.worldcat.org/oclc/14967550","WorldCat Record")</f>
        <v/>
      </c>
      <c r="AU1541" t="inlineStr">
        <is>
          <t>190130337:eng</t>
        </is>
      </c>
      <c r="AV1541" t="inlineStr">
        <is>
          <t>14967550</t>
        </is>
      </c>
      <c r="AW1541" t="inlineStr">
        <is>
          <t>991000973719702656</t>
        </is>
      </c>
      <c r="AX1541" t="inlineStr">
        <is>
          <t>991000973719702656</t>
        </is>
      </c>
      <c r="AY1541" t="inlineStr">
        <is>
          <t>2262373680002656</t>
        </is>
      </c>
      <c r="AZ1541" t="inlineStr">
        <is>
          <t>BOOK</t>
        </is>
      </c>
      <c r="BB1541" t="inlineStr">
        <is>
          <t>9780898626896</t>
        </is>
      </c>
      <c r="BC1541" t="inlineStr">
        <is>
          <t>32285000056662</t>
        </is>
      </c>
      <c r="BD1541" t="inlineStr">
        <is>
          <t>893720880</t>
        </is>
      </c>
    </row>
    <row r="1542">
      <c r="A1542" t="inlineStr">
        <is>
          <t>No</t>
        </is>
      </c>
      <c r="B1542" t="inlineStr">
        <is>
          <t>RC685.C6 S7513 1988</t>
        </is>
      </c>
      <c r="C1542" t="inlineStr">
        <is>
          <t>0                      RC 0685000C  6                  S  7513        1988</t>
        </is>
      </c>
      <c r="D1542" t="inlineStr">
        <is>
          <t>Cardiac rehabilitation : outpatient physical training methods / Josef Stippig, Aloys Berg, Joseph Keul ; edited by Louis R. Amundsen.</t>
        </is>
      </c>
      <c r="F1542" t="inlineStr">
        <is>
          <t>No</t>
        </is>
      </c>
      <c r="G1542" t="inlineStr">
        <is>
          <t>1</t>
        </is>
      </c>
      <c r="H1542" t="inlineStr">
        <is>
          <t>No</t>
        </is>
      </c>
      <c r="I1542" t="inlineStr">
        <is>
          <t>No</t>
        </is>
      </c>
      <c r="J1542" t="inlineStr">
        <is>
          <t>0</t>
        </is>
      </c>
      <c r="K1542" t="inlineStr">
        <is>
          <t>Stippig, Josef.</t>
        </is>
      </c>
      <c r="L1542" t="inlineStr">
        <is>
          <t>Rockville, Md. : Aspen Publishers, 1988.</t>
        </is>
      </c>
      <c r="M1542" t="inlineStr">
        <is>
          <t>1988</t>
        </is>
      </c>
      <c r="N1542" t="inlineStr">
        <is>
          <t>English language ed.</t>
        </is>
      </c>
      <c r="O1542" t="inlineStr">
        <is>
          <t>eng</t>
        </is>
      </c>
      <c r="P1542" t="inlineStr">
        <is>
          <t>mdu</t>
        </is>
      </c>
      <c r="R1542" t="inlineStr">
        <is>
          <t xml:space="preserve">RC </t>
        </is>
      </c>
      <c r="S1542" t="n">
        <v>8</v>
      </c>
      <c r="T1542" t="n">
        <v>8</v>
      </c>
      <c r="U1542" t="inlineStr">
        <is>
          <t>1998-11-19</t>
        </is>
      </c>
      <c r="V1542" t="inlineStr">
        <is>
          <t>1998-11-19</t>
        </is>
      </c>
      <c r="W1542" t="inlineStr">
        <is>
          <t>1989-11-06</t>
        </is>
      </c>
      <c r="X1542" t="inlineStr">
        <is>
          <t>1989-11-06</t>
        </is>
      </c>
      <c r="Y1542" t="n">
        <v>122</v>
      </c>
      <c r="Z1542" t="n">
        <v>106</v>
      </c>
      <c r="AA1542" t="n">
        <v>176</v>
      </c>
      <c r="AB1542" t="n">
        <v>1</v>
      </c>
      <c r="AC1542" t="n">
        <v>1</v>
      </c>
      <c r="AD1542" t="n">
        <v>5</v>
      </c>
      <c r="AE1542" t="n">
        <v>5</v>
      </c>
      <c r="AF1542" t="n">
        <v>2</v>
      </c>
      <c r="AG1542" t="n">
        <v>2</v>
      </c>
      <c r="AH1542" t="n">
        <v>2</v>
      </c>
      <c r="AI1542" t="n">
        <v>2</v>
      </c>
      <c r="AJ1542" t="n">
        <v>3</v>
      </c>
      <c r="AK1542" t="n">
        <v>3</v>
      </c>
      <c r="AL1542" t="n">
        <v>0</v>
      </c>
      <c r="AM1542" t="n">
        <v>0</v>
      </c>
      <c r="AN1542" t="n">
        <v>0</v>
      </c>
      <c r="AO1542" t="n">
        <v>0</v>
      </c>
      <c r="AP1542" t="inlineStr">
        <is>
          <t>No</t>
        </is>
      </c>
      <c r="AQ1542" t="inlineStr">
        <is>
          <t>No</t>
        </is>
      </c>
      <c r="AS1542">
        <f>HYPERLINK("https://creighton-primo.hosted.exlibrisgroup.com/primo-explore/search?tab=default_tab&amp;search_scope=EVERYTHING&amp;vid=01CRU&amp;lang=en_US&amp;offset=0&amp;query=any,contains,991001115119702656","Catalog Record")</f>
        <v/>
      </c>
      <c r="AT1542">
        <f>HYPERLINK("http://www.worldcat.org/oclc/16525296","WorldCat Record")</f>
        <v/>
      </c>
      <c r="AU1542" t="inlineStr">
        <is>
          <t>12451468:eng</t>
        </is>
      </c>
      <c r="AV1542" t="inlineStr">
        <is>
          <t>16525296</t>
        </is>
      </c>
      <c r="AW1542" t="inlineStr">
        <is>
          <t>991001115119702656</t>
        </is>
      </c>
      <c r="AX1542" t="inlineStr">
        <is>
          <t>991001115119702656</t>
        </is>
      </c>
      <c r="AY1542" t="inlineStr">
        <is>
          <t>2258850320002656</t>
        </is>
      </c>
      <c r="AZ1542" t="inlineStr">
        <is>
          <t>BOOK</t>
        </is>
      </c>
      <c r="BB1542" t="inlineStr">
        <is>
          <t>9780871898852</t>
        </is>
      </c>
      <c r="BC1542" t="inlineStr">
        <is>
          <t>32285000011683</t>
        </is>
      </c>
      <c r="BD1542" t="inlineStr">
        <is>
          <t>893321638</t>
        </is>
      </c>
    </row>
    <row r="1543">
      <c r="A1543" t="inlineStr">
        <is>
          <t>No</t>
        </is>
      </c>
      <c r="B1543" t="inlineStr">
        <is>
          <t>RC685.C6 T95 1991</t>
        </is>
      </c>
      <c r="C1543" t="inlineStr">
        <is>
          <t>0                      RC 0685000C  6                  T  95          1991</t>
        </is>
      </c>
      <c r="D1543" t="inlineStr">
        <is>
          <t>Type A behavior / edited by Michael J. Strube.</t>
        </is>
      </c>
      <c r="F1543" t="inlineStr">
        <is>
          <t>No</t>
        </is>
      </c>
      <c r="G1543" t="inlineStr">
        <is>
          <t>1</t>
        </is>
      </c>
      <c r="H1543" t="inlineStr">
        <is>
          <t>No</t>
        </is>
      </c>
      <c r="I1543" t="inlineStr">
        <is>
          <t>No</t>
        </is>
      </c>
      <c r="J1543" t="inlineStr">
        <is>
          <t>0</t>
        </is>
      </c>
      <c r="L1543" t="inlineStr">
        <is>
          <t>Newbury Park, Calif. : Sage Publications, c1991.</t>
        </is>
      </c>
      <c r="M1543" t="inlineStr">
        <is>
          <t>1991</t>
        </is>
      </c>
      <c r="O1543" t="inlineStr">
        <is>
          <t>eng</t>
        </is>
      </c>
      <c r="P1543" t="inlineStr">
        <is>
          <t>cau</t>
        </is>
      </c>
      <c r="R1543" t="inlineStr">
        <is>
          <t xml:space="preserve">RC </t>
        </is>
      </c>
      <c r="S1543" t="n">
        <v>18</v>
      </c>
      <c r="T1543" t="n">
        <v>18</v>
      </c>
      <c r="U1543" t="inlineStr">
        <is>
          <t>1997-04-10</t>
        </is>
      </c>
      <c r="V1543" t="inlineStr">
        <is>
          <t>1997-04-10</t>
        </is>
      </c>
      <c r="W1543" t="inlineStr">
        <is>
          <t>1992-04-30</t>
        </is>
      </c>
      <c r="X1543" t="inlineStr">
        <is>
          <t>1992-04-30</t>
        </is>
      </c>
      <c r="Y1543" t="n">
        <v>144</v>
      </c>
      <c r="Z1543" t="n">
        <v>80</v>
      </c>
      <c r="AA1543" t="n">
        <v>104</v>
      </c>
      <c r="AB1543" t="n">
        <v>1</v>
      </c>
      <c r="AC1543" t="n">
        <v>1</v>
      </c>
      <c r="AD1543" t="n">
        <v>3</v>
      </c>
      <c r="AE1543" t="n">
        <v>3</v>
      </c>
      <c r="AF1543" t="n">
        <v>0</v>
      </c>
      <c r="AG1543" t="n">
        <v>0</v>
      </c>
      <c r="AH1543" t="n">
        <v>1</v>
      </c>
      <c r="AI1543" t="n">
        <v>1</v>
      </c>
      <c r="AJ1543" t="n">
        <v>2</v>
      </c>
      <c r="AK1543" t="n">
        <v>2</v>
      </c>
      <c r="AL1543" t="n">
        <v>0</v>
      </c>
      <c r="AM1543" t="n">
        <v>0</v>
      </c>
      <c r="AN1543" t="n">
        <v>0</v>
      </c>
      <c r="AO1543" t="n">
        <v>0</v>
      </c>
      <c r="AP1543" t="inlineStr">
        <is>
          <t>No</t>
        </is>
      </c>
      <c r="AQ1543" t="inlineStr">
        <is>
          <t>No</t>
        </is>
      </c>
      <c r="AS1543">
        <f>HYPERLINK("https://creighton-primo.hosted.exlibrisgroup.com/primo-explore/search?tab=default_tab&amp;search_scope=EVERYTHING&amp;vid=01CRU&amp;lang=en_US&amp;offset=0&amp;query=any,contains,991001815419702656","Catalog Record")</f>
        <v/>
      </c>
      <c r="AT1543">
        <f>HYPERLINK("http://www.worldcat.org/oclc/22810074","WorldCat Record")</f>
        <v/>
      </c>
      <c r="AU1543" t="inlineStr">
        <is>
          <t>54918707:eng</t>
        </is>
      </c>
      <c r="AV1543" t="inlineStr">
        <is>
          <t>22810074</t>
        </is>
      </c>
      <c r="AW1543" t="inlineStr">
        <is>
          <t>991001815419702656</t>
        </is>
      </c>
      <c r="AX1543" t="inlineStr">
        <is>
          <t>991001815419702656</t>
        </is>
      </c>
      <c r="AY1543" t="inlineStr">
        <is>
          <t>2265690170002656</t>
        </is>
      </c>
      <c r="AZ1543" t="inlineStr">
        <is>
          <t>BOOK</t>
        </is>
      </c>
      <c r="BB1543" t="inlineStr">
        <is>
          <t>9780803940901</t>
        </is>
      </c>
      <c r="BC1543" t="inlineStr">
        <is>
          <t>32285001037497</t>
        </is>
      </c>
      <c r="BD1543" t="inlineStr">
        <is>
          <t>893433161</t>
        </is>
      </c>
    </row>
    <row r="1544">
      <c r="A1544" t="inlineStr">
        <is>
          <t>No</t>
        </is>
      </c>
      <c r="B1544" t="inlineStr">
        <is>
          <t>RC685.C6 W55 1989</t>
        </is>
      </c>
      <c r="C1544" t="inlineStr">
        <is>
          <t>0                      RC 0685000C  6                  W  55          1989</t>
        </is>
      </c>
      <c r="D1544" t="inlineStr">
        <is>
          <t>The trusting heart : great news about type A behavior / Redford Williams.</t>
        </is>
      </c>
      <c r="F1544" t="inlineStr">
        <is>
          <t>No</t>
        </is>
      </c>
      <c r="G1544" t="inlineStr">
        <is>
          <t>1</t>
        </is>
      </c>
      <c r="H1544" t="inlineStr">
        <is>
          <t>No</t>
        </is>
      </c>
      <c r="I1544" t="inlineStr">
        <is>
          <t>No</t>
        </is>
      </c>
      <c r="J1544" t="inlineStr">
        <is>
          <t>0</t>
        </is>
      </c>
      <c r="K1544" t="inlineStr">
        <is>
          <t>Williams, Redford B., 1940-</t>
        </is>
      </c>
      <c r="L1544" t="inlineStr">
        <is>
          <t>New York : Times Books, c1989.</t>
        </is>
      </c>
      <c r="M1544" t="inlineStr">
        <is>
          <t>1989</t>
        </is>
      </c>
      <c r="N1544" t="inlineStr">
        <is>
          <t>1st ed.</t>
        </is>
      </c>
      <c r="O1544" t="inlineStr">
        <is>
          <t>eng</t>
        </is>
      </c>
      <c r="P1544" t="inlineStr">
        <is>
          <t>nyu</t>
        </is>
      </c>
      <c r="R1544" t="inlineStr">
        <is>
          <t xml:space="preserve">RC </t>
        </is>
      </c>
      <c r="S1544" t="n">
        <v>6</v>
      </c>
      <c r="T1544" t="n">
        <v>6</v>
      </c>
      <c r="U1544" t="inlineStr">
        <is>
          <t>1999-04-05</t>
        </is>
      </c>
      <c r="V1544" t="inlineStr">
        <is>
          <t>1999-04-05</t>
        </is>
      </c>
      <c r="W1544" t="inlineStr">
        <is>
          <t>1990-01-15</t>
        </is>
      </c>
      <c r="X1544" t="inlineStr">
        <is>
          <t>1990-01-15</t>
        </is>
      </c>
      <c r="Y1544" t="n">
        <v>309</v>
      </c>
      <c r="Z1544" t="n">
        <v>299</v>
      </c>
      <c r="AA1544" t="n">
        <v>305</v>
      </c>
      <c r="AB1544" t="n">
        <v>2</v>
      </c>
      <c r="AC1544" t="n">
        <v>2</v>
      </c>
      <c r="AD1544" t="n">
        <v>2</v>
      </c>
      <c r="AE1544" t="n">
        <v>2</v>
      </c>
      <c r="AF1544" t="n">
        <v>0</v>
      </c>
      <c r="AG1544" t="n">
        <v>0</v>
      </c>
      <c r="AH1544" t="n">
        <v>0</v>
      </c>
      <c r="AI1544" t="n">
        <v>0</v>
      </c>
      <c r="AJ1544" t="n">
        <v>2</v>
      </c>
      <c r="AK1544" t="n">
        <v>2</v>
      </c>
      <c r="AL1544" t="n">
        <v>0</v>
      </c>
      <c r="AM1544" t="n">
        <v>0</v>
      </c>
      <c r="AN1544" t="n">
        <v>0</v>
      </c>
      <c r="AO1544" t="n">
        <v>0</v>
      </c>
      <c r="AP1544" t="inlineStr">
        <is>
          <t>No</t>
        </is>
      </c>
      <c r="AQ1544" t="inlineStr">
        <is>
          <t>No</t>
        </is>
      </c>
      <c r="AS1544">
        <f>HYPERLINK("https://creighton-primo.hosted.exlibrisgroup.com/primo-explore/search?tab=default_tab&amp;search_scope=EVERYTHING&amp;vid=01CRU&amp;lang=en_US&amp;offset=0&amp;query=any,contains,991001366379702656","Catalog Record")</f>
        <v/>
      </c>
      <c r="AT1544">
        <f>HYPERLINK("http://www.worldcat.org/oclc/18558834","WorldCat Record")</f>
        <v/>
      </c>
      <c r="AU1544" t="inlineStr">
        <is>
          <t>2910587927:eng</t>
        </is>
      </c>
      <c r="AV1544" t="inlineStr">
        <is>
          <t>18558834</t>
        </is>
      </c>
      <c r="AW1544" t="inlineStr">
        <is>
          <t>991001366379702656</t>
        </is>
      </c>
      <c r="AX1544" t="inlineStr">
        <is>
          <t>991001366379702656</t>
        </is>
      </c>
      <c r="AY1544" t="inlineStr">
        <is>
          <t>2262125600002656</t>
        </is>
      </c>
      <c r="AZ1544" t="inlineStr">
        <is>
          <t>BOOK</t>
        </is>
      </c>
      <c r="BB1544" t="inlineStr">
        <is>
          <t>9780812916751</t>
        </is>
      </c>
      <c r="BC1544" t="inlineStr">
        <is>
          <t>32285000028208</t>
        </is>
      </c>
      <c r="BD1544" t="inlineStr">
        <is>
          <t>893516147</t>
        </is>
      </c>
    </row>
    <row r="1545">
      <c r="A1545" t="inlineStr">
        <is>
          <t>No</t>
        </is>
      </c>
      <c r="B1545" t="inlineStr">
        <is>
          <t>RC685.H8 G65 1983</t>
        </is>
      </c>
      <c r="C1545" t="inlineStr">
        <is>
          <t>0                      RC 0685000H  8                  G  65          1983</t>
        </is>
      </c>
      <c r="D1545" t="inlineStr">
        <is>
          <t>Hypertension essentials : current concepts of cause, and control / Theodore L. Goodfriend.</t>
        </is>
      </c>
      <c r="F1545" t="inlineStr">
        <is>
          <t>No</t>
        </is>
      </c>
      <c r="G1545" t="inlineStr">
        <is>
          <t>1</t>
        </is>
      </c>
      <c r="H1545" t="inlineStr">
        <is>
          <t>No</t>
        </is>
      </c>
      <c r="I1545" t="inlineStr">
        <is>
          <t>No</t>
        </is>
      </c>
      <c r="J1545" t="inlineStr">
        <is>
          <t>0</t>
        </is>
      </c>
      <c r="K1545" t="inlineStr">
        <is>
          <t>Goodfriend, Theodore L.</t>
        </is>
      </c>
      <c r="L1545" t="inlineStr">
        <is>
          <t>New York : Grune &amp; Stratton, 1983.</t>
        </is>
      </c>
      <c r="M1545" t="inlineStr">
        <is>
          <t>1983</t>
        </is>
      </c>
      <c r="O1545" t="inlineStr">
        <is>
          <t>eng</t>
        </is>
      </c>
      <c r="P1545" t="inlineStr">
        <is>
          <t>nyu</t>
        </is>
      </c>
      <c r="R1545" t="inlineStr">
        <is>
          <t xml:space="preserve">RC </t>
        </is>
      </c>
      <c r="S1545" t="n">
        <v>9</v>
      </c>
      <c r="T1545" t="n">
        <v>9</v>
      </c>
      <c r="U1545" t="inlineStr">
        <is>
          <t>1997-10-05</t>
        </is>
      </c>
      <c r="V1545" t="inlineStr">
        <is>
          <t>1997-10-05</t>
        </is>
      </c>
      <c r="W1545" t="inlineStr">
        <is>
          <t>1992-07-23</t>
        </is>
      </c>
      <c r="X1545" t="inlineStr">
        <is>
          <t>1992-07-23</t>
        </is>
      </c>
      <c r="Y1545" t="n">
        <v>134</v>
      </c>
      <c r="Z1545" t="n">
        <v>99</v>
      </c>
      <c r="AA1545" t="n">
        <v>100</v>
      </c>
      <c r="AB1545" t="n">
        <v>1</v>
      </c>
      <c r="AC1545" t="n">
        <v>1</v>
      </c>
      <c r="AD1545" t="n">
        <v>1</v>
      </c>
      <c r="AE1545" t="n">
        <v>1</v>
      </c>
      <c r="AF1545" t="n">
        <v>0</v>
      </c>
      <c r="AG1545" t="n">
        <v>0</v>
      </c>
      <c r="AH1545" t="n">
        <v>0</v>
      </c>
      <c r="AI1545" t="n">
        <v>0</v>
      </c>
      <c r="AJ1545" t="n">
        <v>1</v>
      </c>
      <c r="AK1545" t="n">
        <v>1</v>
      </c>
      <c r="AL1545" t="n">
        <v>0</v>
      </c>
      <c r="AM1545" t="n">
        <v>0</v>
      </c>
      <c r="AN1545" t="n">
        <v>0</v>
      </c>
      <c r="AO1545" t="n">
        <v>0</v>
      </c>
      <c r="AP1545" t="inlineStr">
        <is>
          <t>No</t>
        </is>
      </c>
      <c r="AQ1545" t="inlineStr">
        <is>
          <t>Yes</t>
        </is>
      </c>
      <c r="AR1545">
        <f>HYPERLINK("http://catalog.hathitrust.org/Record/000782661","HathiTrust Record")</f>
        <v/>
      </c>
      <c r="AS1545">
        <f>HYPERLINK("https://creighton-primo.hosted.exlibrisgroup.com/primo-explore/search?tab=default_tab&amp;search_scope=EVERYTHING&amp;vid=01CRU&amp;lang=en_US&amp;offset=0&amp;query=any,contains,991000044949702656","Catalog Record")</f>
        <v/>
      </c>
      <c r="AT1545">
        <f>HYPERLINK("http://www.worldcat.org/oclc/8667912","WorldCat Record")</f>
        <v/>
      </c>
      <c r="AU1545" t="inlineStr">
        <is>
          <t>436931289:eng</t>
        </is>
      </c>
      <c r="AV1545" t="inlineStr">
        <is>
          <t>8667912</t>
        </is>
      </c>
      <c r="AW1545" t="inlineStr">
        <is>
          <t>991000044949702656</t>
        </is>
      </c>
      <c r="AX1545" t="inlineStr">
        <is>
          <t>991000044949702656</t>
        </is>
      </c>
      <c r="AY1545" t="inlineStr">
        <is>
          <t>2270230900002656</t>
        </is>
      </c>
      <c r="AZ1545" t="inlineStr">
        <is>
          <t>BOOK</t>
        </is>
      </c>
      <c r="BB1545" t="inlineStr">
        <is>
          <t>9780808915836</t>
        </is>
      </c>
      <c r="BC1545" t="inlineStr">
        <is>
          <t>32285001211217</t>
        </is>
      </c>
      <c r="BD1545" t="inlineStr">
        <is>
          <t>893314623</t>
        </is>
      </c>
    </row>
    <row r="1546">
      <c r="A1546" t="inlineStr">
        <is>
          <t>No</t>
        </is>
      </c>
      <c r="B1546" t="inlineStr">
        <is>
          <t>RC685.H9 P46 1994</t>
        </is>
      </c>
      <c r="C1546" t="inlineStr">
        <is>
          <t>0                      RC 0685000H  9                  P  46          1994</t>
        </is>
      </c>
      <c r="D1546" t="inlineStr">
        <is>
          <t>Raising Lazarus / Robert Jon Pensack and Dwight Arnan Williams.</t>
        </is>
      </c>
      <c r="F1546" t="inlineStr">
        <is>
          <t>No</t>
        </is>
      </c>
      <c r="G1546" t="inlineStr">
        <is>
          <t>1</t>
        </is>
      </c>
      <c r="H1546" t="inlineStr">
        <is>
          <t>No</t>
        </is>
      </c>
      <c r="I1546" t="inlineStr">
        <is>
          <t>No</t>
        </is>
      </c>
      <c r="J1546" t="inlineStr">
        <is>
          <t>0</t>
        </is>
      </c>
      <c r="K1546" t="inlineStr">
        <is>
          <t>Pensack, Robert Jon.</t>
        </is>
      </c>
      <c r="L1546" t="inlineStr">
        <is>
          <t>New York : G.P. Putnam's Sons, c1994.</t>
        </is>
      </c>
      <c r="M1546" t="inlineStr">
        <is>
          <t>1994</t>
        </is>
      </c>
      <c r="O1546" t="inlineStr">
        <is>
          <t>eng</t>
        </is>
      </c>
      <c r="P1546" t="inlineStr">
        <is>
          <t>nyu</t>
        </is>
      </c>
      <c r="R1546" t="inlineStr">
        <is>
          <t xml:space="preserve">RC </t>
        </is>
      </c>
      <c r="S1546" t="n">
        <v>5</v>
      </c>
      <c r="T1546" t="n">
        <v>5</v>
      </c>
      <c r="U1546" t="inlineStr">
        <is>
          <t>2002-08-25</t>
        </is>
      </c>
      <c r="V1546" t="inlineStr">
        <is>
          <t>2002-08-25</t>
        </is>
      </c>
      <c r="W1546" t="inlineStr">
        <is>
          <t>1995-05-01</t>
        </is>
      </c>
      <c r="X1546" t="inlineStr">
        <is>
          <t>1995-05-01</t>
        </is>
      </c>
      <c r="Y1546" t="n">
        <v>456</v>
      </c>
      <c r="Z1546" t="n">
        <v>427</v>
      </c>
      <c r="AA1546" t="n">
        <v>440</v>
      </c>
      <c r="AB1546" t="n">
        <v>4</v>
      </c>
      <c r="AC1546" t="n">
        <v>4</v>
      </c>
      <c r="AD1546" t="n">
        <v>7</v>
      </c>
      <c r="AE1546" t="n">
        <v>7</v>
      </c>
      <c r="AF1546" t="n">
        <v>1</v>
      </c>
      <c r="AG1546" t="n">
        <v>1</v>
      </c>
      <c r="AH1546" t="n">
        <v>2</v>
      </c>
      <c r="AI1546" t="n">
        <v>2</v>
      </c>
      <c r="AJ1546" t="n">
        <v>4</v>
      </c>
      <c r="AK1546" t="n">
        <v>4</v>
      </c>
      <c r="AL1546" t="n">
        <v>1</v>
      </c>
      <c r="AM1546" t="n">
        <v>1</v>
      </c>
      <c r="AN1546" t="n">
        <v>0</v>
      </c>
      <c r="AO1546" t="n">
        <v>0</v>
      </c>
      <c r="AP1546" t="inlineStr">
        <is>
          <t>No</t>
        </is>
      </c>
      <c r="AQ1546" t="inlineStr">
        <is>
          <t>Yes</t>
        </is>
      </c>
      <c r="AR1546">
        <f>HYPERLINK("http://catalog.hathitrust.org/Record/008744592","HathiTrust Record")</f>
        <v/>
      </c>
      <c r="AS1546">
        <f>HYPERLINK("https://creighton-primo.hosted.exlibrisgroup.com/primo-explore/search?tab=default_tab&amp;search_scope=EVERYTHING&amp;vid=01CRU&amp;lang=en_US&amp;offset=0&amp;query=any,contains,991002338529702656","Catalog Record")</f>
        <v/>
      </c>
      <c r="AT1546">
        <f>HYPERLINK("http://www.worldcat.org/oclc/30437705","WorldCat Record")</f>
        <v/>
      </c>
      <c r="AU1546" t="inlineStr">
        <is>
          <t>32632940:eng</t>
        </is>
      </c>
      <c r="AV1546" t="inlineStr">
        <is>
          <t>30437705</t>
        </is>
      </c>
      <c r="AW1546" t="inlineStr">
        <is>
          <t>991002338529702656</t>
        </is>
      </c>
      <c r="AX1546" t="inlineStr">
        <is>
          <t>991002338529702656</t>
        </is>
      </c>
      <c r="AY1546" t="inlineStr">
        <is>
          <t>2256326690002656</t>
        </is>
      </c>
      <c r="AZ1546" t="inlineStr">
        <is>
          <t>BOOK</t>
        </is>
      </c>
      <c r="BB1546" t="inlineStr">
        <is>
          <t>9780399140013</t>
        </is>
      </c>
      <c r="BC1546" t="inlineStr">
        <is>
          <t>32285002036985</t>
        </is>
      </c>
      <c r="BD1546" t="inlineStr">
        <is>
          <t>893251099</t>
        </is>
      </c>
    </row>
    <row r="1547">
      <c r="A1547" t="inlineStr">
        <is>
          <t>No</t>
        </is>
      </c>
      <c r="B1547" t="inlineStr">
        <is>
          <t>RC685.I6 B97 1987</t>
        </is>
      </c>
      <c r="C1547" t="inlineStr">
        <is>
          <t>0                      RC 0685000I  6                  B  97          1987</t>
        </is>
      </c>
      <c r="D1547" t="inlineStr">
        <is>
          <t>The behavioral management of the cardiac patient / by D.G. Byrne.</t>
        </is>
      </c>
      <c r="F1547" t="inlineStr">
        <is>
          <t>No</t>
        </is>
      </c>
      <c r="G1547" t="inlineStr">
        <is>
          <t>1</t>
        </is>
      </c>
      <c r="H1547" t="inlineStr">
        <is>
          <t>No</t>
        </is>
      </c>
      <c r="I1547" t="inlineStr">
        <is>
          <t>No</t>
        </is>
      </c>
      <c r="J1547" t="inlineStr">
        <is>
          <t>0</t>
        </is>
      </c>
      <c r="K1547" t="inlineStr">
        <is>
          <t>Byrne, D. G. (Donald Glenn)</t>
        </is>
      </c>
      <c r="L1547" t="inlineStr">
        <is>
          <t>Norwood, N.J. : Ablex Pub. Corp., c1987.</t>
        </is>
      </c>
      <c r="M1547" t="inlineStr">
        <is>
          <t>1987</t>
        </is>
      </c>
      <c r="O1547" t="inlineStr">
        <is>
          <t>eng</t>
        </is>
      </c>
      <c r="P1547" t="inlineStr">
        <is>
          <t>nju</t>
        </is>
      </c>
      <c r="Q1547" t="inlineStr">
        <is>
          <t>Developments in clinical psychology</t>
        </is>
      </c>
      <c r="R1547" t="inlineStr">
        <is>
          <t xml:space="preserve">RC </t>
        </is>
      </c>
      <c r="S1547" t="n">
        <v>15</v>
      </c>
      <c r="T1547" t="n">
        <v>15</v>
      </c>
      <c r="U1547" t="inlineStr">
        <is>
          <t>1997-06-24</t>
        </is>
      </c>
      <c r="V1547" t="inlineStr">
        <is>
          <t>1997-06-24</t>
        </is>
      </c>
      <c r="W1547" t="inlineStr">
        <is>
          <t>1990-04-24</t>
        </is>
      </c>
      <c r="X1547" t="inlineStr">
        <is>
          <t>1990-04-24</t>
        </is>
      </c>
      <c r="Y1547" t="n">
        <v>95</v>
      </c>
      <c r="Z1547" t="n">
        <v>63</v>
      </c>
      <c r="AA1547" t="n">
        <v>65</v>
      </c>
      <c r="AB1547" t="n">
        <v>1</v>
      </c>
      <c r="AC1547" t="n">
        <v>1</v>
      </c>
      <c r="AD1547" t="n">
        <v>1</v>
      </c>
      <c r="AE1547" t="n">
        <v>1</v>
      </c>
      <c r="AF1547" t="n">
        <v>0</v>
      </c>
      <c r="AG1547" t="n">
        <v>0</v>
      </c>
      <c r="AH1547" t="n">
        <v>1</v>
      </c>
      <c r="AI1547" t="n">
        <v>1</v>
      </c>
      <c r="AJ1547" t="n">
        <v>0</v>
      </c>
      <c r="AK1547" t="n">
        <v>0</v>
      </c>
      <c r="AL1547" t="n">
        <v>0</v>
      </c>
      <c r="AM1547" t="n">
        <v>0</v>
      </c>
      <c r="AN1547" t="n">
        <v>0</v>
      </c>
      <c r="AO1547" t="n">
        <v>0</v>
      </c>
      <c r="AP1547" t="inlineStr">
        <is>
          <t>No</t>
        </is>
      </c>
      <c r="AQ1547" t="inlineStr">
        <is>
          <t>Yes</t>
        </is>
      </c>
      <c r="AR1547">
        <f>HYPERLINK("http://catalog.hathitrust.org/Record/001086320","HathiTrust Record")</f>
        <v/>
      </c>
      <c r="AS1547">
        <f>HYPERLINK("https://creighton-primo.hosted.exlibrisgroup.com/primo-explore/search?tab=default_tab&amp;search_scope=EVERYTHING&amp;vid=01CRU&amp;lang=en_US&amp;offset=0&amp;query=any,contains,991001042099702656","Catalog Record")</f>
        <v/>
      </c>
      <c r="AT1547">
        <f>HYPERLINK("http://www.worldcat.org/oclc/15590330","WorldCat Record")</f>
        <v/>
      </c>
      <c r="AU1547" t="inlineStr">
        <is>
          <t>2868329:eng</t>
        </is>
      </c>
      <c r="AV1547" t="inlineStr">
        <is>
          <t>15590330</t>
        </is>
      </c>
      <c r="AW1547" t="inlineStr">
        <is>
          <t>991001042099702656</t>
        </is>
      </c>
      <c r="AX1547" t="inlineStr">
        <is>
          <t>991001042099702656</t>
        </is>
      </c>
      <c r="AY1547" t="inlineStr">
        <is>
          <t>2263394230002656</t>
        </is>
      </c>
      <c r="AZ1547" t="inlineStr">
        <is>
          <t>BOOK</t>
        </is>
      </c>
      <c r="BB1547" t="inlineStr">
        <is>
          <t>9780893913861</t>
        </is>
      </c>
      <c r="BC1547" t="inlineStr">
        <is>
          <t>32285000115856</t>
        </is>
      </c>
      <c r="BD1547" t="inlineStr">
        <is>
          <t>893690271</t>
        </is>
      </c>
    </row>
    <row r="1548">
      <c r="A1548" t="inlineStr">
        <is>
          <t>No</t>
        </is>
      </c>
      <c r="B1548" t="inlineStr">
        <is>
          <t>RC685.I6 C66 1985</t>
        </is>
      </c>
      <c r="C1548" t="inlineStr">
        <is>
          <t>0                      RC 0685000I  6                  C  66          1985</t>
        </is>
      </c>
      <c r="D1548" t="inlineStr">
        <is>
          <t>Running without fear : how to reduce the risk of heart attack and sudden death during aerobic exercise / by Kenneth H. Cooper.</t>
        </is>
      </c>
      <c r="F1548" t="inlineStr">
        <is>
          <t>No</t>
        </is>
      </c>
      <c r="G1548" t="inlineStr">
        <is>
          <t>1</t>
        </is>
      </c>
      <c r="H1548" t="inlineStr">
        <is>
          <t>No</t>
        </is>
      </c>
      <c r="I1548" t="inlineStr">
        <is>
          <t>No</t>
        </is>
      </c>
      <c r="J1548" t="inlineStr">
        <is>
          <t>0</t>
        </is>
      </c>
      <c r="K1548" t="inlineStr">
        <is>
          <t>Cooper, Kenneth H.</t>
        </is>
      </c>
      <c r="L1548" t="inlineStr">
        <is>
          <t>New York, NY : M. Evans, 1985.</t>
        </is>
      </c>
      <c r="M1548" t="inlineStr">
        <is>
          <t>1985</t>
        </is>
      </c>
      <c r="O1548" t="inlineStr">
        <is>
          <t>eng</t>
        </is>
      </c>
      <c r="P1548" t="inlineStr">
        <is>
          <t>nyu</t>
        </is>
      </c>
      <c r="R1548" t="inlineStr">
        <is>
          <t xml:space="preserve">RC </t>
        </is>
      </c>
      <c r="S1548" t="n">
        <v>3</v>
      </c>
      <c r="T1548" t="n">
        <v>3</v>
      </c>
      <c r="U1548" t="inlineStr">
        <is>
          <t>1993-09-30</t>
        </is>
      </c>
      <c r="V1548" t="inlineStr">
        <is>
          <t>1993-09-30</t>
        </is>
      </c>
      <c r="W1548" t="inlineStr">
        <is>
          <t>1990-04-17</t>
        </is>
      </c>
      <c r="X1548" t="inlineStr">
        <is>
          <t>1990-04-17</t>
        </is>
      </c>
      <c r="Y1548" t="n">
        <v>768</v>
      </c>
      <c r="Z1548" t="n">
        <v>730</v>
      </c>
      <c r="AA1548" t="n">
        <v>762</v>
      </c>
      <c r="AB1548" t="n">
        <v>7</v>
      </c>
      <c r="AC1548" t="n">
        <v>7</v>
      </c>
      <c r="AD1548" t="n">
        <v>14</v>
      </c>
      <c r="AE1548" t="n">
        <v>15</v>
      </c>
      <c r="AF1548" t="n">
        <v>6</v>
      </c>
      <c r="AG1548" t="n">
        <v>7</v>
      </c>
      <c r="AH1548" t="n">
        <v>2</v>
      </c>
      <c r="AI1548" t="n">
        <v>2</v>
      </c>
      <c r="AJ1548" t="n">
        <v>5</v>
      </c>
      <c r="AK1548" t="n">
        <v>5</v>
      </c>
      <c r="AL1548" t="n">
        <v>5</v>
      </c>
      <c r="AM1548" t="n">
        <v>5</v>
      </c>
      <c r="AN1548" t="n">
        <v>0</v>
      </c>
      <c r="AO1548" t="n">
        <v>0</v>
      </c>
      <c r="AP1548" t="inlineStr">
        <is>
          <t>No</t>
        </is>
      </c>
      <c r="AQ1548" t="inlineStr">
        <is>
          <t>No</t>
        </is>
      </c>
      <c r="AS1548">
        <f>HYPERLINK("https://creighton-primo.hosted.exlibrisgroup.com/primo-explore/search?tab=default_tab&amp;search_scope=EVERYTHING&amp;vid=01CRU&amp;lang=en_US&amp;offset=0&amp;query=any,contains,991000600799702656","Catalog Record")</f>
        <v/>
      </c>
      <c r="AT1548">
        <f>HYPERLINK("http://www.worldcat.org/oclc/11841110","WorldCat Record")</f>
        <v/>
      </c>
      <c r="AU1548" t="inlineStr">
        <is>
          <t>836642391:eng</t>
        </is>
      </c>
      <c r="AV1548" t="inlineStr">
        <is>
          <t>11841110</t>
        </is>
      </c>
      <c r="AW1548" t="inlineStr">
        <is>
          <t>991000600799702656</t>
        </is>
      </c>
      <c r="AX1548" t="inlineStr">
        <is>
          <t>991000600799702656</t>
        </is>
      </c>
      <c r="AY1548" t="inlineStr">
        <is>
          <t>2264609870002656</t>
        </is>
      </c>
      <c r="AZ1548" t="inlineStr">
        <is>
          <t>BOOK</t>
        </is>
      </c>
      <c r="BB1548" t="inlineStr">
        <is>
          <t>9780871314567</t>
        </is>
      </c>
      <c r="BC1548" t="inlineStr">
        <is>
          <t>32285000122688</t>
        </is>
      </c>
      <c r="BD1548" t="inlineStr">
        <is>
          <t>893689846</t>
        </is>
      </c>
    </row>
    <row r="1549">
      <c r="A1549" t="inlineStr">
        <is>
          <t>No</t>
        </is>
      </c>
      <c r="B1549" t="inlineStr">
        <is>
          <t>RC685.I6 C7 1983</t>
        </is>
      </c>
      <c r="C1549" t="inlineStr">
        <is>
          <t>0                      RC 0685000I  6                  C  7           1983</t>
        </is>
      </c>
      <c r="D1549" t="inlineStr">
        <is>
          <t>The healing heart : antidotes to pain and helplessness / Norman Cousins.</t>
        </is>
      </c>
      <c r="F1549" t="inlineStr">
        <is>
          <t>No</t>
        </is>
      </c>
      <c r="G1549" t="inlineStr">
        <is>
          <t>1</t>
        </is>
      </c>
      <c r="H1549" t="inlineStr">
        <is>
          <t>No</t>
        </is>
      </c>
      <c r="I1549" t="inlineStr">
        <is>
          <t>No</t>
        </is>
      </c>
      <c r="J1549" t="inlineStr">
        <is>
          <t>0</t>
        </is>
      </c>
      <c r="K1549" t="inlineStr">
        <is>
          <t>Cousins, Norman.</t>
        </is>
      </c>
      <c r="L1549" t="inlineStr">
        <is>
          <t>New York : Norton, c1983.</t>
        </is>
      </c>
      <c r="M1549" t="inlineStr">
        <is>
          <t>1983</t>
        </is>
      </c>
      <c r="N1549" t="inlineStr">
        <is>
          <t>1st ed.</t>
        </is>
      </c>
      <c r="O1549" t="inlineStr">
        <is>
          <t>eng</t>
        </is>
      </c>
      <c r="P1549" t="inlineStr">
        <is>
          <t>nyu</t>
        </is>
      </c>
      <c r="R1549" t="inlineStr">
        <is>
          <t xml:space="preserve">RC </t>
        </is>
      </c>
      <c r="S1549" t="n">
        <v>3</v>
      </c>
      <c r="T1549" t="n">
        <v>3</v>
      </c>
      <c r="U1549" t="inlineStr">
        <is>
          <t>1998-02-23</t>
        </is>
      </c>
      <c r="V1549" t="inlineStr">
        <is>
          <t>1998-02-23</t>
        </is>
      </c>
      <c r="W1549" t="inlineStr">
        <is>
          <t>1990-04-06</t>
        </is>
      </c>
      <c r="X1549" t="inlineStr">
        <is>
          <t>1990-04-06</t>
        </is>
      </c>
      <c r="Y1549" t="n">
        <v>1489</v>
      </c>
      <c r="Z1549" t="n">
        <v>1404</v>
      </c>
      <c r="AA1549" t="n">
        <v>1721</v>
      </c>
      <c r="AB1549" t="n">
        <v>10</v>
      </c>
      <c r="AC1549" t="n">
        <v>11</v>
      </c>
      <c r="AD1549" t="n">
        <v>27</v>
      </c>
      <c r="AE1549" t="n">
        <v>35</v>
      </c>
      <c r="AF1549" t="n">
        <v>10</v>
      </c>
      <c r="AG1549" t="n">
        <v>15</v>
      </c>
      <c r="AH1549" t="n">
        <v>6</v>
      </c>
      <c r="AI1549" t="n">
        <v>7</v>
      </c>
      <c r="AJ1549" t="n">
        <v>15</v>
      </c>
      <c r="AK1549" t="n">
        <v>18</v>
      </c>
      <c r="AL1549" t="n">
        <v>3</v>
      </c>
      <c r="AM1549" t="n">
        <v>4</v>
      </c>
      <c r="AN1549" t="n">
        <v>0</v>
      </c>
      <c r="AO1549" t="n">
        <v>0</v>
      </c>
      <c r="AP1549" t="inlineStr">
        <is>
          <t>No</t>
        </is>
      </c>
      <c r="AQ1549" t="inlineStr">
        <is>
          <t>No</t>
        </is>
      </c>
      <c r="AS1549">
        <f>HYPERLINK("https://creighton-primo.hosted.exlibrisgroup.com/primo-explore/search?tab=default_tab&amp;search_scope=EVERYTHING&amp;vid=01CRU&amp;lang=en_US&amp;offset=0&amp;query=any,contains,991000226789702656","Catalog Record")</f>
        <v/>
      </c>
      <c r="AT1549">
        <f>HYPERLINK("http://www.worldcat.org/oclc/9620895","WorldCat Record")</f>
        <v/>
      </c>
      <c r="AU1549" t="inlineStr">
        <is>
          <t>836621140:eng</t>
        </is>
      </c>
      <c r="AV1549" t="inlineStr">
        <is>
          <t>9620895</t>
        </is>
      </c>
      <c r="AW1549" t="inlineStr">
        <is>
          <t>991000226789702656</t>
        </is>
      </c>
      <c r="AX1549" t="inlineStr">
        <is>
          <t>991000226789702656</t>
        </is>
      </c>
      <c r="AY1549" t="inlineStr">
        <is>
          <t>2270498050002656</t>
        </is>
      </c>
      <c r="AZ1549" t="inlineStr">
        <is>
          <t>BOOK</t>
        </is>
      </c>
      <c r="BB1549" t="inlineStr">
        <is>
          <t>9780393018165</t>
        </is>
      </c>
      <c r="BC1549" t="inlineStr">
        <is>
          <t>32285000112051</t>
        </is>
      </c>
      <c r="BD1549" t="inlineStr">
        <is>
          <t>893527914</t>
        </is>
      </c>
    </row>
    <row r="1550">
      <c r="A1550" t="inlineStr">
        <is>
          <t>No</t>
        </is>
      </c>
      <c r="B1550" t="inlineStr">
        <is>
          <t>RC685.I6 S687 1982</t>
        </is>
      </c>
      <c r="C1550" t="inlineStr">
        <is>
          <t>0                      RC 0685000I  6                  S  687         1982</t>
        </is>
      </c>
      <c r="D1550" t="inlineStr">
        <is>
          <t>Heart attack : the family response at home and in the hospital / Edward J. Speedling.</t>
        </is>
      </c>
      <c r="F1550" t="inlineStr">
        <is>
          <t>No</t>
        </is>
      </c>
      <c r="G1550" t="inlineStr">
        <is>
          <t>1</t>
        </is>
      </c>
      <c r="H1550" t="inlineStr">
        <is>
          <t>Yes</t>
        </is>
      </c>
      <c r="I1550" t="inlineStr">
        <is>
          <t>No</t>
        </is>
      </c>
      <c r="J1550" t="inlineStr">
        <is>
          <t>0</t>
        </is>
      </c>
      <c r="K1550" t="inlineStr">
        <is>
          <t>Speedling, Edward J., 1942-</t>
        </is>
      </c>
      <c r="L1550" t="inlineStr">
        <is>
          <t>New York : Tavistock, 1982.</t>
        </is>
      </c>
      <c r="M1550" t="inlineStr">
        <is>
          <t>1982</t>
        </is>
      </c>
      <c r="O1550" t="inlineStr">
        <is>
          <t>eng</t>
        </is>
      </c>
      <c r="P1550" t="inlineStr">
        <is>
          <t>nyu</t>
        </is>
      </c>
      <c r="R1550" t="inlineStr">
        <is>
          <t xml:space="preserve">RC </t>
        </is>
      </c>
      <c r="S1550" t="n">
        <v>4</v>
      </c>
      <c r="T1550" t="n">
        <v>4</v>
      </c>
      <c r="U1550" t="inlineStr">
        <is>
          <t>1996-03-03</t>
        </is>
      </c>
      <c r="V1550" t="inlineStr">
        <is>
          <t>1996-03-03</t>
        </is>
      </c>
      <c r="W1550" t="inlineStr">
        <is>
          <t>1993-03-24</t>
        </is>
      </c>
      <c r="X1550" t="inlineStr">
        <is>
          <t>1993-03-24</t>
        </is>
      </c>
      <c r="Y1550" t="n">
        <v>327</v>
      </c>
      <c r="Z1550" t="n">
        <v>252</v>
      </c>
      <c r="AA1550" t="n">
        <v>257</v>
      </c>
      <c r="AB1550" t="n">
        <v>3</v>
      </c>
      <c r="AC1550" t="n">
        <v>3</v>
      </c>
      <c r="AD1550" t="n">
        <v>11</v>
      </c>
      <c r="AE1550" t="n">
        <v>11</v>
      </c>
      <c r="AF1550" t="n">
        <v>4</v>
      </c>
      <c r="AG1550" t="n">
        <v>4</v>
      </c>
      <c r="AH1550" t="n">
        <v>2</v>
      </c>
      <c r="AI1550" t="n">
        <v>2</v>
      </c>
      <c r="AJ1550" t="n">
        <v>7</v>
      </c>
      <c r="AK1550" t="n">
        <v>7</v>
      </c>
      <c r="AL1550" t="n">
        <v>1</v>
      </c>
      <c r="AM1550" t="n">
        <v>1</v>
      </c>
      <c r="AN1550" t="n">
        <v>0</v>
      </c>
      <c r="AO1550" t="n">
        <v>0</v>
      </c>
      <c r="AP1550" t="inlineStr">
        <is>
          <t>No</t>
        </is>
      </c>
      <c r="AQ1550" t="inlineStr">
        <is>
          <t>No</t>
        </is>
      </c>
      <c r="AS1550">
        <f>HYPERLINK("https://creighton-primo.hosted.exlibrisgroup.com/primo-explore/search?tab=default_tab&amp;search_scope=EVERYTHING&amp;vid=01CRU&amp;lang=en_US&amp;offset=0&amp;query=any,contains,991005211169702656","Catalog Record")</f>
        <v/>
      </c>
      <c r="AT1550">
        <f>HYPERLINK("http://www.worldcat.org/oclc/8169183","WorldCat Record")</f>
        <v/>
      </c>
      <c r="AU1550" t="inlineStr">
        <is>
          <t>308989957:eng</t>
        </is>
      </c>
      <c r="AV1550" t="inlineStr">
        <is>
          <t>8169183</t>
        </is>
      </c>
      <c r="AW1550" t="inlineStr">
        <is>
          <t>991005211169702656</t>
        </is>
      </c>
      <c r="AX1550" t="inlineStr">
        <is>
          <t>991005211169702656</t>
        </is>
      </c>
      <c r="AY1550" t="inlineStr">
        <is>
          <t>2269766200002656</t>
        </is>
      </c>
      <c r="AZ1550" t="inlineStr">
        <is>
          <t>BOOK</t>
        </is>
      </c>
      <c r="BB1550" t="inlineStr">
        <is>
          <t>9780422777902</t>
        </is>
      </c>
      <c r="BC1550" t="inlineStr">
        <is>
          <t>32285001607976</t>
        </is>
      </c>
      <c r="BD1550" t="inlineStr">
        <is>
          <t>893722827</t>
        </is>
      </c>
    </row>
    <row r="1551">
      <c r="A1551" t="inlineStr">
        <is>
          <t>No</t>
        </is>
      </c>
      <c r="B1551" t="inlineStr">
        <is>
          <t>RC692 .O95 1995</t>
        </is>
      </c>
      <c r="C1551" t="inlineStr">
        <is>
          <t>0                      RC 0692000O  95          1995</t>
        </is>
      </c>
      <c r="D1551" t="inlineStr">
        <is>
          <t>Oxidative stress, lipoproteins and cardiovascular dysfunction / edited by C. Rice-Evans, K. R. Bruckdorfer.</t>
        </is>
      </c>
      <c r="F1551" t="inlineStr">
        <is>
          <t>No</t>
        </is>
      </c>
      <c r="G1551" t="inlineStr">
        <is>
          <t>1</t>
        </is>
      </c>
      <c r="H1551" t="inlineStr">
        <is>
          <t>No</t>
        </is>
      </c>
      <c r="I1551" t="inlineStr">
        <is>
          <t>No</t>
        </is>
      </c>
      <c r="J1551" t="inlineStr">
        <is>
          <t>0</t>
        </is>
      </c>
      <c r="L1551" t="inlineStr">
        <is>
          <t>London : Portland, c1995.</t>
        </is>
      </c>
      <c r="M1551" t="inlineStr">
        <is>
          <t>1995</t>
        </is>
      </c>
      <c r="O1551" t="inlineStr">
        <is>
          <t>eng</t>
        </is>
      </c>
      <c r="P1551" t="inlineStr">
        <is>
          <t>enk</t>
        </is>
      </c>
      <c r="Q1551" t="inlineStr">
        <is>
          <t>Portland Press research monograph, 0964-5845 ; 7</t>
        </is>
      </c>
      <c r="R1551" t="inlineStr">
        <is>
          <t xml:space="preserve">RC </t>
        </is>
      </c>
      <c r="S1551" t="n">
        <v>9</v>
      </c>
      <c r="T1551" t="n">
        <v>9</v>
      </c>
      <c r="U1551" t="inlineStr">
        <is>
          <t>1999-11-22</t>
        </is>
      </c>
      <c r="V1551" t="inlineStr">
        <is>
          <t>1999-11-22</t>
        </is>
      </c>
      <c r="W1551" t="inlineStr">
        <is>
          <t>1996-12-20</t>
        </is>
      </c>
      <c r="X1551" t="inlineStr">
        <is>
          <t>1996-12-20</t>
        </is>
      </c>
      <c r="Y1551" t="n">
        <v>67</v>
      </c>
      <c r="Z1551" t="n">
        <v>30</v>
      </c>
      <c r="AA1551" t="n">
        <v>32</v>
      </c>
      <c r="AB1551" t="n">
        <v>1</v>
      </c>
      <c r="AC1551" t="n">
        <v>1</v>
      </c>
      <c r="AD1551" t="n">
        <v>1</v>
      </c>
      <c r="AE1551" t="n">
        <v>1</v>
      </c>
      <c r="AF1551" t="n">
        <v>0</v>
      </c>
      <c r="AG1551" t="n">
        <v>0</v>
      </c>
      <c r="AH1551" t="n">
        <v>1</v>
      </c>
      <c r="AI1551" t="n">
        <v>1</v>
      </c>
      <c r="AJ1551" t="n">
        <v>0</v>
      </c>
      <c r="AK1551" t="n">
        <v>0</v>
      </c>
      <c r="AL1551" t="n">
        <v>0</v>
      </c>
      <c r="AM1551" t="n">
        <v>0</v>
      </c>
      <c r="AN1551" t="n">
        <v>0</v>
      </c>
      <c r="AO1551" t="n">
        <v>0</v>
      </c>
      <c r="AP1551" t="inlineStr">
        <is>
          <t>No</t>
        </is>
      </c>
      <c r="AQ1551" t="inlineStr">
        <is>
          <t>Yes</t>
        </is>
      </c>
      <c r="AR1551">
        <f>HYPERLINK("http://catalog.hathitrust.org/Record/003133362","HathiTrust Record")</f>
        <v/>
      </c>
      <c r="AS1551">
        <f>HYPERLINK("https://creighton-primo.hosted.exlibrisgroup.com/primo-explore/search?tab=default_tab&amp;search_scope=EVERYTHING&amp;vid=01CRU&amp;lang=en_US&amp;offset=0&amp;query=any,contains,991002556059702656","Catalog Record")</f>
        <v/>
      </c>
      <c r="AT1551">
        <f>HYPERLINK("http://www.worldcat.org/oclc/33242935","WorldCat Record")</f>
        <v/>
      </c>
      <c r="AU1551" t="inlineStr">
        <is>
          <t>365407317:eng</t>
        </is>
      </c>
      <c r="AV1551" t="inlineStr">
        <is>
          <t>33242935</t>
        </is>
      </c>
      <c r="AW1551" t="inlineStr">
        <is>
          <t>991002556059702656</t>
        </is>
      </c>
      <c r="AX1551" t="inlineStr">
        <is>
          <t>991002556059702656</t>
        </is>
      </c>
      <c r="AY1551" t="inlineStr">
        <is>
          <t>2254893120002656</t>
        </is>
      </c>
      <c r="AZ1551" t="inlineStr">
        <is>
          <t>BOOK</t>
        </is>
      </c>
      <c r="BB1551" t="inlineStr">
        <is>
          <t>9781855780453</t>
        </is>
      </c>
      <c r="BC1551" t="inlineStr">
        <is>
          <t>32285002400801</t>
        </is>
      </c>
      <c r="BD1551" t="inlineStr">
        <is>
          <t>893880100</t>
        </is>
      </c>
    </row>
    <row r="1552">
      <c r="A1552" t="inlineStr">
        <is>
          <t>No</t>
        </is>
      </c>
      <c r="B1552" t="inlineStr">
        <is>
          <t>RC731 .P6</t>
        </is>
      </c>
      <c r="C1552" t="inlineStr">
        <is>
          <t>0                      RC 0731000P  6</t>
        </is>
      </c>
      <c r="D1552" t="inlineStr">
        <is>
          <t>Your respiratory system, by Herman Pomeranz, M.D.</t>
        </is>
      </c>
      <c r="F1552" t="inlineStr">
        <is>
          <t>No</t>
        </is>
      </c>
      <c r="G1552" t="inlineStr">
        <is>
          <t>1</t>
        </is>
      </c>
      <c r="H1552" t="inlineStr">
        <is>
          <t>No</t>
        </is>
      </c>
      <c r="I1552" t="inlineStr">
        <is>
          <t>No</t>
        </is>
      </c>
      <c r="J1552" t="inlineStr">
        <is>
          <t>0</t>
        </is>
      </c>
      <c r="K1552" t="inlineStr">
        <is>
          <t>Pomeranz, Herman, 1885-</t>
        </is>
      </c>
      <c r="L1552" t="inlineStr">
        <is>
          <t>Philadelphia, The Blakiston company [1944]</t>
        </is>
      </c>
      <c r="M1552" t="inlineStr">
        <is>
          <t>1944</t>
        </is>
      </c>
      <c r="O1552" t="inlineStr">
        <is>
          <t>eng</t>
        </is>
      </c>
      <c r="P1552" t="inlineStr">
        <is>
          <t>pau</t>
        </is>
      </c>
      <c r="Q1552" t="inlineStr">
        <is>
          <t>The New home library</t>
        </is>
      </c>
      <c r="R1552" t="inlineStr">
        <is>
          <t xml:space="preserve">RC </t>
        </is>
      </c>
      <c r="S1552" t="n">
        <v>4</v>
      </c>
      <c r="T1552" t="n">
        <v>4</v>
      </c>
      <c r="U1552" t="inlineStr">
        <is>
          <t>1995-02-04</t>
        </is>
      </c>
      <c r="V1552" t="inlineStr">
        <is>
          <t>1995-02-04</t>
        </is>
      </c>
      <c r="W1552" t="inlineStr">
        <is>
          <t>1991-12-09</t>
        </is>
      </c>
      <c r="X1552" t="inlineStr">
        <is>
          <t>1991-12-09</t>
        </is>
      </c>
      <c r="Y1552" t="n">
        <v>18</v>
      </c>
      <c r="Z1552" t="n">
        <v>15</v>
      </c>
      <c r="AA1552" t="n">
        <v>16</v>
      </c>
      <c r="AB1552" t="n">
        <v>1</v>
      </c>
      <c r="AC1552" t="n">
        <v>1</v>
      </c>
      <c r="AD1552" t="n">
        <v>0</v>
      </c>
      <c r="AE1552" t="n">
        <v>0</v>
      </c>
      <c r="AF1552" t="n">
        <v>0</v>
      </c>
      <c r="AG1552" t="n">
        <v>0</v>
      </c>
      <c r="AH1552" t="n">
        <v>0</v>
      </c>
      <c r="AI1552" t="n">
        <v>0</v>
      </c>
      <c r="AJ1552" t="n">
        <v>0</v>
      </c>
      <c r="AK1552" t="n">
        <v>0</v>
      </c>
      <c r="AL1552" t="n">
        <v>0</v>
      </c>
      <c r="AM1552" t="n">
        <v>0</v>
      </c>
      <c r="AN1552" t="n">
        <v>0</v>
      </c>
      <c r="AO1552" t="n">
        <v>0</v>
      </c>
      <c r="AP1552" t="inlineStr">
        <is>
          <t>No</t>
        </is>
      </c>
      <c r="AQ1552" t="inlineStr">
        <is>
          <t>No</t>
        </is>
      </c>
      <c r="AS1552">
        <f>HYPERLINK("https://creighton-primo.hosted.exlibrisgroup.com/primo-explore/search?tab=default_tab&amp;search_scope=EVERYTHING&amp;vid=01CRU&amp;lang=en_US&amp;offset=0&amp;query=any,contains,991003904809702656","Catalog Record")</f>
        <v/>
      </c>
      <c r="AT1552">
        <f>HYPERLINK("http://www.worldcat.org/oclc/1834490","WorldCat Record")</f>
        <v/>
      </c>
      <c r="AU1552" t="inlineStr">
        <is>
          <t>2740442:eng</t>
        </is>
      </c>
      <c r="AV1552" t="inlineStr">
        <is>
          <t>1834490</t>
        </is>
      </c>
      <c r="AW1552" t="inlineStr">
        <is>
          <t>991003904809702656</t>
        </is>
      </c>
      <c r="AX1552" t="inlineStr">
        <is>
          <t>991003904809702656</t>
        </is>
      </c>
      <c r="AY1552" t="inlineStr">
        <is>
          <t>2258574250002656</t>
        </is>
      </c>
      <c r="AZ1552" t="inlineStr">
        <is>
          <t>BOOK</t>
        </is>
      </c>
      <c r="BC1552" t="inlineStr">
        <is>
          <t>32285000872571</t>
        </is>
      </c>
      <c r="BD1552" t="inlineStr">
        <is>
          <t>893410881</t>
        </is>
      </c>
    </row>
    <row r="1553">
      <c r="A1553" t="inlineStr">
        <is>
          <t>No</t>
        </is>
      </c>
      <c r="B1553" t="inlineStr">
        <is>
          <t>RC756 .P48 1986</t>
        </is>
      </c>
      <c r="C1553" t="inlineStr">
        <is>
          <t>0                      RC 0756000P  48          1986</t>
        </is>
      </c>
      <c r="D1553" t="inlineStr">
        <is>
          <t>Physiology of oxygen radicals / edited by Aubrey E. Taylor, Sadis Matalon, Peter Ward.</t>
        </is>
      </c>
      <c r="F1553" t="inlineStr">
        <is>
          <t>No</t>
        </is>
      </c>
      <c r="G1553" t="inlineStr">
        <is>
          <t>1</t>
        </is>
      </c>
      <c r="H1553" t="inlineStr">
        <is>
          <t>No</t>
        </is>
      </c>
      <c r="I1553" t="inlineStr">
        <is>
          <t>No</t>
        </is>
      </c>
      <c r="J1553" t="inlineStr">
        <is>
          <t>0</t>
        </is>
      </c>
      <c r="L1553" t="inlineStr">
        <is>
          <t>Baltimore, Md. : American Psychological Society : Distributed by Williams &amp; Wilkins Co., 1986.</t>
        </is>
      </c>
      <c r="M1553" t="inlineStr">
        <is>
          <t>1986</t>
        </is>
      </c>
      <c r="O1553" t="inlineStr">
        <is>
          <t>eng</t>
        </is>
      </c>
      <c r="P1553" t="inlineStr">
        <is>
          <t>mdu</t>
        </is>
      </c>
      <c r="Q1553" t="inlineStr">
        <is>
          <t>Clinical physiology series</t>
        </is>
      </c>
      <c r="R1553" t="inlineStr">
        <is>
          <t xml:space="preserve">RC </t>
        </is>
      </c>
      <c r="S1553" t="n">
        <v>1</v>
      </c>
      <c r="T1553" t="n">
        <v>1</v>
      </c>
      <c r="U1553" t="inlineStr">
        <is>
          <t>1993-05-23</t>
        </is>
      </c>
      <c r="V1553" t="inlineStr">
        <is>
          <t>1993-05-23</t>
        </is>
      </c>
      <c r="W1553" t="inlineStr">
        <is>
          <t>1993-03-24</t>
        </is>
      </c>
      <c r="X1553" t="inlineStr">
        <is>
          <t>1993-03-24</t>
        </is>
      </c>
      <c r="Y1553" t="n">
        <v>174</v>
      </c>
      <c r="Z1553" t="n">
        <v>139</v>
      </c>
      <c r="AA1553" t="n">
        <v>141</v>
      </c>
      <c r="AB1553" t="n">
        <v>1</v>
      </c>
      <c r="AC1553" t="n">
        <v>1</v>
      </c>
      <c r="AD1553" t="n">
        <v>3</v>
      </c>
      <c r="AE1553" t="n">
        <v>3</v>
      </c>
      <c r="AF1553" t="n">
        <v>0</v>
      </c>
      <c r="AG1553" t="n">
        <v>0</v>
      </c>
      <c r="AH1553" t="n">
        <v>2</v>
      </c>
      <c r="AI1553" t="n">
        <v>2</v>
      </c>
      <c r="AJ1553" t="n">
        <v>1</v>
      </c>
      <c r="AK1553" t="n">
        <v>1</v>
      </c>
      <c r="AL1553" t="n">
        <v>0</v>
      </c>
      <c r="AM1553" t="n">
        <v>0</v>
      </c>
      <c r="AN1553" t="n">
        <v>0</v>
      </c>
      <c r="AO1553" t="n">
        <v>0</v>
      </c>
      <c r="AP1553" t="inlineStr">
        <is>
          <t>No</t>
        </is>
      </c>
      <c r="AQ1553" t="inlineStr">
        <is>
          <t>Yes</t>
        </is>
      </c>
      <c r="AR1553">
        <f>HYPERLINK("http://catalog.hathitrust.org/Record/000443451","HathiTrust Record")</f>
        <v/>
      </c>
      <c r="AS1553">
        <f>HYPERLINK("https://creighton-primo.hosted.exlibrisgroup.com/primo-explore/search?tab=default_tab&amp;search_scope=EVERYTHING&amp;vid=01CRU&amp;lang=en_US&amp;offset=0&amp;query=any,contains,991000871789702656","Catalog Record")</f>
        <v/>
      </c>
      <c r="AT1553">
        <f>HYPERLINK("http://www.worldcat.org/oclc/13793332","WorldCat Record")</f>
        <v/>
      </c>
      <c r="AU1553" t="inlineStr">
        <is>
          <t>350133734:eng</t>
        </is>
      </c>
      <c r="AV1553" t="inlineStr">
        <is>
          <t>13793332</t>
        </is>
      </c>
      <c r="AW1553" t="inlineStr">
        <is>
          <t>991000871789702656</t>
        </is>
      </c>
      <c r="AX1553" t="inlineStr">
        <is>
          <t>991000871789702656</t>
        </is>
      </c>
      <c r="AY1553" t="inlineStr">
        <is>
          <t>2272182170002656</t>
        </is>
      </c>
      <c r="AZ1553" t="inlineStr">
        <is>
          <t>BOOK</t>
        </is>
      </c>
      <c r="BB1553" t="inlineStr">
        <is>
          <t>9780683081046</t>
        </is>
      </c>
      <c r="BC1553" t="inlineStr">
        <is>
          <t>32285001608008</t>
        </is>
      </c>
      <c r="BD1553" t="inlineStr">
        <is>
          <t>893243673</t>
        </is>
      </c>
    </row>
    <row r="1554">
      <c r="A1554" t="inlineStr">
        <is>
          <t>No</t>
        </is>
      </c>
      <c r="B1554" t="inlineStr">
        <is>
          <t>RC77.5 .C73 1998</t>
        </is>
      </c>
      <c r="C1554" t="inlineStr">
        <is>
          <t>0                      RC 0077500C  73          1998</t>
        </is>
      </c>
      <c r="D1554" t="inlineStr">
        <is>
          <t>Introduction to surface electromyography / Jeffrey R. Cram, Glenn S. Kasman, with Jonathan Holtz.</t>
        </is>
      </c>
      <c r="F1554" t="inlineStr">
        <is>
          <t>No</t>
        </is>
      </c>
      <c r="G1554" t="inlineStr">
        <is>
          <t>1</t>
        </is>
      </c>
      <c r="H1554" t="inlineStr">
        <is>
          <t>No</t>
        </is>
      </c>
      <c r="I1554" t="inlineStr">
        <is>
          <t>No</t>
        </is>
      </c>
      <c r="J1554" t="inlineStr">
        <is>
          <t>0</t>
        </is>
      </c>
      <c r="K1554" t="inlineStr">
        <is>
          <t>Cram, Jeffrey R.</t>
        </is>
      </c>
      <c r="L1554" t="inlineStr">
        <is>
          <t>Gaithersburg, Md. : Aspen Publishers, 1998.</t>
        </is>
      </c>
      <c r="M1554" t="inlineStr">
        <is>
          <t>1998</t>
        </is>
      </c>
      <c r="O1554" t="inlineStr">
        <is>
          <t>eng</t>
        </is>
      </c>
      <c r="P1554" t="inlineStr">
        <is>
          <t>mdu</t>
        </is>
      </c>
      <c r="R1554" t="inlineStr">
        <is>
          <t xml:space="preserve">RC </t>
        </is>
      </c>
      <c r="S1554" t="n">
        <v>2</v>
      </c>
      <c r="T1554" t="n">
        <v>2</v>
      </c>
      <c r="U1554" t="inlineStr">
        <is>
          <t>2005-11-16</t>
        </is>
      </c>
      <c r="V1554" t="inlineStr">
        <is>
          <t>2005-11-16</t>
        </is>
      </c>
      <c r="W1554" t="inlineStr">
        <is>
          <t>1998-03-30</t>
        </is>
      </c>
      <c r="X1554" t="inlineStr">
        <is>
          <t>1998-03-30</t>
        </is>
      </c>
      <c r="Y1554" t="n">
        <v>196</v>
      </c>
      <c r="Z1554" t="n">
        <v>139</v>
      </c>
      <c r="AA1554" t="n">
        <v>142</v>
      </c>
      <c r="AB1554" t="n">
        <v>1</v>
      </c>
      <c r="AC1554" t="n">
        <v>1</v>
      </c>
      <c r="AD1554" t="n">
        <v>5</v>
      </c>
      <c r="AE1554" t="n">
        <v>5</v>
      </c>
      <c r="AF1554" t="n">
        <v>4</v>
      </c>
      <c r="AG1554" t="n">
        <v>4</v>
      </c>
      <c r="AH1554" t="n">
        <v>1</v>
      </c>
      <c r="AI1554" t="n">
        <v>1</v>
      </c>
      <c r="AJ1554" t="n">
        <v>2</v>
      </c>
      <c r="AK1554" t="n">
        <v>2</v>
      </c>
      <c r="AL1554" t="n">
        <v>0</v>
      </c>
      <c r="AM1554" t="n">
        <v>0</v>
      </c>
      <c r="AN1554" t="n">
        <v>0</v>
      </c>
      <c r="AO1554" t="n">
        <v>0</v>
      </c>
      <c r="AP1554" t="inlineStr">
        <is>
          <t>No</t>
        </is>
      </c>
      <c r="AQ1554" t="inlineStr">
        <is>
          <t>Yes</t>
        </is>
      </c>
      <c r="AR1554">
        <f>HYPERLINK("http://catalog.hathitrust.org/Record/003195371","HathiTrust Record")</f>
        <v/>
      </c>
      <c r="AS1554">
        <f>HYPERLINK("https://creighton-primo.hosted.exlibrisgroup.com/primo-explore/search?tab=default_tab&amp;search_scope=EVERYTHING&amp;vid=01CRU&amp;lang=en_US&amp;offset=0&amp;query=any,contains,991002815539702656","Catalog Record")</f>
        <v/>
      </c>
      <c r="AT1554">
        <f>HYPERLINK("http://www.worldcat.org/oclc/36977258","WorldCat Record")</f>
        <v/>
      </c>
      <c r="AU1554" t="inlineStr">
        <is>
          <t>3856504124:eng</t>
        </is>
      </c>
      <c r="AV1554" t="inlineStr">
        <is>
          <t>36977258</t>
        </is>
      </c>
      <c r="AW1554" t="inlineStr">
        <is>
          <t>991002815539702656</t>
        </is>
      </c>
      <c r="AX1554" t="inlineStr">
        <is>
          <t>991002815539702656</t>
        </is>
      </c>
      <c r="AY1554" t="inlineStr">
        <is>
          <t>2258993370002656</t>
        </is>
      </c>
      <c r="AZ1554" t="inlineStr">
        <is>
          <t>BOOK</t>
        </is>
      </c>
      <c r="BB1554" t="inlineStr">
        <is>
          <t>9780834207516</t>
        </is>
      </c>
      <c r="BC1554" t="inlineStr">
        <is>
          <t>32285003381737</t>
        </is>
      </c>
      <c r="BD1554" t="inlineStr">
        <is>
          <t>893880464</t>
        </is>
      </c>
    </row>
    <row r="1555">
      <c r="A1555" t="inlineStr">
        <is>
          <t>No</t>
        </is>
      </c>
      <c r="B1555" t="inlineStr">
        <is>
          <t>RC776.E5 W454 1995</t>
        </is>
      </c>
      <c r="C1555" t="inlineStr">
        <is>
          <t>0                      RC 0776000E  5                  W  454         1995</t>
        </is>
      </c>
      <c r="D1555" t="inlineStr">
        <is>
          <t>Final negotiations : a story of love, loss, and chronic illness / Carolyn Ellis.</t>
        </is>
      </c>
      <c r="F1555" t="inlineStr">
        <is>
          <t>No</t>
        </is>
      </c>
      <c r="G1555" t="inlineStr">
        <is>
          <t>1</t>
        </is>
      </c>
      <c r="H1555" t="inlineStr">
        <is>
          <t>Yes</t>
        </is>
      </c>
      <c r="I1555" t="inlineStr">
        <is>
          <t>No</t>
        </is>
      </c>
      <c r="J1555" t="inlineStr">
        <is>
          <t>0</t>
        </is>
      </c>
      <c r="K1555" t="inlineStr">
        <is>
          <t>Ellis, Carolyn, 1950-</t>
        </is>
      </c>
      <c r="L1555" t="inlineStr">
        <is>
          <t>Philadelphia : Temple University Press, 1995.</t>
        </is>
      </c>
      <c r="M1555" t="inlineStr">
        <is>
          <t>1995</t>
        </is>
      </c>
      <c r="O1555" t="inlineStr">
        <is>
          <t>eng</t>
        </is>
      </c>
      <c r="P1555" t="inlineStr">
        <is>
          <t>pau</t>
        </is>
      </c>
      <c r="Q1555" t="inlineStr">
        <is>
          <t>Health, society, and policy</t>
        </is>
      </c>
      <c r="R1555" t="inlineStr">
        <is>
          <t xml:space="preserve">RC </t>
        </is>
      </c>
      <c r="S1555" t="n">
        <v>0</v>
      </c>
      <c r="T1555" t="n">
        <v>7</v>
      </c>
      <c r="U1555" t="inlineStr">
        <is>
          <t>2001-04-10</t>
        </is>
      </c>
      <c r="V1555" t="inlineStr">
        <is>
          <t>2006-12-09</t>
        </is>
      </c>
      <c r="W1555" t="inlineStr">
        <is>
          <t>1995-11-20</t>
        </is>
      </c>
      <c r="X1555" t="inlineStr">
        <is>
          <t>1998-01-16</t>
        </is>
      </c>
      <c r="Y1555" t="n">
        <v>214</v>
      </c>
      <c r="Z1555" t="n">
        <v>164</v>
      </c>
      <c r="AA1555" t="n">
        <v>646</v>
      </c>
      <c r="AB1555" t="n">
        <v>2</v>
      </c>
      <c r="AC1555" t="n">
        <v>6</v>
      </c>
      <c r="AD1555" t="n">
        <v>11</v>
      </c>
      <c r="AE1555" t="n">
        <v>36</v>
      </c>
      <c r="AF1555" t="n">
        <v>5</v>
      </c>
      <c r="AG1555" t="n">
        <v>16</v>
      </c>
      <c r="AH1555" t="n">
        <v>1</v>
      </c>
      <c r="AI1555" t="n">
        <v>8</v>
      </c>
      <c r="AJ1555" t="n">
        <v>7</v>
      </c>
      <c r="AK1555" t="n">
        <v>16</v>
      </c>
      <c r="AL1555" t="n">
        <v>0</v>
      </c>
      <c r="AM1555" t="n">
        <v>4</v>
      </c>
      <c r="AN1555" t="n">
        <v>0</v>
      </c>
      <c r="AO1555" t="n">
        <v>0</v>
      </c>
      <c r="AP1555" t="inlineStr">
        <is>
          <t>No</t>
        </is>
      </c>
      <c r="AQ1555" t="inlineStr">
        <is>
          <t>No</t>
        </is>
      </c>
      <c r="AS1555">
        <f>HYPERLINK("https://creighton-primo.hosted.exlibrisgroup.com/primo-explore/search?tab=default_tab&amp;search_scope=EVERYTHING&amp;vid=01CRU&amp;lang=en_US&amp;offset=0&amp;query=any,contains,991001790209702656","Catalog Record")</f>
        <v/>
      </c>
      <c r="AT1555">
        <f>HYPERLINK("http://www.worldcat.org/oclc/30399807","WorldCat Record")</f>
        <v/>
      </c>
      <c r="AU1555" t="inlineStr">
        <is>
          <t>32840782:eng</t>
        </is>
      </c>
      <c r="AV1555" t="inlineStr">
        <is>
          <t>30399807</t>
        </is>
      </c>
      <c r="AW1555" t="inlineStr">
        <is>
          <t>991001790209702656</t>
        </is>
      </c>
      <c r="AX1555" t="inlineStr">
        <is>
          <t>991001790209702656</t>
        </is>
      </c>
      <c r="AY1555" t="inlineStr">
        <is>
          <t>2258624690002656</t>
        </is>
      </c>
      <c r="AZ1555" t="inlineStr">
        <is>
          <t>BOOK</t>
        </is>
      </c>
      <c r="BB1555" t="inlineStr">
        <is>
          <t>9781566392709</t>
        </is>
      </c>
      <c r="BC1555" t="inlineStr">
        <is>
          <t>32285002104676</t>
        </is>
      </c>
      <c r="BD1555" t="inlineStr">
        <is>
          <t>893703331</t>
        </is>
      </c>
    </row>
    <row r="1556">
      <c r="A1556" t="inlineStr">
        <is>
          <t>No</t>
        </is>
      </c>
      <c r="B1556" t="inlineStr">
        <is>
          <t>RC78.7.N83 F74 1997</t>
        </is>
      </c>
      <c r="C1556" t="inlineStr">
        <is>
          <t>0                      RC 0078700N  83                 F  74          1997</t>
        </is>
      </c>
      <c r="D1556" t="inlineStr">
        <is>
          <t>Spin choreography : basic steps in high resolution NMR / Ray Freeman.</t>
        </is>
      </c>
      <c r="F1556" t="inlineStr">
        <is>
          <t>No</t>
        </is>
      </c>
      <c r="G1556" t="inlineStr">
        <is>
          <t>1</t>
        </is>
      </c>
      <c r="H1556" t="inlineStr">
        <is>
          <t>No</t>
        </is>
      </c>
      <c r="I1556" t="inlineStr">
        <is>
          <t>No</t>
        </is>
      </c>
      <c r="J1556" t="inlineStr">
        <is>
          <t>0</t>
        </is>
      </c>
      <c r="K1556" t="inlineStr">
        <is>
          <t>Freeman, Ray, 1932-</t>
        </is>
      </c>
      <c r="L1556" t="inlineStr">
        <is>
          <t>Oxford : Spektrum ; Sausalito, Calif. : University Science Books, c1997.</t>
        </is>
      </c>
      <c r="M1556" t="inlineStr">
        <is>
          <t>1997</t>
        </is>
      </c>
      <c r="O1556" t="inlineStr">
        <is>
          <t>eng</t>
        </is>
      </c>
      <c r="P1556" t="inlineStr">
        <is>
          <t>enk</t>
        </is>
      </c>
      <c r="R1556" t="inlineStr">
        <is>
          <t xml:space="preserve">RC </t>
        </is>
      </c>
      <c r="S1556" t="n">
        <v>3</v>
      </c>
      <c r="T1556" t="n">
        <v>3</v>
      </c>
      <c r="U1556" t="inlineStr">
        <is>
          <t>2004-03-04</t>
        </is>
      </c>
      <c r="V1556" t="inlineStr">
        <is>
          <t>2004-03-04</t>
        </is>
      </c>
      <c r="W1556" t="inlineStr">
        <is>
          <t>1998-04-21</t>
        </is>
      </c>
      <c r="X1556" t="inlineStr">
        <is>
          <t>1998-04-21</t>
        </is>
      </c>
      <c r="Y1556" t="n">
        <v>242</v>
      </c>
      <c r="Z1556" t="n">
        <v>184</v>
      </c>
      <c r="AA1556" t="n">
        <v>237</v>
      </c>
      <c r="AB1556" t="n">
        <v>1</v>
      </c>
      <c r="AC1556" t="n">
        <v>1</v>
      </c>
      <c r="AD1556" t="n">
        <v>10</v>
      </c>
      <c r="AE1556" t="n">
        <v>10</v>
      </c>
      <c r="AF1556" t="n">
        <v>3</v>
      </c>
      <c r="AG1556" t="n">
        <v>3</v>
      </c>
      <c r="AH1556" t="n">
        <v>4</v>
      </c>
      <c r="AI1556" t="n">
        <v>4</v>
      </c>
      <c r="AJ1556" t="n">
        <v>6</v>
      </c>
      <c r="AK1556" t="n">
        <v>6</v>
      </c>
      <c r="AL1556" t="n">
        <v>0</v>
      </c>
      <c r="AM1556" t="n">
        <v>0</v>
      </c>
      <c r="AN1556" t="n">
        <v>0</v>
      </c>
      <c r="AO1556" t="n">
        <v>0</v>
      </c>
      <c r="AP1556" t="inlineStr">
        <is>
          <t>No</t>
        </is>
      </c>
      <c r="AQ1556" t="inlineStr">
        <is>
          <t>No</t>
        </is>
      </c>
      <c r="AS1556">
        <f>HYPERLINK("https://creighton-primo.hosted.exlibrisgroup.com/primo-explore/search?tab=default_tab&amp;search_scope=EVERYTHING&amp;vid=01CRU&amp;lang=en_US&amp;offset=0&amp;query=any,contains,991002718879702656","Catalog Record")</f>
        <v/>
      </c>
      <c r="AT1556">
        <f>HYPERLINK("http://www.worldcat.org/oclc/35650895","WorldCat Record")</f>
        <v/>
      </c>
      <c r="AU1556" t="inlineStr">
        <is>
          <t>23403862:eng</t>
        </is>
      </c>
      <c r="AV1556" t="inlineStr">
        <is>
          <t>35650895</t>
        </is>
      </c>
      <c r="AW1556" t="inlineStr">
        <is>
          <t>991002718879702656</t>
        </is>
      </c>
      <c r="AX1556" t="inlineStr">
        <is>
          <t>991002718879702656</t>
        </is>
      </c>
      <c r="AY1556" t="inlineStr">
        <is>
          <t>2258335970002656</t>
        </is>
      </c>
      <c r="AZ1556" t="inlineStr">
        <is>
          <t>BOOK</t>
        </is>
      </c>
      <c r="BB1556" t="inlineStr">
        <is>
          <t>9780935702958</t>
        </is>
      </c>
      <c r="BC1556" t="inlineStr">
        <is>
          <t>32285003376083</t>
        </is>
      </c>
      <c r="BD1556" t="inlineStr">
        <is>
          <t>893511100</t>
        </is>
      </c>
    </row>
    <row r="1557">
      <c r="A1557" t="inlineStr">
        <is>
          <t>No</t>
        </is>
      </c>
      <c r="B1557" t="inlineStr">
        <is>
          <t>RC78.7.T6 W43 1990</t>
        </is>
      </c>
      <c r="C1557" t="inlineStr">
        <is>
          <t>0                      RC 0078700T  6                  W  43          1990</t>
        </is>
      </c>
      <c r="D1557" t="inlineStr">
        <is>
          <t>From the watching of shadows : the origins of radiological tomography / Steve Webb.</t>
        </is>
      </c>
      <c r="F1557" t="inlineStr">
        <is>
          <t>No</t>
        </is>
      </c>
      <c r="G1557" t="inlineStr">
        <is>
          <t>1</t>
        </is>
      </c>
      <c r="H1557" t="inlineStr">
        <is>
          <t>No</t>
        </is>
      </c>
      <c r="I1557" t="inlineStr">
        <is>
          <t>No</t>
        </is>
      </c>
      <c r="J1557" t="inlineStr">
        <is>
          <t>0</t>
        </is>
      </c>
      <c r="K1557" t="inlineStr">
        <is>
          <t>Webb, Steve, 1948-</t>
        </is>
      </c>
      <c r="L1557" t="inlineStr">
        <is>
          <t>Bristol ; New York : A. Hilger, c1990.</t>
        </is>
      </c>
      <c r="M1557" t="inlineStr">
        <is>
          <t>1990</t>
        </is>
      </c>
      <c r="O1557" t="inlineStr">
        <is>
          <t>eng</t>
        </is>
      </c>
      <c r="P1557" t="inlineStr">
        <is>
          <t>enk</t>
        </is>
      </c>
      <c r="R1557" t="inlineStr">
        <is>
          <t xml:space="preserve">RC </t>
        </is>
      </c>
      <c r="S1557" t="n">
        <v>5</v>
      </c>
      <c r="T1557" t="n">
        <v>5</v>
      </c>
      <c r="U1557" t="inlineStr">
        <is>
          <t>2002-09-20</t>
        </is>
      </c>
      <c r="V1557" t="inlineStr">
        <is>
          <t>2002-09-20</t>
        </is>
      </c>
      <c r="W1557" t="inlineStr">
        <is>
          <t>1997-01-02</t>
        </is>
      </c>
      <c r="X1557" t="inlineStr">
        <is>
          <t>1997-01-02</t>
        </is>
      </c>
      <c r="Y1557" t="n">
        <v>154</v>
      </c>
      <c r="Z1557" t="n">
        <v>98</v>
      </c>
      <c r="AA1557" t="n">
        <v>98</v>
      </c>
      <c r="AB1557" t="n">
        <v>1</v>
      </c>
      <c r="AC1557" t="n">
        <v>1</v>
      </c>
      <c r="AD1557" t="n">
        <v>4</v>
      </c>
      <c r="AE1557" t="n">
        <v>4</v>
      </c>
      <c r="AF1557" t="n">
        <v>1</v>
      </c>
      <c r="AG1557" t="n">
        <v>1</v>
      </c>
      <c r="AH1557" t="n">
        <v>1</v>
      </c>
      <c r="AI1557" t="n">
        <v>1</v>
      </c>
      <c r="AJ1557" t="n">
        <v>3</v>
      </c>
      <c r="AK1557" t="n">
        <v>3</v>
      </c>
      <c r="AL1557" t="n">
        <v>0</v>
      </c>
      <c r="AM1557" t="n">
        <v>0</v>
      </c>
      <c r="AN1557" t="n">
        <v>0</v>
      </c>
      <c r="AO1557" t="n">
        <v>0</v>
      </c>
      <c r="AP1557" t="inlineStr">
        <is>
          <t>No</t>
        </is>
      </c>
      <c r="AQ1557" t="inlineStr">
        <is>
          <t>No</t>
        </is>
      </c>
      <c r="AS1557">
        <f>HYPERLINK("https://creighton-primo.hosted.exlibrisgroup.com/primo-explore/search?tab=default_tab&amp;search_scope=EVERYTHING&amp;vid=01CRU&amp;lang=en_US&amp;offset=0&amp;query=any,contains,991001613319702656","Catalog Record")</f>
        <v/>
      </c>
      <c r="AT1557">
        <f>HYPERLINK("http://www.worldcat.org/oclc/20755879","WorldCat Record")</f>
        <v/>
      </c>
      <c r="AU1557" t="inlineStr">
        <is>
          <t>198334755:eng</t>
        </is>
      </c>
      <c r="AV1557" t="inlineStr">
        <is>
          <t>20755879</t>
        </is>
      </c>
      <c r="AW1557" t="inlineStr">
        <is>
          <t>991001613319702656</t>
        </is>
      </c>
      <c r="AX1557" t="inlineStr">
        <is>
          <t>991001613319702656</t>
        </is>
      </c>
      <c r="AY1557" t="inlineStr">
        <is>
          <t>2266187200002656</t>
        </is>
      </c>
      <c r="AZ1557" t="inlineStr">
        <is>
          <t>BOOK</t>
        </is>
      </c>
      <c r="BB1557" t="inlineStr">
        <is>
          <t>9780852743058</t>
        </is>
      </c>
      <c r="BC1557" t="inlineStr">
        <is>
          <t>32285002404423</t>
        </is>
      </c>
      <c r="BD1557" t="inlineStr">
        <is>
          <t>893885402</t>
        </is>
      </c>
    </row>
    <row r="1558">
      <c r="A1558" t="inlineStr">
        <is>
          <t>No</t>
        </is>
      </c>
      <c r="B1558" t="inlineStr">
        <is>
          <t>RC801 .K62</t>
        </is>
      </c>
      <c r="C1558" t="inlineStr">
        <is>
          <t>0                      RC 0801000K  62</t>
        </is>
      </c>
      <c r="D1558" t="inlineStr">
        <is>
          <t>Your digestive system / by Louis Winfield Kohn.</t>
        </is>
      </c>
      <c r="F1558" t="inlineStr">
        <is>
          <t>No</t>
        </is>
      </c>
      <c r="G1558" t="inlineStr">
        <is>
          <t>1</t>
        </is>
      </c>
      <c r="H1558" t="inlineStr">
        <is>
          <t>No</t>
        </is>
      </c>
      <c r="I1558" t="inlineStr">
        <is>
          <t>No</t>
        </is>
      </c>
      <c r="J1558" t="inlineStr">
        <is>
          <t>0</t>
        </is>
      </c>
      <c r="K1558" t="inlineStr">
        <is>
          <t>Kohn, Louis Winfield, 1888-</t>
        </is>
      </c>
      <c r="L1558" t="inlineStr">
        <is>
          <t>Philadelphia : The Blakiston company [1944]</t>
        </is>
      </c>
      <c r="M1558" t="inlineStr">
        <is>
          <t>1944</t>
        </is>
      </c>
      <c r="O1558" t="inlineStr">
        <is>
          <t>eng</t>
        </is>
      </c>
      <c r="P1558" t="inlineStr">
        <is>
          <t>pau</t>
        </is>
      </c>
      <c r="Q1558" t="inlineStr">
        <is>
          <t>The New home library</t>
        </is>
      </c>
      <c r="R1558" t="inlineStr">
        <is>
          <t xml:space="preserve">RC </t>
        </is>
      </c>
      <c r="S1558" t="n">
        <v>2</v>
      </c>
      <c r="T1558" t="n">
        <v>2</v>
      </c>
      <c r="U1558" t="inlineStr">
        <is>
          <t>1995-02-11</t>
        </is>
      </c>
      <c r="V1558" t="inlineStr">
        <is>
          <t>1995-02-11</t>
        </is>
      </c>
      <c r="W1558" t="inlineStr">
        <is>
          <t>1991-12-09</t>
        </is>
      </c>
      <c r="X1558" t="inlineStr">
        <is>
          <t>1991-12-09</t>
        </is>
      </c>
      <c r="Y1558" t="n">
        <v>38</v>
      </c>
      <c r="Z1558" t="n">
        <v>23</v>
      </c>
      <c r="AA1558" t="n">
        <v>24</v>
      </c>
      <c r="AB1558" t="n">
        <v>1</v>
      </c>
      <c r="AC1558" t="n">
        <v>1</v>
      </c>
      <c r="AD1558" t="n">
        <v>0</v>
      </c>
      <c r="AE1558" t="n">
        <v>0</v>
      </c>
      <c r="AF1558" t="n">
        <v>0</v>
      </c>
      <c r="AG1558" t="n">
        <v>0</v>
      </c>
      <c r="AH1558" t="n">
        <v>0</v>
      </c>
      <c r="AI1558" t="n">
        <v>0</v>
      </c>
      <c r="AJ1558" t="n">
        <v>0</v>
      </c>
      <c r="AK1558" t="n">
        <v>0</v>
      </c>
      <c r="AL1558" t="n">
        <v>0</v>
      </c>
      <c r="AM1558" t="n">
        <v>0</v>
      </c>
      <c r="AN1558" t="n">
        <v>0</v>
      </c>
      <c r="AO1558" t="n">
        <v>0</v>
      </c>
      <c r="AP1558" t="inlineStr">
        <is>
          <t>No</t>
        </is>
      </c>
      <c r="AQ1558" t="inlineStr">
        <is>
          <t>No</t>
        </is>
      </c>
      <c r="AS1558">
        <f>HYPERLINK("https://creighton-primo.hosted.exlibrisgroup.com/primo-explore/search?tab=default_tab&amp;search_scope=EVERYTHING&amp;vid=01CRU&amp;lang=en_US&amp;offset=0&amp;query=any,contains,991003868439702656","Catalog Record")</f>
        <v/>
      </c>
      <c r="AT1558">
        <f>HYPERLINK("http://www.worldcat.org/oclc/1684889","WorldCat Record")</f>
        <v/>
      </c>
      <c r="AU1558" t="inlineStr">
        <is>
          <t>2542846:eng</t>
        </is>
      </c>
      <c r="AV1558" t="inlineStr">
        <is>
          <t>1684889</t>
        </is>
      </c>
      <c r="AW1558" t="inlineStr">
        <is>
          <t>991003868439702656</t>
        </is>
      </c>
      <c r="AX1558" t="inlineStr">
        <is>
          <t>991003868439702656</t>
        </is>
      </c>
      <c r="AY1558" t="inlineStr">
        <is>
          <t>2272779170002656</t>
        </is>
      </c>
      <c r="AZ1558" t="inlineStr">
        <is>
          <t>BOOK</t>
        </is>
      </c>
      <c r="BC1558" t="inlineStr">
        <is>
          <t>32285000872589</t>
        </is>
      </c>
      <c r="BD1558" t="inlineStr">
        <is>
          <t>893894264</t>
        </is>
      </c>
    </row>
    <row r="1559">
      <c r="A1559" t="inlineStr">
        <is>
          <t>No</t>
        </is>
      </c>
      <c r="B1559" t="inlineStr">
        <is>
          <t>RC802 .G46 1980</t>
        </is>
      </c>
      <c r="C1559" t="inlineStr">
        <is>
          <t>0                      RC 0802000G  46          1980</t>
        </is>
      </c>
      <c r="D1559" t="inlineStr">
        <is>
          <t>Genetics and heterogeneity of common gastrointestinal disorders / edited by Jerome I. Rotter, I. Michael Samloff, David L. Rimoin.</t>
        </is>
      </c>
      <c r="F1559" t="inlineStr">
        <is>
          <t>No</t>
        </is>
      </c>
      <c r="G1559" t="inlineStr">
        <is>
          <t>1</t>
        </is>
      </c>
      <c r="H1559" t="inlineStr">
        <is>
          <t>Yes</t>
        </is>
      </c>
      <c r="I1559" t="inlineStr">
        <is>
          <t>No</t>
        </is>
      </c>
      <c r="J1559" t="inlineStr">
        <is>
          <t>0</t>
        </is>
      </c>
      <c r="L1559" t="inlineStr">
        <is>
          <t>New York : Academic Press, 1980.</t>
        </is>
      </c>
      <c r="M1559" t="inlineStr">
        <is>
          <t>1980</t>
        </is>
      </c>
      <c r="O1559" t="inlineStr">
        <is>
          <t>eng</t>
        </is>
      </c>
      <c r="P1559" t="inlineStr">
        <is>
          <t>nyu</t>
        </is>
      </c>
      <c r="R1559" t="inlineStr">
        <is>
          <t xml:space="preserve">RC </t>
        </is>
      </c>
      <c r="S1559" t="n">
        <v>3</v>
      </c>
      <c r="T1559" t="n">
        <v>3</v>
      </c>
      <c r="U1559" t="inlineStr">
        <is>
          <t>1995-02-11</t>
        </is>
      </c>
      <c r="V1559" t="inlineStr">
        <is>
          <t>1995-02-11</t>
        </is>
      </c>
      <c r="W1559" t="inlineStr">
        <is>
          <t>1992-03-09</t>
        </is>
      </c>
      <c r="X1559" t="inlineStr">
        <is>
          <t>1992-03-09</t>
        </is>
      </c>
      <c r="Y1559" t="n">
        <v>124</v>
      </c>
      <c r="Z1559" t="n">
        <v>84</v>
      </c>
      <c r="AA1559" t="n">
        <v>86</v>
      </c>
      <c r="AB1559" t="n">
        <v>2</v>
      </c>
      <c r="AC1559" t="n">
        <v>2</v>
      </c>
      <c r="AD1559" t="n">
        <v>1</v>
      </c>
      <c r="AE1559" t="n">
        <v>1</v>
      </c>
      <c r="AF1559" t="n">
        <v>0</v>
      </c>
      <c r="AG1559" t="n">
        <v>0</v>
      </c>
      <c r="AH1559" t="n">
        <v>1</v>
      </c>
      <c r="AI1559" t="n">
        <v>1</v>
      </c>
      <c r="AJ1559" t="n">
        <v>0</v>
      </c>
      <c r="AK1559" t="n">
        <v>0</v>
      </c>
      <c r="AL1559" t="n">
        <v>0</v>
      </c>
      <c r="AM1559" t="n">
        <v>0</v>
      </c>
      <c r="AN1559" t="n">
        <v>0</v>
      </c>
      <c r="AO1559" t="n">
        <v>0</v>
      </c>
      <c r="AP1559" t="inlineStr">
        <is>
          <t>No</t>
        </is>
      </c>
      <c r="AQ1559" t="inlineStr">
        <is>
          <t>Yes</t>
        </is>
      </c>
      <c r="AR1559">
        <f>HYPERLINK("http://catalog.hathitrust.org/Record/000141112","HathiTrust Record")</f>
        <v/>
      </c>
      <c r="AS1559">
        <f>HYPERLINK("https://creighton-primo.hosted.exlibrisgroup.com/primo-explore/search?tab=default_tab&amp;search_scope=EVERYTHING&amp;vid=01CRU&amp;lang=en_US&amp;offset=0&amp;query=any,contains,991005057819702656","Catalog Record")</f>
        <v/>
      </c>
      <c r="AT1559">
        <f>HYPERLINK("http://www.worldcat.org/oclc/6914637","WorldCat Record")</f>
        <v/>
      </c>
      <c r="AU1559" t="inlineStr">
        <is>
          <t>24712439:eng</t>
        </is>
      </c>
      <c r="AV1559" t="inlineStr">
        <is>
          <t>6914637</t>
        </is>
      </c>
      <c r="AW1559" t="inlineStr">
        <is>
          <t>991005057819702656</t>
        </is>
      </c>
      <c r="AX1559" t="inlineStr">
        <is>
          <t>991005057819702656</t>
        </is>
      </c>
      <c r="AY1559" t="inlineStr">
        <is>
          <t>2262648700002656</t>
        </is>
      </c>
      <c r="AZ1559" t="inlineStr">
        <is>
          <t>BOOK</t>
        </is>
      </c>
      <c r="BB1559" t="inlineStr">
        <is>
          <t>9780125987608</t>
        </is>
      </c>
      <c r="BC1559" t="inlineStr">
        <is>
          <t>32285000993757</t>
        </is>
      </c>
      <c r="BD1559" t="inlineStr">
        <is>
          <t>893625388</t>
        </is>
      </c>
    </row>
    <row r="1560">
      <c r="A1560" t="inlineStr">
        <is>
          <t>No</t>
        </is>
      </c>
      <c r="B1560" t="inlineStr">
        <is>
          <t>RC81 .A543 1982</t>
        </is>
      </c>
      <c r="C1560" t="inlineStr">
        <is>
          <t>0                      RC 0081000A  543         1982</t>
        </is>
      </c>
      <c r="D1560" t="inlineStr">
        <is>
          <t>The American Medical Association family medical guide / editor-in-chief, Jeffrey R.M. Kunz.</t>
        </is>
      </c>
      <c r="F1560" t="inlineStr">
        <is>
          <t>No</t>
        </is>
      </c>
      <c r="G1560" t="inlineStr">
        <is>
          <t>1</t>
        </is>
      </c>
      <c r="H1560" t="inlineStr">
        <is>
          <t>No</t>
        </is>
      </c>
      <c r="I1560" t="inlineStr">
        <is>
          <t>No</t>
        </is>
      </c>
      <c r="J1560" t="inlineStr">
        <is>
          <t>0</t>
        </is>
      </c>
      <c r="L1560" t="inlineStr">
        <is>
          <t>New York : Random House, c1982.</t>
        </is>
      </c>
      <c r="M1560" t="inlineStr">
        <is>
          <t>1982</t>
        </is>
      </c>
      <c r="N1560" t="inlineStr">
        <is>
          <t>1st ed.</t>
        </is>
      </c>
      <c r="O1560" t="inlineStr">
        <is>
          <t>eng</t>
        </is>
      </c>
      <c r="P1560" t="inlineStr">
        <is>
          <t>nyu</t>
        </is>
      </c>
      <c r="Q1560" t="inlineStr">
        <is>
          <t>The American Medical Association home health library</t>
        </is>
      </c>
      <c r="R1560" t="inlineStr">
        <is>
          <t xml:space="preserve">RC </t>
        </is>
      </c>
      <c r="S1560" t="n">
        <v>1</v>
      </c>
      <c r="T1560" t="n">
        <v>1</v>
      </c>
      <c r="U1560" t="inlineStr">
        <is>
          <t>2002-02-11</t>
        </is>
      </c>
      <c r="V1560" t="inlineStr">
        <is>
          <t>2002-02-11</t>
        </is>
      </c>
      <c r="W1560" t="inlineStr">
        <is>
          <t>1997-03-12</t>
        </is>
      </c>
      <c r="X1560" t="inlineStr">
        <is>
          <t>1997-03-12</t>
        </is>
      </c>
      <c r="Y1560" t="n">
        <v>842</v>
      </c>
      <c r="Z1560" t="n">
        <v>811</v>
      </c>
      <c r="AA1560" t="n">
        <v>2581</v>
      </c>
      <c r="AB1560" t="n">
        <v>5</v>
      </c>
      <c r="AC1560" t="n">
        <v>28</v>
      </c>
      <c r="AD1560" t="n">
        <v>5</v>
      </c>
      <c r="AE1560" t="n">
        <v>33</v>
      </c>
      <c r="AF1560" t="n">
        <v>2</v>
      </c>
      <c r="AG1560" t="n">
        <v>10</v>
      </c>
      <c r="AH1560" t="n">
        <v>1</v>
      </c>
      <c r="AI1560" t="n">
        <v>5</v>
      </c>
      <c r="AJ1560" t="n">
        <v>2</v>
      </c>
      <c r="AK1560" t="n">
        <v>10</v>
      </c>
      <c r="AL1560" t="n">
        <v>1</v>
      </c>
      <c r="AM1560" t="n">
        <v>10</v>
      </c>
      <c r="AN1560" t="n">
        <v>0</v>
      </c>
      <c r="AO1560" t="n">
        <v>1</v>
      </c>
      <c r="AP1560" t="inlineStr">
        <is>
          <t>No</t>
        </is>
      </c>
      <c r="AQ1560" t="inlineStr">
        <is>
          <t>Yes</t>
        </is>
      </c>
      <c r="AR1560">
        <f>HYPERLINK("http://catalog.hathitrust.org/Record/000268912","HathiTrust Record")</f>
        <v/>
      </c>
      <c r="AS1560">
        <f>HYPERLINK("https://creighton-primo.hosted.exlibrisgroup.com/primo-explore/search?tab=default_tab&amp;search_scope=EVERYTHING&amp;vid=01CRU&amp;lang=en_US&amp;offset=0&amp;query=any,contains,991005228879702656","Catalog Record")</f>
        <v/>
      </c>
      <c r="AT1560">
        <f>HYPERLINK("http://www.worldcat.org/oclc/8305799","WorldCat Record")</f>
        <v/>
      </c>
      <c r="AU1560" t="inlineStr">
        <is>
          <t>56869934:eng</t>
        </is>
      </c>
      <c r="AV1560" t="inlineStr">
        <is>
          <t>8305799</t>
        </is>
      </c>
      <c r="AW1560" t="inlineStr">
        <is>
          <t>991005228879702656</t>
        </is>
      </c>
      <c r="AX1560" t="inlineStr">
        <is>
          <t>991005228879702656</t>
        </is>
      </c>
      <c r="AY1560" t="inlineStr">
        <is>
          <t>2269544240002656</t>
        </is>
      </c>
      <c r="AZ1560" t="inlineStr">
        <is>
          <t>BOOK</t>
        </is>
      </c>
      <c r="BB1560" t="inlineStr">
        <is>
          <t>9780394510156</t>
        </is>
      </c>
      <c r="BC1560" t="inlineStr">
        <is>
          <t>32285002447141</t>
        </is>
      </c>
      <c r="BD1560" t="inlineStr">
        <is>
          <t>893344875</t>
        </is>
      </c>
    </row>
    <row r="1561">
      <c r="A1561" t="inlineStr">
        <is>
          <t>No</t>
        </is>
      </c>
      <c r="B1561" t="inlineStr">
        <is>
          <t>RC81 .C714 1989</t>
        </is>
      </c>
      <c r="C1561" t="inlineStr">
        <is>
          <t>0                      RC 0081000C  714         1989</t>
        </is>
      </c>
      <c r="D1561" t="inlineStr">
        <is>
          <t>The Columbia University College of Physicians and Surgeons complete home medical guide / Donald F. Tapley ... [et al.].</t>
        </is>
      </c>
      <c r="F1561" t="inlineStr">
        <is>
          <t>No</t>
        </is>
      </c>
      <c r="G1561" t="inlineStr">
        <is>
          <t>1</t>
        </is>
      </c>
      <c r="H1561" t="inlineStr">
        <is>
          <t>No</t>
        </is>
      </c>
      <c r="I1561" t="inlineStr">
        <is>
          <t>No</t>
        </is>
      </c>
      <c r="J1561" t="inlineStr">
        <is>
          <t>0</t>
        </is>
      </c>
      <c r="L1561" t="inlineStr">
        <is>
          <t>New York : Crown Publishers, c1989.</t>
        </is>
      </c>
      <c r="M1561" t="inlineStr">
        <is>
          <t>1989</t>
        </is>
      </c>
      <c r="N1561" t="inlineStr">
        <is>
          <t>Rev. ed.</t>
        </is>
      </c>
      <c r="O1561" t="inlineStr">
        <is>
          <t>eng</t>
        </is>
      </c>
      <c r="P1561" t="inlineStr">
        <is>
          <t>nyu</t>
        </is>
      </c>
      <c r="R1561" t="inlineStr">
        <is>
          <t xml:space="preserve">RC </t>
        </is>
      </c>
      <c r="S1561" t="n">
        <v>8</v>
      </c>
      <c r="T1561" t="n">
        <v>8</v>
      </c>
      <c r="U1561" t="inlineStr">
        <is>
          <t>2008-06-30</t>
        </is>
      </c>
      <c r="V1561" t="inlineStr">
        <is>
          <t>2008-06-30</t>
        </is>
      </c>
      <c r="W1561" t="inlineStr">
        <is>
          <t>1991-02-20</t>
        </is>
      </c>
      <c r="X1561" t="inlineStr">
        <is>
          <t>1991-02-20</t>
        </is>
      </c>
      <c r="Y1561" t="n">
        <v>407</v>
      </c>
      <c r="Z1561" t="n">
        <v>401</v>
      </c>
      <c r="AA1561" t="n">
        <v>747</v>
      </c>
      <c r="AB1561" t="n">
        <v>5</v>
      </c>
      <c r="AC1561" t="n">
        <v>5</v>
      </c>
      <c r="AD1561" t="n">
        <v>1</v>
      </c>
      <c r="AE1561" t="n">
        <v>7</v>
      </c>
      <c r="AF1561" t="n">
        <v>0</v>
      </c>
      <c r="AG1561" t="n">
        <v>2</v>
      </c>
      <c r="AH1561" t="n">
        <v>0</v>
      </c>
      <c r="AI1561" t="n">
        <v>2</v>
      </c>
      <c r="AJ1561" t="n">
        <v>1</v>
      </c>
      <c r="AK1561" t="n">
        <v>5</v>
      </c>
      <c r="AL1561" t="n">
        <v>0</v>
      </c>
      <c r="AM1561" t="n">
        <v>0</v>
      </c>
      <c r="AN1561" t="n">
        <v>0</v>
      </c>
      <c r="AO1561" t="n">
        <v>0</v>
      </c>
      <c r="AP1561" t="inlineStr">
        <is>
          <t>No</t>
        </is>
      </c>
      <c r="AQ1561" t="inlineStr">
        <is>
          <t>Yes</t>
        </is>
      </c>
      <c r="AR1561">
        <f>HYPERLINK("http://catalog.hathitrust.org/Record/002053642","HathiTrust Record")</f>
        <v/>
      </c>
      <c r="AS1561">
        <f>HYPERLINK("https://creighton-primo.hosted.exlibrisgroup.com/primo-explore/search?tab=default_tab&amp;search_scope=EVERYTHING&amp;vid=01CRU&amp;lang=en_US&amp;offset=0&amp;query=any,contains,991001490239702656","Catalog Record")</f>
        <v/>
      </c>
      <c r="AT1561">
        <f>HYPERLINK("http://www.worldcat.org/oclc/19722276","WorldCat Record")</f>
        <v/>
      </c>
      <c r="AU1561" t="inlineStr">
        <is>
          <t>346161157:eng</t>
        </is>
      </c>
      <c r="AV1561" t="inlineStr">
        <is>
          <t>19722276</t>
        </is>
      </c>
      <c r="AW1561" t="inlineStr">
        <is>
          <t>991001490239702656</t>
        </is>
      </c>
      <c r="AX1561" t="inlineStr">
        <is>
          <t>991001490239702656</t>
        </is>
      </c>
      <c r="AY1561" t="inlineStr">
        <is>
          <t>2256398490002656</t>
        </is>
      </c>
      <c r="AZ1561" t="inlineStr">
        <is>
          <t>BOOK</t>
        </is>
      </c>
      <c r="BB1561" t="inlineStr">
        <is>
          <t>9780517572160</t>
        </is>
      </c>
      <c r="BC1561" t="inlineStr">
        <is>
          <t>32285000299668</t>
        </is>
      </c>
      <c r="BD1561" t="inlineStr">
        <is>
          <t>893225883</t>
        </is>
      </c>
    </row>
    <row r="1562">
      <c r="A1562" t="inlineStr">
        <is>
          <t>No</t>
        </is>
      </c>
      <c r="B1562" t="inlineStr">
        <is>
          <t>RC81 .E63 1976</t>
        </is>
      </c>
      <c r="C1562" t="inlineStr">
        <is>
          <t>0                      RC 0081000E  63          1976</t>
        </is>
      </c>
      <c r="D1562" t="inlineStr">
        <is>
          <t>The Encyclopedia of common diseases / by the staff of Prevention magazine ; compiled and prepared by Charles Gerras ... [et al.].</t>
        </is>
      </c>
      <c r="F1562" t="inlineStr">
        <is>
          <t>No</t>
        </is>
      </c>
      <c r="G1562" t="inlineStr">
        <is>
          <t>1</t>
        </is>
      </c>
      <c r="H1562" t="inlineStr">
        <is>
          <t>No</t>
        </is>
      </c>
      <c r="I1562" t="inlineStr">
        <is>
          <t>No</t>
        </is>
      </c>
      <c r="J1562" t="inlineStr">
        <is>
          <t>0</t>
        </is>
      </c>
      <c r="L1562" t="inlineStr">
        <is>
          <t>[Emmaus, Pa.] : Rodale Press, c1976, 1983 printing.</t>
        </is>
      </c>
      <c r="M1562" t="inlineStr">
        <is>
          <t>1976</t>
        </is>
      </c>
      <c r="N1562" t="inlineStr">
        <is>
          <t>[Special deluxe ed.]</t>
        </is>
      </c>
      <c r="O1562" t="inlineStr">
        <is>
          <t>eng</t>
        </is>
      </c>
      <c r="P1562" t="inlineStr">
        <is>
          <t>pau</t>
        </is>
      </c>
      <c r="R1562" t="inlineStr">
        <is>
          <t xml:space="preserve">RC </t>
        </is>
      </c>
      <c r="S1562" t="n">
        <v>5</v>
      </c>
      <c r="T1562" t="n">
        <v>5</v>
      </c>
      <c r="U1562" t="inlineStr">
        <is>
          <t>1998-10-05</t>
        </is>
      </c>
      <c r="V1562" t="inlineStr">
        <is>
          <t>1998-10-05</t>
        </is>
      </c>
      <c r="W1562" t="inlineStr">
        <is>
          <t>1992-01-21</t>
        </is>
      </c>
      <c r="X1562" t="inlineStr">
        <is>
          <t>1992-01-21</t>
        </is>
      </c>
      <c r="Y1562" t="n">
        <v>505</v>
      </c>
      <c r="Z1562" t="n">
        <v>473</v>
      </c>
      <c r="AA1562" t="n">
        <v>485</v>
      </c>
      <c r="AB1562" t="n">
        <v>4</v>
      </c>
      <c r="AC1562" t="n">
        <v>4</v>
      </c>
      <c r="AD1562" t="n">
        <v>7</v>
      </c>
      <c r="AE1562" t="n">
        <v>7</v>
      </c>
      <c r="AF1562" t="n">
        <v>3</v>
      </c>
      <c r="AG1562" t="n">
        <v>3</v>
      </c>
      <c r="AH1562" t="n">
        <v>0</v>
      </c>
      <c r="AI1562" t="n">
        <v>0</v>
      </c>
      <c r="AJ1562" t="n">
        <v>2</v>
      </c>
      <c r="AK1562" t="n">
        <v>2</v>
      </c>
      <c r="AL1562" t="n">
        <v>3</v>
      </c>
      <c r="AM1562" t="n">
        <v>3</v>
      </c>
      <c r="AN1562" t="n">
        <v>0</v>
      </c>
      <c r="AO1562" t="n">
        <v>0</v>
      </c>
      <c r="AP1562" t="inlineStr">
        <is>
          <t>No</t>
        </is>
      </c>
      <c r="AQ1562" t="inlineStr">
        <is>
          <t>No</t>
        </is>
      </c>
      <c r="AS1562">
        <f>HYPERLINK("https://creighton-primo.hosted.exlibrisgroup.com/primo-explore/search?tab=default_tab&amp;search_scope=EVERYTHING&amp;vid=01CRU&amp;lang=en_US&amp;offset=0&amp;query=any,contains,991003909949702656","Catalog Record")</f>
        <v/>
      </c>
      <c r="AT1562">
        <f>HYPERLINK("http://www.worldcat.org/oclc/1849167","WorldCat Record")</f>
        <v/>
      </c>
      <c r="AU1562" t="inlineStr">
        <is>
          <t>54083269:eng</t>
        </is>
      </c>
      <c r="AV1562" t="inlineStr">
        <is>
          <t>1849167</t>
        </is>
      </c>
      <c r="AW1562" t="inlineStr">
        <is>
          <t>991003909949702656</t>
        </is>
      </c>
      <c r="AX1562" t="inlineStr">
        <is>
          <t>991003909949702656</t>
        </is>
      </c>
      <c r="AY1562" t="inlineStr">
        <is>
          <t>2257730510002656</t>
        </is>
      </c>
      <c r="AZ1562" t="inlineStr">
        <is>
          <t>BOOK</t>
        </is>
      </c>
      <c r="BB1562" t="inlineStr">
        <is>
          <t>9780878571130</t>
        </is>
      </c>
      <c r="BC1562" t="inlineStr">
        <is>
          <t>32285000916600</t>
        </is>
      </c>
      <c r="BD1562" t="inlineStr">
        <is>
          <t>893894350</t>
        </is>
      </c>
    </row>
    <row r="1563">
      <c r="A1563" t="inlineStr">
        <is>
          <t>No</t>
        </is>
      </c>
      <c r="B1563" t="inlineStr">
        <is>
          <t>RC81 .M473 1990</t>
        </is>
      </c>
      <c r="C1563" t="inlineStr">
        <is>
          <t>0                      RC 0081000M  473         1990</t>
        </is>
      </c>
      <c r="D1563" t="inlineStr">
        <is>
          <t>Mayo Clinic family health book / David E. Larson, editor-in-chief.</t>
        </is>
      </c>
      <c r="F1563" t="inlineStr">
        <is>
          <t>No</t>
        </is>
      </c>
      <c r="G1563" t="inlineStr">
        <is>
          <t>1</t>
        </is>
      </c>
      <c r="H1563" t="inlineStr">
        <is>
          <t>No</t>
        </is>
      </c>
      <c r="I1563" t="inlineStr">
        <is>
          <t>No</t>
        </is>
      </c>
      <c r="J1563" t="inlineStr">
        <is>
          <t>0</t>
        </is>
      </c>
      <c r="L1563" t="inlineStr">
        <is>
          <t>New York : W. Morrow, c1990.</t>
        </is>
      </c>
      <c r="M1563" t="inlineStr">
        <is>
          <t>1990</t>
        </is>
      </c>
      <c r="N1563" t="inlineStr">
        <is>
          <t>1st ed.</t>
        </is>
      </c>
      <c r="O1563" t="inlineStr">
        <is>
          <t>eng</t>
        </is>
      </c>
      <c r="P1563" t="inlineStr">
        <is>
          <t>nyu</t>
        </is>
      </c>
      <c r="R1563" t="inlineStr">
        <is>
          <t xml:space="preserve">RC </t>
        </is>
      </c>
      <c r="S1563" t="n">
        <v>8</v>
      </c>
      <c r="T1563" t="n">
        <v>8</v>
      </c>
      <c r="U1563" t="inlineStr">
        <is>
          <t>2008-06-30</t>
        </is>
      </c>
      <c r="V1563" t="inlineStr">
        <is>
          <t>2008-06-30</t>
        </is>
      </c>
      <c r="W1563" t="inlineStr">
        <is>
          <t>1991-06-13</t>
        </is>
      </c>
      <c r="X1563" t="inlineStr">
        <is>
          <t>1991-06-13</t>
        </is>
      </c>
      <c r="Y1563" t="n">
        <v>1204</v>
      </c>
      <c r="Z1563" t="n">
        <v>1141</v>
      </c>
      <c r="AA1563" t="n">
        <v>1705</v>
      </c>
      <c r="AB1563" t="n">
        <v>12</v>
      </c>
      <c r="AC1563" t="n">
        <v>15</v>
      </c>
      <c r="AD1563" t="n">
        <v>6</v>
      </c>
      <c r="AE1563" t="n">
        <v>12</v>
      </c>
      <c r="AF1563" t="n">
        <v>3</v>
      </c>
      <c r="AG1563" t="n">
        <v>6</v>
      </c>
      <c r="AH1563" t="n">
        <v>1</v>
      </c>
      <c r="AI1563" t="n">
        <v>1</v>
      </c>
      <c r="AJ1563" t="n">
        <v>3</v>
      </c>
      <c r="AK1563" t="n">
        <v>7</v>
      </c>
      <c r="AL1563" t="n">
        <v>0</v>
      </c>
      <c r="AM1563" t="n">
        <v>1</v>
      </c>
      <c r="AN1563" t="n">
        <v>0</v>
      </c>
      <c r="AO1563" t="n">
        <v>0</v>
      </c>
      <c r="AP1563" t="inlineStr">
        <is>
          <t>No</t>
        </is>
      </c>
      <c r="AQ1563" t="inlineStr">
        <is>
          <t>No</t>
        </is>
      </c>
      <c r="AS1563">
        <f>HYPERLINK("https://creighton-primo.hosted.exlibrisgroup.com/primo-explore/search?tab=default_tab&amp;search_scope=EVERYTHING&amp;vid=01CRU&amp;lang=en_US&amp;offset=0&amp;query=any,contains,991001696139702656","Catalog Record")</f>
        <v/>
      </c>
      <c r="AT1563">
        <f>HYPERLINK("http://www.worldcat.org/oclc/21483659","WorldCat Record")</f>
        <v/>
      </c>
      <c r="AU1563" t="inlineStr">
        <is>
          <t>1153752494:eng</t>
        </is>
      </c>
      <c r="AV1563" t="inlineStr">
        <is>
          <t>21483659</t>
        </is>
      </c>
      <c r="AW1563" t="inlineStr">
        <is>
          <t>991001696139702656</t>
        </is>
      </c>
      <c r="AX1563" t="inlineStr">
        <is>
          <t>991001696139702656</t>
        </is>
      </c>
      <c r="AY1563" t="inlineStr">
        <is>
          <t>2261493480002656</t>
        </is>
      </c>
      <c r="AZ1563" t="inlineStr">
        <is>
          <t>BOOK</t>
        </is>
      </c>
      <c r="BB1563" t="inlineStr">
        <is>
          <t>9780688099077</t>
        </is>
      </c>
      <c r="BC1563" t="inlineStr">
        <is>
          <t>32285000656024</t>
        </is>
      </c>
      <c r="BD1563" t="inlineStr">
        <is>
          <t>893328305</t>
        </is>
      </c>
    </row>
    <row r="1564">
      <c r="A1564" t="inlineStr">
        <is>
          <t>No</t>
        </is>
      </c>
      <c r="B1564" t="inlineStr">
        <is>
          <t>RC81 .P843 2006</t>
        </is>
      </c>
      <c r="C1564" t="inlineStr">
        <is>
          <t>0                      RC 0081000P  843         2006</t>
        </is>
      </c>
      <c r="D1564" t="inlineStr">
        <is>
          <t>Healthier at home : the proven guide to self-care &amp; being a wise health consumer / written by Don R. Powell, Ph.D. and the American Institute for Preventive Medicine.</t>
        </is>
      </c>
      <c r="F1564" t="inlineStr">
        <is>
          <t>No</t>
        </is>
      </c>
      <c r="G1564" t="inlineStr">
        <is>
          <t>1</t>
        </is>
      </c>
      <c r="H1564" t="inlineStr">
        <is>
          <t>No</t>
        </is>
      </c>
      <c r="I1564" t="inlineStr">
        <is>
          <t>No</t>
        </is>
      </c>
      <c r="J1564" t="inlineStr">
        <is>
          <t>0</t>
        </is>
      </c>
      <c r="K1564" t="inlineStr">
        <is>
          <t>Powell, Don R.</t>
        </is>
      </c>
      <c r="L1564" t="inlineStr">
        <is>
          <t>Farmington Hills, MI : American Institute for Preventive Medicine, 2006.</t>
        </is>
      </c>
      <c r="M1564" t="inlineStr">
        <is>
          <t>2006</t>
        </is>
      </c>
      <c r="O1564" t="inlineStr">
        <is>
          <t>eng</t>
        </is>
      </c>
      <c r="P1564" t="inlineStr">
        <is>
          <t>miu</t>
        </is>
      </c>
      <c r="R1564" t="inlineStr">
        <is>
          <t xml:space="preserve">RC </t>
        </is>
      </c>
      <c r="S1564" t="n">
        <v>2</v>
      </c>
      <c r="T1564" t="n">
        <v>2</v>
      </c>
      <c r="U1564" t="inlineStr">
        <is>
          <t>2010-12-09</t>
        </is>
      </c>
      <c r="V1564" t="inlineStr">
        <is>
          <t>2010-12-09</t>
        </is>
      </c>
      <c r="W1564" t="inlineStr">
        <is>
          <t>2010-12-09</t>
        </is>
      </c>
      <c r="X1564" t="inlineStr">
        <is>
          <t>2010-12-09</t>
        </is>
      </c>
      <c r="Y1564" t="n">
        <v>68</v>
      </c>
      <c r="Z1564" t="n">
        <v>68</v>
      </c>
      <c r="AA1564" t="n">
        <v>74</v>
      </c>
      <c r="AB1564" t="n">
        <v>2</v>
      </c>
      <c r="AC1564" t="n">
        <v>2</v>
      </c>
      <c r="AD1564" t="n">
        <v>1</v>
      </c>
      <c r="AE1564" t="n">
        <v>1</v>
      </c>
      <c r="AF1564" t="n">
        <v>0</v>
      </c>
      <c r="AG1564" t="n">
        <v>0</v>
      </c>
      <c r="AH1564" t="n">
        <v>0</v>
      </c>
      <c r="AI1564" t="n">
        <v>0</v>
      </c>
      <c r="AJ1564" t="n">
        <v>0</v>
      </c>
      <c r="AK1564" t="n">
        <v>0</v>
      </c>
      <c r="AL1564" t="n">
        <v>1</v>
      </c>
      <c r="AM1564" t="n">
        <v>1</v>
      </c>
      <c r="AN1564" t="n">
        <v>0</v>
      </c>
      <c r="AO1564" t="n">
        <v>0</v>
      </c>
      <c r="AP1564" t="inlineStr">
        <is>
          <t>No</t>
        </is>
      </c>
      <c r="AQ1564" t="inlineStr">
        <is>
          <t>No</t>
        </is>
      </c>
      <c r="AS1564">
        <f>HYPERLINK("https://creighton-primo.hosted.exlibrisgroup.com/primo-explore/search?tab=default_tab&amp;search_scope=EVERYTHING&amp;vid=01CRU&amp;lang=en_US&amp;offset=0&amp;query=any,contains,991000393749702656","Catalog Record")</f>
        <v/>
      </c>
      <c r="AT1564">
        <f>HYPERLINK("http://www.worldcat.org/oclc/70044552","WorldCat Record")</f>
        <v/>
      </c>
      <c r="AU1564" t="inlineStr">
        <is>
          <t>5114048005:eng</t>
        </is>
      </c>
      <c r="AV1564" t="inlineStr">
        <is>
          <t>70044552</t>
        </is>
      </c>
      <c r="AW1564" t="inlineStr">
        <is>
          <t>991000393749702656</t>
        </is>
      </c>
      <c r="AX1564" t="inlineStr">
        <is>
          <t>991000393749702656</t>
        </is>
      </c>
      <c r="AY1564" t="inlineStr">
        <is>
          <t>2271346340002656</t>
        </is>
      </c>
      <c r="AZ1564" t="inlineStr">
        <is>
          <t>BOOK</t>
        </is>
      </c>
      <c r="BB1564" t="inlineStr">
        <is>
          <t>9780976504801</t>
        </is>
      </c>
      <c r="BC1564" t="inlineStr">
        <is>
          <t>32285005650253</t>
        </is>
      </c>
      <c r="BD1564" t="inlineStr">
        <is>
          <t>893607874</t>
        </is>
      </c>
    </row>
    <row r="1565">
      <c r="A1565" t="inlineStr">
        <is>
          <t>No</t>
        </is>
      </c>
      <c r="B1565" t="inlineStr">
        <is>
          <t>RC82 .G76 2001</t>
        </is>
      </c>
      <c r="C1565" t="inlineStr">
        <is>
          <t>0                      RC 0082000G  76          2001</t>
        </is>
      </c>
      <c r="D1565" t="inlineStr">
        <is>
          <t>Second opinions : stories of intuition and choice in thechanging world of medicine / Jerome Groopman.</t>
        </is>
      </c>
      <c r="F1565" t="inlineStr">
        <is>
          <t>No</t>
        </is>
      </c>
      <c r="G1565" t="inlineStr">
        <is>
          <t>1</t>
        </is>
      </c>
      <c r="H1565" t="inlineStr">
        <is>
          <t>No</t>
        </is>
      </c>
      <c r="I1565" t="inlineStr">
        <is>
          <t>Yes</t>
        </is>
      </c>
      <c r="J1565" t="inlineStr">
        <is>
          <t>0</t>
        </is>
      </c>
      <c r="K1565" t="inlineStr">
        <is>
          <t>Groopman, Jerome E.</t>
        </is>
      </c>
      <c r="L1565" t="inlineStr">
        <is>
          <t>New York : Penguin Books, 2001.</t>
        </is>
      </c>
      <c r="M1565" t="inlineStr">
        <is>
          <t>2001</t>
        </is>
      </c>
      <c r="O1565" t="inlineStr">
        <is>
          <t>eng</t>
        </is>
      </c>
      <c r="P1565" t="inlineStr">
        <is>
          <t>nyu</t>
        </is>
      </c>
      <c r="R1565" t="inlineStr">
        <is>
          <t xml:space="preserve">RC </t>
        </is>
      </c>
      <c r="S1565" t="n">
        <v>2</v>
      </c>
      <c r="T1565" t="n">
        <v>2</v>
      </c>
      <c r="U1565" t="inlineStr">
        <is>
          <t>2005-07-28</t>
        </is>
      </c>
      <c r="V1565" t="inlineStr">
        <is>
          <t>2005-07-28</t>
        </is>
      </c>
      <c r="W1565" t="inlineStr">
        <is>
          <t>2002-09-27</t>
        </is>
      </c>
      <c r="X1565" t="inlineStr">
        <is>
          <t>2002-09-27</t>
        </is>
      </c>
      <c r="Y1565" t="n">
        <v>89</v>
      </c>
      <c r="Z1565" t="n">
        <v>83</v>
      </c>
      <c r="AA1565" t="n">
        <v>644</v>
      </c>
      <c r="AB1565" t="n">
        <v>1</v>
      </c>
      <c r="AC1565" t="n">
        <v>4</v>
      </c>
      <c r="AD1565" t="n">
        <v>0</v>
      </c>
      <c r="AE1565" t="n">
        <v>9</v>
      </c>
      <c r="AF1565" t="n">
        <v>0</v>
      </c>
      <c r="AG1565" t="n">
        <v>3</v>
      </c>
      <c r="AH1565" t="n">
        <v>0</v>
      </c>
      <c r="AI1565" t="n">
        <v>3</v>
      </c>
      <c r="AJ1565" t="n">
        <v>0</v>
      </c>
      <c r="AK1565" t="n">
        <v>5</v>
      </c>
      <c r="AL1565" t="n">
        <v>0</v>
      </c>
      <c r="AM1565" t="n">
        <v>1</v>
      </c>
      <c r="AN1565" t="n">
        <v>0</v>
      </c>
      <c r="AO1565" t="n">
        <v>0</v>
      </c>
      <c r="AP1565" t="inlineStr">
        <is>
          <t>No</t>
        </is>
      </c>
      <c r="AQ1565" t="inlineStr">
        <is>
          <t>No</t>
        </is>
      </c>
      <c r="AS1565">
        <f>HYPERLINK("https://creighton-primo.hosted.exlibrisgroup.com/primo-explore/search?tab=default_tab&amp;search_scope=EVERYTHING&amp;vid=01CRU&amp;lang=en_US&amp;offset=0&amp;query=any,contains,991003899689702656","Catalog Record")</f>
        <v/>
      </c>
      <c r="AT1565">
        <f>HYPERLINK("http://www.worldcat.org/oclc/46593749","WorldCat Record")</f>
        <v/>
      </c>
      <c r="AU1565" t="inlineStr">
        <is>
          <t>1810035636:eng</t>
        </is>
      </c>
      <c r="AV1565" t="inlineStr">
        <is>
          <t>46593749</t>
        </is>
      </c>
      <c r="AW1565" t="inlineStr">
        <is>
          <t>991003899689702656</t>
        </is>
      </c>
      <c r="AX1565" t="inlineStr">
        <is>
          <t>991003899689702656</t>
        </is>
      </c>
      <c r="AY1565" t="inlineStr">
        <is>
          <t>2258994520002656</t>
        </is>
      </c>
      <c r="AZ1565" t="inlineStr">
        <is>
          <t>BOOK</t>
        </is>
      </c>
      <c r="BB1565" t="inlineStr">
        <is>
          <t>9780140298628</t>
        </is>
      </c>
      <c r="BC1565" t="inlineStr">
        <is>
          <t>32285004654066</t>
        </is>
      </c>
      <c r="BD1565" t="inlineStr">
        <is>
          <t>893349365</t>
        </is>
      </c>
    </row>
    <row r="1566">
      <c r="A1566" t="inlineStr">
        <is>
          <t>No</t>
        </is>
      </c>
      <c r="B1566" t="inlineStr">
        <is>
          <t>RC82 .H43 1974</t>
        </is>
      </c>
      <c r="C1566" t="inlineStr">
        <is>
          <t>0                      RC 0082000H  43          1974</t>
        </is>
      </c>
      <c r="D1566" t="inlineStr">
        <is>
          <t>The great patent medicine era : or, Without benefit of doctor / by Adelaide Hechtlinger.</t>
        </is>
      </c>
      <c r="F1566" t="inlineStr">
        <is>
          <t>No</t>
        </is>
      </c>
      <c r="G1566" t="inlineStr">
        <is>
          <t>1</t>
        </is>
      </c>
      <c r="H1566" t="inlineStr">
        <is>
          <t>No</t>
        </is>
      </c>
      <c r="I1566" t="inlineStr">
        <is>
          <t>No</t>
        </is>
      </c>
      <c r="J1566" t="inlineStr">
        <is>
          <t>0</t>
        </is>
      </c>
      <c r="K1566" t="inlineStr">
        <is>
          <t>Hechtlinger, Adelaide compiler.</t>
        </is>
      </c>
      <c r="L1566" t="inlineStr">
        <is>
          <t>New York : Galahad Books, [1974?] c1970.</t>
        </is>
      </c>
      <c r="M1566" t="inlineStr">
        <is>
          <t>1974</t>
        </is>
      </c>
      <c r="O1566" t="inlineStr">
        <is>
          <t>eng</t>
        </is>
      </c>
      <c r="P1566" t="inlineStr">
        <is>
          <t>nyu</t>
        </is>
      </c>
      <c r="R1566" t="inlineStr">
        <is>
          <t xml:space="preserve">RC </t>
        </is>
      </c>
      <c r="S1566" t="n">
        <v>4</v>
      </c>
      <c r="T1566" t="n">
        <v>4</v>
      </c>
      <c r="U1566" t="inlineStr">
        <is>
          <t>2002-04-24</t>
        </is>
      </c>
      <c r="V1566" t="inlineStr">
        <is>
          <t>2002-04-24</t>
        </is>
      </c>
      <c r="W1566" t="inlineStr">
        <is>
          <t>1997-08-08</t>
        </is>
      </c>
      <c r="X1566" t="inlineStr">
        <is>
          <t>1997-08-08</t>
        </is>
      </c>
      <c r="Y1566" t="n">
        <v>211</v>
      </c>
      <c r="Z1566" t="n">
        <v>204</v>
      </c>
      <c r="AA1566" t="n">
        <v>630</v>
      </c>
      <c r="AB1566" t="n">
        <v>3</v>
      </c>
      <c r="AC1566" t="n">
        <v>5</v>
      </c>
      <c r="AD1566" t="n">
        <v>6</v>
      </c>
      <c r="AE1566" t="n">
        <v>13</v>
      </c>
      <c r="AF1566" t="n">
        <v>2</v>
      </c>
      <c r="AG1566" t="n">
        <v>6</v>
      </c>
      <c r="AH1566" t="n">
        <v>1</v>
      </c>
      <c r="AI1566" t="n">
        <v>3</v>
      </c>
      <c r="AJ1566" t="n">
        <v>4</v>
      </c>
      <c r="AK1566" t="n">
        <v>5</v>
      </c>
      <c r="AL1566" t="n">
        <v>2</v>
      </c>
      <c r="AM1566" t="n">
        <v>4</v>
      </c>
      <c r="AN1566" t="n">
        <v>0</v>
      </c>
      <c r="AO1566" t="n">
        <v>0</v>
      </c>
      <c r="AP1566" t="inlineStr">
        <is>
          <t>No</t>
        </is>
      </c>
      <c r="AQ1566" t="inlineStr">
        <is>
          <t>Yes</t>
        </is>
      </c>
      <c r="AR1566">
        <f>HYPERLINK("http://catalog.hathitrust.org/Record/000028563","HathiTrust Record")</f>
        <v/>
      </c>
      <c r="AS1566">
        <f>HYPERLINK("https://creighton-primo.hosted.exlibrisgroup.com/primo-explore/search?tab=default_tab&amp;search_scope=EVERYTHING&amp;vid=01CRU&amp;lang=en_US&amp;offset=0&amp;query=any,contains,991003527549702656","Catalog Record")</f>
        <v/>
      </c>
      <c r="AT1566">
        <f>HYPERLINK("http://www.worldcat.org/oclc/1091546","WorldCat Record")</f>
        <v/>
      </c>
      <c r="AU1566" t="inlineStr">
        <is>
          <t>1308630:eng</t>
        </is>
      </c>
      <c r="AV1566" t="inlineStr">
        <is>
          <t>1091546</t>
        </is>
      </c>
      <c r="AW1566" t="inlineStr">
        <is>
          <t>991003527549702656</t>
        </is>
      </c>
      <c r="AX1566" t="inlineStr">
        <is>
          <t>991003527549702656</t>
        </is>
      </c>
      <c r="AY1566" t="inlineStr">
        <is>
          <t>2266096620002656</t>
        </is>
      </c>
      <c r="AZ1566" t="inlineStr">
        <is>
          <t>BOOK</t>
        </is>
      </c>
      <c r="BB1566" t="inlineStr">
        <is>
          <t>9780883651131</t>
        </is>
      </c>
      <c r="BC1566" t="inlineStr">
        <is>
          <t>32285003084315</t>
        </is>
      </c>
      <c r="BD1566" t="inlineStr">
        <is>
          <t>893336580</t>
        </is>
      </c>
    </row>
    <row r="1567">
      <c r="A1567" t="inlineStr">
        <is>
          <t>No</t>
        </is>
      </c>
      <c r="B1567" t="inlineStr">
        <is>
          <t>RC82 .K87</t>
        </is>
      </c>
      <c r="C1567" t="inlineStr">
        <is>
          <t>0                      RC 0082000K  87</t>
        </is>
      </c>
      <c r="D1567" t="inlineStr">
        <is>
          <t>Rice vinegar : an oriental home remedy / by Togo, Kuroiwa.</t>
        </is>
      </c>
      <c r="F1567" t="inlineStr">
        <is>
          <t>No</t>
        </is>
      </c>
      <c r="G1567" t="inlineStr">
        <is>
          <t>1</t>
        </is>
      </c>
      <c r="H1567" t="inlineStr">
        <is>
          <t>No</t>
        </is>
      </c>
      <c r="I1567" t="inlineStr">
        <is>
          <t>No</t>
        </is>
      </c>
      <c r="J1567" t="inlineStr">
        <is>
          <t>0</t>
        </is>
      </c>
      <c r="K1567" t="inlineStr">
        <is>
          <t>Kuroiwa, Tōgo, 1917-</t>
        </is>
      </c>
      <c r="L1567" t="inlineStr">
        <is>
          <t>Tokyo : Kenko Igakusha Co., 1977.</t>
        </is>
      </c>
      <c r="M1567" t="inlineStr">
        <is>
          <t>1977</t>
        </is>
      </c>
      <c r="N1567" t="inlineStr">
        <is>
          <t>1st ed.</t>
        </is>
      </c>
      <c r="O1567" t="inlineStr">
        <is>
          <t>eng</t>
        </is>
      </c>
      <c r="P1567" t="inlineStr">
        <is>
          <t xml:space="preserve">ja </t>
        </is>
      </c>
      <c r="R1567" t="inlineStr">
        <is>
          <t xml:space="preserve">RC </t>
        </is>
      </c>
      <c r="S1567" t="n">
        <v>6</v>
      </c>
      <c r="T1567" t="n">
        <v>6</v>
      </c>
      <c r="U1567" t="inlineStr">
        <is>
          <t>2002-04-24</t>
        </is>
      </c>
      <c r="V1567" t="inlineStr">
        <is>
          <t>2002-04-24</t>
        </is>
      </c>
      <c r="W1567" t="inlineStr">
        <is>
          <t>1997-08-08</t>
        </is>
      </c>
      <c r="X1567" t="inlineStr">
        <is>
          <t>1997-08-08</t>
        </is>
      </c>
      <c r="Y1567" t="n">
        <v>189</v>
      </c>
      <c r="Z1567" t="n">
        <v>150</v>
      </c>
      <c r="AA1567" t="n">
        <v>152</v>
      </c>
      <c r="AB1567" t="n">
        <v>2</v>
      </c>
      <c r="AC1567" t="n">
        <v>2</v>
      </c>
      <c r="AD1567" t="n">
        <v>5</v>
      </c>
      <c r="AE1567" t="n">
        <v>5</v>
      </c>
      <c r="AF1567" t="n">
        <v>2</v>
      </c>
      <c r="AG1567" t="n">
        <v>2</v>
      </c>
      <c r="AH1567" t="n">
        <v>2</v>
      </c>
      <c r="AI1567" t="n">
        <v>2</v>
      </c>
      <c r="AJ1567" t="n">
        <v>0</v>
      </c>
      <c r="AK1567" t="n">
        <v>0</v>
      </c>
      <c r="AL1567" t="n">
        <v>1</v>
      </c>
      <c r="AM1567" t="n">
        <v>1</v>
      </c>
      <c r="AN1567" t="n">
        <v>0</v>
      </c>
      <c r="AO1567" t="n">
        <v>0</v>
      </c>
      <c r="AP1567" t="inlineStr">
        <is>
          <t>No</t>
        </is>
      </c>
      <c r="AQ1567" t="inlineStr">
        <is>
          <t>Yes</t>
        </is>
      </c>
      <c r="AR1567">
        <f>HYPERLINK("http://catalog.hathitrust.org/Record/000753119","HathiTrust Record")</f>
        <v/>
      </c>
      <c r="AS1567">
        <f>HYPERLINK("https://creighton-primo.hosted.exlibrisgroup.com/primo-explore/search?tab=default_tab&amp;search_scope=EVERYTHING&amp;vid=01CRU&amp;lang=en_US&amp;offset=0&amp;query=any,contains,991004494769702656","Catalog Record")</f>
        <v/>
      </c>
      <c r="AT1567">
        <f>HYPERLINK("http://www.worldcat.org/oclc/3688096","WorldCat Record")</f>
        <v/>
      </c>
      <c r="AU1567" t="inlineStr">
        <is>
          <t>1084682013:eng</t>
        </is>
      </c>
      <c r="AV1567" t="inlineStr">
        <is>
          <t>3688096</t>
        </is>
      </c>
      <c r="AW1567" t="inlineStr">
        <is>
          <t>991004494769702656</t>
        </is>
      </c>
      <c r="AX1567" t="inlineStr">
        <is>
          <t>991004494769702656</t>
        </is>
      </c>
      <c r="AY1567" t="inlineStr">
        <is>
          <t>2263281370002656</t>
        </is>
      </c>
      <c r="AZ1567" t="inlineStr">
        <is>
          <t>BOOK</t>
        </is>
      </c>
      <c r="BC1567" t="inlineStr">
        <is>
          <t>32285003084323</t>
        </is>
      </c>
      <c r="BD1567" t="inlineStr">
        <is>
          <t>893624788</t>
        </is>
      </c>
    </row>
    <row r="1568">
      <c r="A1568" t="inlineStr">
        <is>
          <t>No</t>
        </is>
      </c>
      <c r="B1568" t="inlineStr">
        <is>
          <t>RC86.7 .A43 1987</t>
        </is>
      </c>
      <c r="C1568" t="inlineStr">
        <is>
          <t>0                      RC 0086700A  43          1987</t>
        </is>
      </c>
      <c r="D1568" t="inlineStr">
        <is>
          <t>Emergency care and transportation of the sick and injured / by the American Academy of Orthopaedic Surgeons.</t>
        </is>
      </c>
      <c r="F1568" t="inlineStr">
        <is>
          <t>No</t>
        </is>
      </c>
      <c r="G1568" t="inlineStr">
        <is>
          <t>1</t>
        </is>
      </c>
      <c r="H1568" t="inlineStr">
        <is>
          <t>No</t>
        </is>
      </c>
      <c r="I1568" t="inlineStr">
        <is>
          <t>Yes</t>
        </is>
      </c>
      <c r="J1568" t="inlineStr">
        <is>
          <t>0</t>
        </is>
      </c>
      <c r="K1568" t="inlineStr">
        <is>
          <t>American Academy of Orthopaedic Surgeons.</t>
        </is>
      </c>
      <c r="L1568" t="inlineStr">
        <is>
          <t>Park Ridge, IL : American Academy of Orthopaedic Surgeons, c1987.</t>
        </is>
      </c>
      <c r="M1568" t="inlineStr">
        <is>
          <t>1987</t>
        </is>
      </c>
      <c r="N1568" t="inlineStr">
        <is>
          <t>4th ed.</t>
        </is>
      </c>
      <c r="O1568" t="inlineStr">
        <is>
          <t>eng</t>
        </is>
      </c>
      <c r="P1568" t="inlineStr">
        <is>
          <t>ilu</t>
        </is>
      </c>
      <c r="R1568" t="inlineStr">
        <is>
          <t xml:space="preserve">RC </t>
        </is>
      </c>
      <c r="S1568" t="n">
        <v>3</v>
      </c>
      <c r="T1568" t="n">
        <v>3</v>
      </c>
      <c r="U1568" t="inlineStr">
        <is>
          <t>2002-02-14</t>
        </is>
      </c>
      <c r="V1568" t="inlineStr">
        <is>
          <t>2002-02-14</t>
        </is>
      </c>
      <c r="W1568" t="inlineStr">
        <is>
          <t>1992-05-07</t>
        </is>
      </c>
      <c r="X1568" t="inlineStr">
        <is>
          <t>1992-05-07</t>
        </is>
      </c>
      <c r="Y1568" t="n">
        <v>138</v>
      </c>
      <c r="Z1568" t="n">
        <v>123</v>
      </c>
      <c r="AA1568" t="n">
        <v>417</v>
      </c>
      <c r="AB1568" t="n">
        <v>2</v>
      </c>
      <c r="AC1568" t="n">
        <v>4</v>
      </c>
      <c r="AD1568" t="n">
        <v>2</v>
      </c>
      <c r="AE1568" t="n">
        <v>11</v>
      </c>
      <c r="AF1568" t="n">
        <v>1</v>
      </c>
      <c r="AG1568" t="n">
        <v>4</v>
      </c>
      <c r="AH1568" t="n">
        <v>0</v>
      </c>
      <c r="AI1568" t="n">
        <v>4</v>
      </c>
      <c r="AJ1568" t="n">
        <v>0</v>
      </c>
      <c r="AK1568" t="n">
        <v>3</v>
      </c>
      <c r="AL1568" t="n">
        <v>0</v>
      </c>
      <c r="AM1568" t="n">
        <v>1</v>
      </c>
      <c r="AN1568" t="n">
        <v>1</v>
      </c>
      <c r="AO1568" t="n">
        <v>1</v>
      </c>
      <c r="AP1568" t="inlineStr">
        <is>
          <t>No</t>
        </is>
      </c>
      <c r="AQ1568" t="inlineStr">
        <is>
          <t>Yes</t>
        </is>
      </c>
      <c r="AR1568">
        <f>HYPERLINK("http://catalog.hathitrust.org/Record/000945141","HathiTrust Record")</f>
        <v/>
      </c>
      <c r="AS1568">
        <f>HYPERLINK("https://creighton-primo.hosted.exlibrisgroup.com/primo-explore/search?tab=default_tab&amp;search_scope=EVERYTHING&amp;vid=01CRU&amp;lang=en_US&amp;offset=0&amp;query=any,contains,991000958949702656","Catalog Record")</f>
        <v/>
      </c>
      <c r="AT1568">
        <f>HYPERLINK("http://www.worldcat.org/oclc/17919755","WorldCat Record")</f>
        <v/>
      </c>
      <c r="AU1568" t="inlineStr">
        <is>
          <t>5069595116:eng</t>
        </is>
      </c>
      <c r="AV1568" t="inlineStr">
        <is>
          <t>17919755</t>
        </is>
      </c>
      <c r="AW1568" t="inlineStr">
        <is>
          <t>991000958949702656</t>
        </is>
      </c>
      <c r="AX1568" t="inlineStr">
        <is>
          <t>991000958949702656</t>
        </is>
      </c>
      <c r="AY1568" t="inlineStr">
        <is>
          <t>2258160570002656</t>
        </is>
      </c>
      <c r="AZ1568" t="inlineStr">
        <is>
          <t>BOOK</t>
        </is>
      </c>
      <c r="BB1568" t="inlineStr">
        <is>
          <t>9780892030125</t>
        </is>
      </c>
      <c r="BC1568" t="inlineStr">
        <is>
          <t>32285001105526</t>
        </is>
      </c>
      <c r="BD1568" t="inlineStr">
        <is>
          <t>893903225</t>
        </is>
      </c>
    </row>
    <row r="1569">
      <c r="A1569" t="inlineStr">
        <is>
          <t>No</t>
        </is>
      </c>
      <c r="B1569" t="inlineStr">
        <is>
          <t>RC86.7 .A53 1981</t>
        </is>
      </c>
      <c r="C1569" t="inlineStr">
        <is>
          <t>0                      RC 0086700A  53          1981</t>
        </is>
      </c>
      <c r="D1569" t="inlineStr">
        <is>
          <t>Emergency extrication.</t>
        </is>
      </c>
      <c r="F1569" t="inlineStr">
        <is>
          <t>No</t>
        </is>
      </c>
      <c r="G1569" t="inlineStr">
        <is>
          <t>1</t>
        </is>
      </c>
      <c r="H1569" t="inlineStr">
        <is>
          <t>No</t>
        </is>
      </c>
      <c r="I1569" t="inlineStr">
        <is>
          <t>No</t>
        </is>
      </c>
      <c r="J1569" t="inlineStr">
        <is>
          <t>0</t>
        </is>
      </c>
      <c r="K1569" t="inlineStr">
        <is>
          <t>American National Red Cross.</t>
        </is>
      </c>
      <c r="L1569" t="inlineStr">
        <is>
          <t>[Washington, D.C.] : American National Red Cross, c1981.</t>
        </is>
      </c>
      <c r="M1569" t="inlineStr">
        <is>
          <t>1981</t>
        </is>
      </c>
      <c r="O1569" t="inlineStr">
        <is>
          <t>eng</t>
        </is>
      </c>
      <c r="P1569" t="inlineStr">
        <is>
          <t>dcu</t>
        </is>
      </c>
      <c r="Q1569" t="inlineStr">
        <is>
          <t>Red Cross first aid module</t>
        </is>
      </c>
      <c r="R1569" t="inlineStr">
        <is>
          <t xml:space="preserve">RC </t>
        </is>
      </c>
      <c r="S1569" t="n">
        <v>4</v>
      </c>
      <c r="T1569" t="n">
        <v>4</v>
      </c>
      <c r="U1569" t="inlineStr">
        <is>
          <t>1996-07-10</t>
        </is>
      </c>
      <c r="V1569" t="inlineStr">
        <is>
          <t>1996-07-10</t>
        </is>
      </c>
      <c r="W1569" t="inlineStr">
        <is>
          <t>1992-03-16</t>
        </is>
      </c>
      <c r="X1569" t="inlineStr">
        <is>
          <t>1992-03-16</t>
        </is>
      </c>
      <c r="Y1569" t="n">
        <v>7</v>
      </c>
      <c r="Z1569" t="n">
        <v>7</v>
      </c>
      <c r="AA1569" t="n">
        <v>7</v>
      </c>
      <c r="AB1569" t="n">
        <v>1</v>
      </c>
      <c r="AC1569" t="n">
        <v>1</v>
      </c>
      <c r="AD1569" t="n">
        <v>0</v>
      </c>
      <c r="AE1569" t="n">
        <v>0</v>
      </c>
      <c r="AF1569" t="n">
        <v>0</v>
      </c>
      <c r="AG1569" t="n">
        <v>0</v>
      </c>
      <c r="AH1569" t="n">
        <v>0</v>
      </c>
      <c r="AI1569" t="n">
        <v>0</v>
      </c>
      <c r="AJ1569" t="n">
        <v>0</v>
      </c>
      <c r="AK1569" t="n">
        <v>0</v>
      </c>
      <c r="AL1569" t="n">
        <v>0</v>
      </c>
      <c r="AM1569" t="n">
        <v>0</v>
      </c>
      <c r="AN1569" t="n">
        <v>0</v>
      </c>
      <c r="AO1569" t="n">
        <v>0</v>
      </c>
      <c r="AP1569" t="inlineStr">
        <is>
          <t>No</t>
        </is>
      </c>
      <c r="AQ1569" t="inlineStr">
        <is>
          <t>No</t>
        </is>
      </c>
      <c r="AS1569">
        <f>HYPERLINK("https://creighton-primo.hosted.exlibrisgroup.com/primo-explore/search?tab=default_tab&amp;search_scope=EVERYTHING&amp;vid=01CRU&amp;lang=en_US&amp;offset=0&amp;query=any,contains,991000520349702656","Catalog Record")</f>
        <v/>
      </c>
      <c r="AT1569">
        <f>HYPERLINK("http://www.worldcat.org/oclc/11320197","WorldCat Record")</f>
        <v/>
      </c>
      <c r="AU1569" t="inlineStr">
        <is>
          <t>3937522:eng</t>
        </is>
      </c>
      <c r="AV1569" t="inlineStr">
        <is>
          <t>11320197</t>
        </is>
      </c>
      <c r="AW1569" t="inlineStr">
        <is>
          <t>991000520349702656</t>
        </is>
      </c>
      <c r="AX1569" t="inlineStr">
        <is>
          <t>991000520349702656</t>
        </is>
      </c>
      <c r="AY1569" t="inlineStr">
        <is>
          <t>2271066720002656</t>
        </is>
      </c>
      <c r="AZ1569" t="inlineStr">
        <is>
          <t>BOOK</t>
        </is>
      </c>
      <c r="BB1569" t="inlineStr">
        <is>
          <t>9780865360235</t>
        </is>
      </c>
      <c r="BC1569" t="inlineStr">
        <is>
          <t>32285001021236</t>
        </is>
      </c>
      <c r="BD1569" t="inlineStr">
        <is>
          <t>893333546</t>
        </is>
      </c>
    </row>
    <row r="1570">
      <c r="A1570" t="inlineStr">
        <is>
          <t>No</t>
        </is>
      </c>
      <c r="B1570" t="inlineStr">
        <is>
          <t>RC86.7 .G7 1982</t>
        </is>
      </c>
      <c r="C1570" t="inlineStr">
        <is>
          <t>0                      RC 0086700G  7           1982</t>
        </is>
      </c>
      <c r="D1570" t="inlineStr">
        <is>
          <t>Emergency care / Harvey D. Grant, Robert H. Murray, Jr., J. David Bergeron.</t>
        </is>
      </c>
      <c r="F1570" t="inlineStr">
        <is>
          <t>No</t>
        </is>
      </c>
      <c r="G1570" t="inlineStr">
        <is>
          <t>1</t>
        </is>
      </c>
      <c r="H1570" t="inlineStr">
        <is>
          <t>Yes</t>
        </is>
      </c>
      <c r="I1570" t="inlineStr">
        <is>
          <t>No</t>
        </is>
      </c>
      <c r="J1570" t="inlineStr">
        <is>
          <t>0</t>
        </is>
      </c>
      <c r="K1570" t="inlineStr">
        <is>
          <t>Grant, Harvey D., 1934-</t>
        </is>
      </c>
      <c r="L1570" t="inlineStr">
        <is>
          <t>Bowie, Md. : R.J. Brady Co., c1982.</t>
        </is>
      </c>
      <c r="M1570" t="inlineStr">
        <is>
          <t>1982</t>
        </is>
      </c>
      <c r="N1570" t="inlineStr">
        <is>
          <t>3rd ed.</t>
        </is>
      </c>
      <c r="O1570" t="inlineStr">
        <is>
          <t>eng</t>
        </is>
      </c>
      <c r="P1570" t="inlineStr">
        <is>
          <t>mdu</t>
        </is>
      </c>
      <c r="R1570" t="inlineStr">
        <is>
          <t xml:space="preserve">RC </t>
        </is>
      </c>
      <c r="S1570" t="n">
        <v>9</v>
      </c>
      <c r="T1570" t="n">
        <v>9</v>
      </c>
      <c r="U1570" t="inlineStr">
        <is>
          <t>1998-02-23</t>
        </is>
      </c>
      <c r="V1570" t="inlineStr">
        <is>
          <t>1998-02-23</t>
        </is>
      </c>
      <c r="W1570" t="inlineStr">
        <is>
          <t>1991-12-13</t>
        </is>
      </c>
      <c r="X1570" t="inlineStr">
        <is>
          <t>1991-12-13</t>
        </is>
      </c>
      <c r="Y1570" t="n">
        <v>154</v>
      </c>
      <c r="Z1570" t="n">
        <v>128</v>
      </c>
      <c r="AA1570" t="n">
        <v>364</v>
      </c>
      <c r="AB1570" t="n">
        <v>3</v>
      </c>
      <c r="AC1570" t="n">
        <v>5</v>
      </c>
      <c r="AD1570" t="n">
        <v>0</v>
      </c>
      <c r="AE1570" t="n">
        <v>0</v>
      </c>
      <c r="AF1570" t="n">
        <v>0</v>
      </c>
      <c r="AG1570" t="n">
        <v>0</v>
      </c>
      <c r="AH1570" t="n">
        <v>0</v>
      </c>
      <c r="AI1570" t="n">
        <v>0</v>
      </c>
      <c r="AJ1570" t="n">
        <v>0</v>
      </c>
      <c r="AK1570" t="n">
        <v>0</v>
      </c>
      <c r="AL1570" t="n">
        <v>0</v>
      </c>
      <c r="AM1570" t="n">
        <v>0</v>
      </c>
      <c r="AN1570" t="n">
        <v>0</v>
      </c>
      <c r="AO1570" t="n">
        <v>0</v>
      </c>
      <c r="AP1570" t="inlineStr">
        <is>
          <t>No</t>
        </is>
      </c>
      <c r="AQ1570" t="inlineStr">
        <is>
          <t>No</t>
        </is>
      </c>
      <c r="AS1570">
        <f>HYPERLINK("https://creighton-primo.hosted.exlibrisgroup.com/primo-explore/search?tab=default_tab&amp;search_scope=EVERYTHING&amp;vid=01CRU&amp;lang=en_US&amp;offset=0&amp;query=any,contains,991005242369702656","Catalog Record")</f>
        <v/>
      </c>
      <c r="AT1570">
        <f>HYPERLINK("http://www.worldcat.org/oclc/8430644","WorldCat Record")</f>
        <v/>
      </c>
      <c r="AU1570" t="inlineStr">
        <is>
          <t>364157832:eng</t>
        </is>
      </c>
      <c r="AV1570" t="inlineStr">
        <is>
          <t>8430644</t>
        </is>
      </c>
      <c r="AW1570" t="inlineStr">
        <is>
          <t>991005242369702656</t>
        </is>
      </c>
      <c r="AX1570" t="inlineStr">
        <is>
          <t>991005242369702656</t>
        </is>
      </c>
      <c r="AY1570" t="inlineStr">
        <is>
          <t>2261356750002656</t>
        </is>
      </c>
      <c r="AZ1570" t="inlineStr">
        <is>
          <t>BOOK</t>
        </is>
      </c>
      <c r="BB1570" t="inlineStr">
        <is>
          <t>9780893031169</t>
        </is>
      </c>
      <c r="BC1570" t="inlineStr">
        <is>
          <t>32285000901487</t>
        </is>
      </c>
      <c r="BD1570" t="inlineStr">
        <is>
          <t>893230424</t>
        </is>
      </c>
    </row>
    <row r="1571">
      <c r="A1571" t="inlineStr">
        <is>
          <t>No</t>
        </is>
      </c>
      <c r="B1571" t="inlineStr">
        <is>
          <t>RC86.7 .R42 1979a</t>
        </is>
      </c>
      <c r="C1571" t="inlineStr">
        <is>
          <t>0                      RC 0086700R  42          1979a</t>
        </is>
      </c>
      <c r="D1571" t="inlineStr">
        <is>
          <t>Advanced first aid and emergency care / prepared by the American Red Cross for the instruction of advanced first aid classes.</t>
        </is>
      </c>
      <c r="F1571" t="inlineStr">
        <is>
          <t>No</t>
        </is>
      </c>
      <c r="G1571" t="inlineStr">
        <is>
          <t>1</t>
        </is>
      </c>
      <c r="H1571" t="inlineStr">
        <is>
          <t>No</t>
        </is>
      </c>
      <c r="I1571" t="inlineStr">
        <is>
          <t>No</t>
        </is>
      </c>
      <c r="J1571" t="inlineStr">
        <is>
          <t>0</t>
        </is>
      </c>
      <c r="K1571" t="inlineStr">
        <is>
          <t>American National Red Cross.</t>
        </is>
      </c>
      <c r="L1571" t="inlineStr">
        <is>
          <t>Garden City, N.Y. : Doubleday, c1979, 1981 printing.</t>
        </is>
      </c>
      <c r="M1571" t="inlineStr">
        <is>
          <t>1979</t>
        </is>
      </c>
      <c r="N1571" t="inlineStr">
        <is>
          <t>2d ed.</t>
        </is>
      </c>
      <c r="O1571" t="inlineStr">
        <is>
          <t>eng</t>
        </is>
      </c>
      <c r="P1571" t="inlineStr">
        <is>
          <t>nyu</t>
        </is>
      </c>
      <c r="R1571" t="inlineStr">
        <is>
          <t xml:space="preserve">RC </t>
        </is>
      </c>
      <c r="S1571" t="n">
        <v>12</v>
      </c>
      <c r="T1571" t="n">
        <v>12</v>
      </c>
      <c r="U1571" t="inlineStr">
        <is>
          <t>1998-02-23</t>
        </is>
      </c>
      <c r="V1571" t="inlineStr">
        <is>
          <t>1998-02-23</t>
        </is>
      </c>
      <c r="W1571" t="inlineStr">
        <is>
          <t>1992-02-17</t>
        </is>
      </c>
      <c r="X1571" t="inlineStr">
        <is>
          <t>1992-02-17</t>
        </is>
      </c>
      <c r="Y1571" t="n">
        <v>283</v>
      </c>
      <c r="Z1571" t="n">
        <v>273</v>
      </c>
      <c r="AA1571" t="n">
        <v>662</v>
      </c>
      <c r="AB1571" t="n">
        <v>4</v>
      </c>
      <c r="AC1571" t="n">
        <v>10</v>
      </c>
      <c r="AD1571" t="n">
        <v>3</v>
      </c>
      <c r="AE1571" t="n">
        <v>7</v>
      </c>
      <c r="AF1571" t="n">
        <v>0</v>
      </c>
      <c r="AG1571" t="n">
        <v>1</v>
      </c>
      <c r="AH1571" t="n">
        <v>1</v>
      </c>
      <c r="AI1571" t="n">
        <v>2</v>
      </c>
      <c r="AJ1571" t="n">
        <v>1</v>
      </c>
      <c r="AK1571" t="n">
        <v>1</v>
      </c>
      <c r="AL1571" t="n">
        <v>2</v>
      </c>
      <c r="AM1571" t="n">
        <v>4</v>
      </c>
      <c r="AN1571" t="n">
        <v>0</v>
      </c>
      <c r="AO1571" t="n">
        <v>0</v>
      </c>
      <c r="AP1571" t="inlineStr">
        <is>
          <t>No</t>
        </is>
      </c>
      <c r="AQ1571" t="inlineStr">
        <is>
          <t>Yes</t>
        </is>
      </c>
      <c r="AR1571">
        <f>HYPERLINK("http://catalog.hathitrust.org/Record/009144172","HathiTrust Record")</f>
        <v/>
      </c>
      <c r="AS1571">
        <f>HYPERLINK("https://creighton-primo.hosted.exlibrisgroup.com/primo-explore/search?tab=default_tab&amp;search_scope=EVERYTHING&amp;vid=01CRU&amp;lang=en_US&amp;offset=0&amp;query=any,contains,991004897389702656","Catalog Record")</f>
        <v/>
      </c>
      <c r="AT1571">
        <f>HYPERLINK("http://www.worldcat.org/oclc/5896310","WorldCat Record")</f>
        <v/>
      </c>
      <c r="AU1571" t="inlineStr">
        <is>
          <t>572723:eng</t>
        </is>
      </c>
      <c r="AV1571" t="inlineStr">
        <is>
          <t>5896310</t>
        </is>
      </c>
      <c r="AW1571" t="inlineStr">
        <is>
          <t>991004897389702656</t>
        </is>
      </c>
      <c r="AX1571" t="inlineStr">
        <is>
          <t>991004897389702656</t>
        </is>
      </c>
      <c r="AY1571" t="inlineStr">
        <is>
          <t>2265314080002656</t>
        </is>
      </c>
      <c r="AZ1571" t="inlineStr">
        <is>
          <t>BOOK</t>
        </is>
      </c>
      <c r="BB1571" t="inlineStr">
        <is>
          <t>9780385157377</t>
        </is>
      </c>
      <c r="BC1571" t="inlineStr">
        <is>
          <t>32285000937218</t>
        </is>
      </c>
      <c r="BD1571" t="inlineStr">
        <is>
          <t>893706961</t>
        </is>
      </c>
    </row>
    <row r="1572">
      <c r="A1572" t="inlineStr">
        <is>
          <t>No</t>
        </is>
      </c>
      <c r="B1572" t="inlineStr">
        <is>
          <t>RC86.95 .C75 1995</t>
        </is>
      </c>
      <c r="C1572" t="inlineStr">
        <is>
          <t>0                      RC 0086950C  75          1995</t>
        </is>
      </c>
      <c r="D1572" t="inlineStr">
        <is>
          <t>Critical choices and critical care : Catholic perspectives on allocating resources in intensive care medicine / edited by Kevin Wm. Wildes.</t>
        </is>
      </c>
      <c r="F1572" t="inlineStr">
        <is>
          <t>No</t>
        </is>
      </c>
      <c r="G1572" t="inlineStr">
        <is>
          <t>1</t>
        </is>
      </c>
      <c r="H1572" t="inlineStr">
        <is>
          <t>No</t>
        </is>
      </c>
      <c r="I1572" t="inlineStr">
        <is>
          <t>No</t>
        </is>
      </c>
      <c r="J1572" t="inlineStr">
        <is>
          <t>0</t>
        </is>
      </c>
      <c r="L1572" t="inlineStr">
        <is>
          <t>Dordrecht ; Boston : Kluwer Academic Publishers, c1995.</t>
        </is>
      </c>
      <c r="M1572" t="inlineStr">
        <is>
          <t>1995</t>
        </is>
      </c>
      <c r="O1572" t="inlineStr">
        <is>
          <t>eng</t>
        </is>
      </c>
      <c r="P1572" t="inlineStr">
        <is>
          <t xml:space="preserve">ne </t>
        </is>
      </c>
      <c r="Q1572" t="inlineStr">
        <is>
          <t>Philosophy and medicine ; 51. Catholic studies in bioethics ; 2</t>
        </is>
      </c>
      <c r="R1572" t="inlineStr">
        <is>
          <t xml:space="preserve">RC </t>
        </is>
      </c>
      <c r="S1572" t="n">
        <v>10</v>
      </c>
      <c r="T1572" t="n">
        <v>10</v>
      </c>
      <c r="U1572" t="inlineStr">
        <is>
          <t>2002-02-14</t>
        </is>
      </c>
      <c r="V1572" t="inlineStr">
        <is>
          <t>2002-02-14</t>
        </is>
      </c>
      <c r="W1572" t="inlineStr">
        <is>
          <t>1996-05-28</t>
        </is>
      </c>
      <c r="X1572" t="inlineStr">
        <is>
          <t>1996-05-28</t>
        </is>
      </c>
      <c r="Y1572" t="n">
        <v>206</v>
      </c>
      <c r="Z1572" t="n">
        <v>154</v>
      </c>
      <c r="AA1572" t="n">
        <v>167</v>
      </c>
      <c r="AB1572" t="n">
        <v>1</v>
      </c>
      <c r="AC1572" t="n">
        <v>1</v>
      </c>
      <c r="AD1572" t="n">
        <v>17</v>
      </c>
      <c r="AE1572" t="n">
        <v>18</v>
      </c>
      <c r="AF1572" t="n">
        <v>6</v>
      </c>
      <c r="AG1572" t="n">
        <v>7</v>
      </c>
      <c r="AH1572" t="n">
        <v>6</v>
      </c>
      <c r="AI1572" t="n">
        <v>6</v>
      </c>
      <c r="AJ1572" t="n">
        <v>13</v>
      </c>
      <c r="AK1572" t="n">
        <v>14</v>
      </c>
      <c r="AL1572" t="n">
        <v>0</v>
      </c>
      <c r="AM1572" t="n">
        <v>0</v>
      </c>
      <c r="AN1572" t="n">
        <v>0</v>
      </c>
      <c r="AO1572" t="n">
        <v>0</v>
      </c>
      <c r="AP1572" t="inlineStr">
        <is>
          <t>No</t>
        </is>
      </c>
      <c r="AQ1572" t="inlineStr">
        <is>
          <t>No</t>
        </is>
      </c>
      <c r="AS1572">
        <f>HYPERLINK("https://creighton-primo.hosted.exlibrisgroup.com/primo-explore/search?tab=default_tab&amp;search_scope=EVERYTHING&amp;vid=01CRU&amp;lang=en_US&amp;offset=0&amp;query=any,contains,991002445439702656","Catalog Record")</f>
        <v/>
      </c>
      <c r="AT1572">
        <f>HYPERLINK("http://www.worldcat.org/oclc/31900226","WorldCat Record")</f>
        <v/>
      </c>
      <c r="AU1572" t="inlineStr">
        <is>
          <t>809920223:eng</t>
        </is>
      </c>
      <c r="AV1572" t="inlineStr">
        <is>
          <t>31900226</t>
        </is>
      </c>
      <c r="AW1572" t="inlineStr">
        <is>
          <t>991002445439702656</t>
        </is>
      </c>
      <c r="AX1572" t="inlineStr">
        <is>
          <t>991002445439702656</t>
        </is>
      </c>
      <c r="AY1572" t="inlineStr">
        <is>
          <t>2264643830002656</t>
        </is>
      </c>
      <c r="AZ1572" t="inlineStr">
        <is>
          <t>BOOK</t>
        </is>
      </c>
      <c r="BB1572" t="inlineStr">
        <is>
          <t>9780792333821</t>
        </is>
      </c>
      <c r="BC1572" t="inlineStr">
        <is>
          <t>32285002177748</t>
        </is>
      </c>
      <c r="BD1572" t="inlineStr">
        <is>
          <t>893721470</t>
        </is>
      </c>
    </row>
    <row r="1573">
      <c r="A1573" t="inlineStr">
        <is>
          <t>No</t>
        </is>
      </c>
      <c r="B1573" t="inlineStr">
        <is>
          <t>RC87 .B74 1981</t>
        </is>
      </c>
      <c r="C1573" t="inlineStr">
        <is>
          <t>0                      RC 0087000B  74          1981</t>
        </is>
      </c>
      <c r="D1573" t="inlineStr">
        <is>
          <t>Guide to problems and practices in first aid and emergency care / William T. Brennan, James W. Crowe ; William J. Bailey, instructional developer.</t>
        </is>
      </c>
      <c r="F1573" t="inlineStr">
        <is>
          <t>No</t>
        </is>
      </c>
      <c r="G1573" t="inlineStr">
        <is>
          <t>1</t>
        </is>
      </c>
      <c r="H1573" t="inlineStr">
        <is>
          <t>No</t>
        </is>
      </c>
      <c r="I1573" t="inlineStr">
        <is>
          <t>No</t>
        </is>
      </c>
      <c r="J1573" t="inlineStr">
        <is>
          <t>0</t>
        </is>
      </c>
      <c r="K1573" t="inlineStr">
        <is>
          <t>Brennan, William Thomas, 1924-</t>
        </is>
      </c>
      <c r="L1573" t="inlineStr">
        <is>
          <t>Dubuque, Iowa : W.C. Brown, c1981, 1983 printing.</t>
        </is>
      </c>
      <c r="M1573" t="inlineStr">
        <is>
          <t>1981</t>
        </is>
      </c>
      <c r="N1573" t="inlineStr">
        <is>
          <t>4th ed.</t>
        </is>
      </c>
      <c r="O1573" t="inlineStr">
        <is>
          <t>eng</t>
        </is>
      </c>
      <c r="P1573" t="inlineStr">
        <is>
          <t>iau</t>
        </is>
      </c>
      <c r="R1573" t="inlineStr">
        <is>
          <t xml:space="preserve">RC </t>
        </is>
      </c>
      <c r="S1573" t="n">
        <v>7</v>
      </c>
      <c r="T1573" t="n">
        <v>7</v>
      </c>
      <c r="U1573" t="inlineStr">
        <is>
          <t>1998-02-23</t>
        </is>
      </c>
      <c r="V1573" t="inlineStr">
        <is>
          <t>1998-02-23</t>
        </is>
      </c>
      <c r="W1573" t="inlineStr">
        <is>
          <t>1990-03-29</t>
        </is>
      </c>
      <c r="X1573" t="inlineStr">
        <is>
          <t>1990-03-29</t>
        </is>
      </c>
      <c r="Y1573" t="n">
        <v>35</v>
      </c>
      <c r="Z1573" t="n">
        <v>31</v>
      </c>
      <c r="AA1573" t="n">
        <v>90</v>
      </c>
      <c r="AB1573" t="n">
        <v>1</v>
      </c>
      <c r="AC1573" t="n">
        <v>3</v>
      </c>
      <c r="AD1573" t="n">
        <v>1</v>
      </c>
      <c r="AE1573" t="n">
        <v>3</v>
      </c>
      <c r="AF1573" t="n">
        <v>1</v>
      </c>
      <c r="AG1573" t="n">
        <v>1</v>
      </c>
      <c r="AH1573" t="n">
        <v>0</v>
      </c>
      <c r="AI1573" t="n">
        <v>0</v>
      </c>
      <c r="AJ1573" t="n">
        <v>0</v>
      </c>
      <c r="AK1573" t="n">
        <v>0</v>
      </c>
      <c r="AL1573" t="n">
        <v>0</v>
      </c>
      <c r="AM1573" t="n">
        <v>2</v>
      </c>
      <c r="AN1573" t="n">
        <v>0</v>
      </c>
      <c r="AO1573" t="n">
        <v>0</v>
      </c>
      <c r="AP1573" t="inlineStr">
        <is>
          <t>No</t>
        </is>
      </c>
      <c r="AQ1573" t="inlineStr">
        <is>
          <t>No</t>
        </is>
      </c>
      <c r="AS1573">
        <f>HYPERLINK("https://creighton-primo.hosted.exlibrisgroup.com/primo-explore/search?tab=default_tab&amp;search_scope=EVERYTHING&amp;vid=01CRU&amp;lang=en_US&amp;offset=0&amp;query=any,contains,991005103869702656","Catalog Record")</f>
        <v/>
      </c>
      <c r="AT1573">
        <f>HYPERLINK("http://www.worldcat.org/oclc/8573464","WorldCat Record")</f>
        <v/>
      </c>
      <c r="AU1573" t="inlineStr">
        <is>
          <t>4127900:eng</t>
        </is>
      </c>
      <c r="AV1573" t="inlineStr">
        <is>
          <t>8573464</t>
        </is>
      </c>
      <c r="AW1573" t="inlineStr">
        <is>
          <t>991005103869702656</t>
        </is>
      </c>
      <c r="AX1573" t="inlineStr">
        <is>
          <t>991005103869702656</t>
        </is>
      </c>
      <c r="AY1573" t="inlineStr">
        <is>
          <t>2272555840002656</t>
        </is>
      </c>
      <c r="AZ1573" t="inlineStr">
        <is>
          <t>BOOK</t>
        </is>
      </c>
      <c r="BB1573" t="inlineStr">
        <is>
          <t>9780697073907</t>
        </is>
      </c>
      <c r="BC1573" t="inlineStr">
        <is>
          <t>32285000107531</t>
        </is>
      </c>
      <c r="BD1573" t="inlineStr">
        <is>
          <t>893437161</t>
        </is>
      </c>
    </row>
    <row r="1574">
      <c r="A1574" t="inlineStr">
        <is>
          <t>No</t>
        </is>
      </c>
      <c r="B1574" t="inlineStr">
        <is>
          <t>RC87 .H23</t>
        </is>
      </c>
      <c r="C1574" t="inlineStr">
        <is>
          <t>0                      RC 0087000H  23</t>
        </is>
      </c>
      <c r="D1574" t="inlineStr">
        <is>
          <t>First aid: contemporary practices and principles, edited by Brent Q. Hafen, Alton L. Thygerson [and] Ray A. Petersen.</t>
        </is>
      </c>
      <c r="F1574" t="inlineStr">
        <is>
          <t>No</t>
        </is>
      </c>
      <c r="G1574" t="inlineStr">
        <is>
          <t>1</t>
        </is>
      </c>
      <c r="H1574" t="inlineStr">
        <is>
          <t>No</t>
        </is>
      </c>
      <c r="I1574" t="inlineStr">
        <is>
          <t>No</t>
        </is>
      </c>
      <c r="J1574" t="inlineStr">
        <is>
          <t>0</t>
        </is>
      </c>
      <c r="K1574" t="inlineStr">
        <is>
          <t>Hafen, Brent Q. compiler.</t>
        </is>
      </c>
      <c r="L1574" t="inlineStr">
        <is>
          <t>Minneapolis, Burgess Pub. Co. [1972]</t>
        </is>
      </c>
      <c r="M1574" t="inlineStr">
        <is>
          <t>1972</t>
        </is>
      </c>
      <c r="O1574" t="inlineStr">
        <is>
          <t>eng</t>
        </is>
      </c>
      <c r="P1574" t="inlineStr">
        <is>
          <t>mnu</t>
        </is>
      </c>
      <c r="R1574" t="inlineStr">
        <is>
          <t xml:space="preserve">RC </t>
        </is>
      </c>
      <c r="S1574" t="n">
        <v>1</v>
      </c>
      <c r="T1574" t="n">
        <v>1</v>
      </c>
      <c r="U1574" t="inlineStr">
        <is>
          <t>2002-02-14</t>
        </is>
      </c>
      <c r="V1574" t="inlineStr">
        <is>
          <t>2002-02-14</t>
        </is>
      </c>
      <c r="W1574" t="inlineStr">
        <is>
          <t>1997-08-08</t>
        </is>
      </c>
      <c r="X1574" t="inlineStr">
        <is>
          <t>1997-08-08</t>
        </is>
      </c>
      <c r="Y1574" t="n">
        <v>138</v>
      </c>
      <c r="Z1574" t="n">
        <v>126</v>
      </c>
      <c r="AA1574" t="n">
        <v>127</v>
      </c>
      <c r="AB1574" t="n">
        <v>3</v>
      </c>
      <c r="AC1574" t="n">
        <v>3</v>
      </c>
      <c r="AD1574" t="n">
        <v>4</v>
      </c>
      <c r="AE1574" t="n">
        <v>4</v>
      </c>
      <c r="AF1574" t="n">
        <v>1</v>
      </c>
      <c r="AG1574" t="n">
        <v>1</v>
      </c>
      <c r="AH1574" t="n">
        <v>0</v>
      </c>
      <c r="AI1574" t="n">
        <v>0</v>
      </c>
      <c r="AJ1574" t="n">
        <v>2</v>
      </c>
      <c r="AK1574" t="n">
        <v>2</v>
      </c>
      <c r="AL1574" t="n">
        <v>2</v>
      </c>
      <c r="AM1574" t="n">
        <v>2</v>
      </c>
      <c r="AN1574" t="n">
        <v>0</v>
      </c>
      <c r="AO1574" t="n">
        <v>0</v>
      </c>
      <c r="AP1574" t="inlineStr">
        <is>
          <t>No</t>
        </is>
      </c>
      <c r="AQ1574" t="inlineStr">
        <is>
          <t>No</t>
        </is>
      </c>
      <c r="AS1574">
        <f>HYPERLINK("https://creighton-primo.hosted.exlibrisgroup.com/primo-explore/search?tab=default_tab&amp;search_scope=EVERYTHING&amp;vid=01CRU&amp;lang=en_US&amp;offset=0&amp;query=any,contains,991002842169702656","Catalog Record")</f>
        <v/>
      </c>
      <c r="AT1574">
        <f>HYPERLINK("http://www.worldcat.org/oclc/482683","WorldCat Record")</f>
        <v/>
      </c>
      <c r="AU1574" t="inlineStr">
        <is>
          <t>1781884407:eng</t>
        </is>
      </c>
      <c r="AV1574" t="inlineStr">
        <is>
          <t>482683</t>
        </is>
      </c>
      <c r="AW1574" t="inlineStr">
        <is>
          <t>991002842169702656</t>
        </is>
      </c>
      <c r="AX1574" t="inlineStr">
        <is>
          <t>991002842169702656</t>
        </is>
      </c>
      <c r="AY1574" t="inlineStr">
        <is>
          <t>2258896400002656</t>
        </is>
      </c>
      <c r="AZ1574" t="inlineStr">
        <is>
          <t>BOOK</t>
        </is>
      </c>
      <c r="BB1574" t="inlineStr">
        <is>
          <t>9780808708377</t>
        </is>
      </c>
      <c r="BC1574" t="inlineStr">
        <is>
          <t>32285003084331</t>
        </is>
      </c>
      <c r="BD1574" t="inlineStr">
        <is>
          <t>893805118</t>
        </is>
      </c>
    </row>
    <row r="1575">
      <c r="A1575" t="inlineStr">
        <is>
          <t>No</t>
        </is>
      </c>
      <c r="B1575" t="inlineStr">
        <is>
          <t>RC87 .H484</t>
        </is>
      </c>
      <c r="C1575" t="inlineStr">
        <is>
          <t>0                      RC 0087000H  484</t>
        </is>
      </c>
      <c r="D1575" t="inlineStr">
        <is>
          <t>Emergency medical guide / illustrated by Neil Hardy.</t>
        </is>
      </c>
      <c r="F1575" t="inlineStr">
        <is>
          <t>No</t>
        </is>
      </c>
      <c r="G1575" t="inlineStr">
        <is>
          <t>1</t>
        </is>
      </c>
      <c r="H1575" t="inlineStr">
        <is>
          <t>No</t>
        </is>
      </c>
      <c r="I1575" t="inlineStr">
        <is>
          <t>No</t>
        </is>
      </c>
      <c r="J1575" t="inlineStr">
        <is>
          <t>0</t>
        </is>
      </c>
      <c r="K1575" t="inlineStr">
        <is>
          <t>Henderson, John.</t>
        </is>
      </c>
      <c r="L1575" t="inlineStr">
        <is>
          <t>New York : McGraw-Hill, [1963]</t>
        </is>
      </c>
      <c r="M1575" t="inlineStr">
        <is>
          <t>1963</t>
        </is>
      </c>
      <c r="O1575" t="inlineStr">
        <is>
          <t>eng</t>
        </is>
      </c>
      <c r="P1575" t="inlineStr">
        <is>
          <t>nyu</t>
        </is>
      </c>
      <c r="Q1575" t="inlineStr">
        <is>
          <t>McGraw-Hill paperbacks</t>
        </is>
      </c>
      <c r="R1575" t="inlineStr">
        <is>
          <t xml:space="preserve">RC </t>
        </is>
      </c>
      <c r="S1575" t="n">
        <v>5</v>
      </c>
      <c r="T1575" t="n">
        <v>5</v>
      </c>
      <c r="U1575" t="inlineStr">
        <is>
          <t>1999-10-10</t>
        </is>
      </c>
      <c r="V1575" t="inlineStr">
        <is>
          <t>1999-10-10</t>
        </is>
      </c>
      <c r="W1575" t="inlineStr">
        <is>
          <t>1994-03-02</t>
        </is>
      </c>
      <c r="X1575" t="inlineStr">
        <is>
          <t>1994-03-02</t>
        </is>
      </c>
      <c r="Y1575" t="n">
        <v>71</v>
      </c>
      <c r="Z1575" t="n">
        <v>69</v>
      </c>
      <c r="AA1575" t="n">
        <v>623</v>
      </c>
      <c r="AB1575" t="n">
        <v>1</v>
      </c>
      <c r="AC1575" t="n">
        <v>5</v>
      </c>
      <c r="AD1575" t="n">
        <v>1</v>
      </c>
      <c r="AE1575" t="n">
        <v>9</v>
      </c>
      <c r="AF1575" t="n">
        <v>0</v>
      </c>
      <c r="AG1575" t="n">
        <v>2</v>
      </c>
      <c r="AH1575" t="n">
        <v>0</v>
      </c>
      <c r="AI1575" t="n">
        <v>1</v>
      </c>
      <c r="AJ1575" t="n">
        <v>1</v>
      </c>
      <c r="AK1575" t="n">
        <v>4</v>
      </c>
      <c r="AL1575" t="n">
        <v>0</v>
      </c>
      <c r="AM1575" t="n">
        <v>3</v>
      </c>
      <c r="AN1575" t="n">
        <v>0</v>
      </c>
      <c r="AO1575" t="n">
        <v>0</v>
      </c>
      <c r="AP1575" t="inlineStr">
        <is>
          <t>No</t>
        </is>
      </c>
      <c r="AQ1575" t="inlineStr">
        <is>
          <t>No</t>
        </is>
      </c>
      <c r="AS1575">
        <f>HYPERLINK("https://creighton-primo.hosted.exlibrisgroup.com/primo-explore/search?tab=default_tab&amp;search_scope=EVERYTHING&amp;vid=01CRU&amp;lang=en_US&amp;offset=0&amp;query=any,contains,991003835749702656","Catalog Record")</f>
        <v/>
      </c>
      <c r="AT1575">
        <f>HYPERLINK("http://www.worldcat.org/oclc/1601519","WorldCat Record")</f>
        <v/>
      </c>
      <c r="AU1575" t="inlineStr">
        <is>
          <t>21909617:eng</t>
        </is>
      </c>
      <c r="AV1575" t="inlineStr">
        <is>
          <t>1601519</t>
        </is>
      </c>
      <c r="AW1575" t="inlineStr">
        <is>
          <t>991003835749702656</t>
        </is>
      </c>
      <c r="AX1575" t="inlineStr">
        <is>
          <t>991003835749702656</t>
        </is>
      </c>
      <c r="AY1575" t="inlineStr">
        <is>
          <t>2266688840002656</t>
        </is>
      </c>
      <c r="AZ1575" t="inlineStr">
        <is>
          <t>BOOK</t>
        </is>
      </c>
      <c r="BC1575" t="inlineStr">
        <is>
          <t>32285001851152</t>
        </is>
      </c>
      <c r="BD1575" t="inlineStr">
        <is>
          <t>893599050</t>
        </is>
      </c>
    </row>
    <row r="1576">
      <c r="A1576" t="inlineStr">
        <is>
          <t>No</t>
        </is>
      </c>
      <c r="B1576" t="inlineStr">
        <is>
          <t>RC87 .K48 1929</t>
        </is>
      </c>
      <c r="C1576" t="inlineStr">
        <is>
          <t>0                      RC 0087000K  48          1929</t>
        </is>
      </c>
      <c r="D1576" t="inlineStr">
        <is>
          <t>Johnson's standard first aid manual : suggestions for prompt aid to the injured in accidents and emergencies / ed. by Fred B. Kilmer, in collaboration with eminent surgeons, first aid authorities and specialists.</t>
        </is>
      </c>
      <c r="F1576" t="inlineStr">
        <is>
          <t>No</t>
        </is>
      </c>
      <c r="G1576" t="inlineStr">
        <is>
          <t>1</t>
        </is>
      </c>
      <c r="H1576" t="inlineStr">
        <is>
          <t>No</t>
        </is>
      </c>
      <c r="I1576" t="inlineStr">
        <is>
          <t>No</t>
        </is>
      </c>
      <c r="J1576" t="inlineStr">
        <is>
          <t>0</t>
        </is>
      </c>
      <c r="L1576" t="inlineStr">
        <is>
          <t>New Brunswick, N.J. : Johnson &amp; Johnson, c1929.</t>
        </is>
      </c>
      <c r="M1576" t="inlineStr">
        <is>
          <t>1929</t>
        </is>
      </c>
      <c r="N1576" t="inlineStr">
        <is>
          <t>10th rev. ed.</t>
        </is>
      </c>
      <c r="O1576" t="inlineStr">
        <is>
          <t>eng</t>
        </is>
      </c>
      <c r="P1576" t="inlineStr">
        <is>
          <t>nju</t>
        </is>
      </c>
      <c r="R1576" t="inlineStr">
        <is>
          <t xml:space="preserve">RC </t>
        </is>
      </c>
      <c r="S1576" t="n">
        <v>8</v>
      </c>
      <c r="T1576" t="n">
        <v>8</v>
      </c>
      <c r="U1576" t="inlineStr">
        <is>
          <t>2002-02-14</t>
        </is>
      </c>
      <c r="V1576" t="inlineStr">
        <is>
          <t>2002-02-14</t>
        </is>
      </c>
      <c r="W1576" t="inlineStr">
        <is>
          <t>1997-08-08</t>
        </is>
      </c>
      <c r="X1576" t="inlineStr">
        <is>
          <t>1997-08-08</t>
        </is>
      </c>
      <c r="Y1576" t="n">
        <v>13</v>
      </c>
      <c r="Z1576" t="n">
        <v>12</v>
      </c>
      <c r="AA1576" t="n">
        <v>45</v>
      </c>
      <c r="AB1576" t="n">
        <v>1</v>
      </c>
      <c r="AC1576" t="n">
        <v>1</v>
      </c>
      <c r="AD1576" t="n">
        <v>0</v>
      </c>
      <c r="AE1576" t="n">
        <v>0</v>
      </c>
      <c r="AF1576" t="n">
        <v>0</v>
      </c>
      <c r="AG1576" t="n">
        <v>0</v>
      </c>
      <c r="AH1576" t="n">
        <v>0</v>
      </c>
      <c r="AI1576" t="n">
        <v>0</v>
      </c>
      <c r="AJ1576" t="n">
        <v>0</v>
      </c>
      <c r="AK1576" t="n">
        <v>0</v>
      </c>
      <c r="AL1576" t="n">
        <v>0</v>
      </c>
      <c r="AM1576" t="n">
        <v>0</v>
      </c>
      <c r="AN1576" t="n">
        <v>0</v>
      </c>
      <c r="AO1576" t="n">
        <v>0</v>
      </c>
      <c r="AP1576" t="inlineStr">
        <is>
          <t>No</t>
        </is>
      </c>
      <c r="AQ1576" t="inlineStr">
        <is>
          <t>Yes</t>
        </is>
      </c>
      <c r="AR1576">
        <f>HYPERLINK("http://catalog.hathitrust.org/Record/012287717","HathiTrust Record")</f>
        <v/>
      </c>
      <c r="AS1576">
        <f>HYPERLINK("https://creighton-primo.hosted.exlibrisgroup.com/primo-explore/search?tab=default_tab&amp;search_scope=EVERYTHING&amp;vid=01CRU&amp;lang=en_US&amp;offset=0&amp;query=any,contains,991000483139702656","Catalog Record")</f>
        <v/>
      </c>
      <c r="AT1576">
        <f>HYPERLINK("http://www.worldcat.org/oclc/11066702","WorldCat Record")</f>
        <v/>
      </c>
      <c r="AU1576" t="inlineStr">
        <is>
          <t>3372104603:eng</t>
        </is>
      </c>
      <c r="AV1576" t="inlineStr">
        <is>
          <t>11066702</t>
        </is>
      </c>
      <c r="AW1576" t="inlineStr">
        <is>
          <t>991000483139702656</t>
        </is>
      </c>
      <c r="AX1576" t="inlineStr">
        <is>
          <t>991000483139702656</t>
        </is>
      </c>
      <c r="AY1576" t="inlineStr">
        <is>
          <t>2258440990002656</t>
        </is>
      </c>
      <c r="AZ1576" t="inlineStr">
        <is>
          <t>BOOK</t>
        </is>
      </c>
      <c r="BC1576" t="inlineStr">
        <is>
          <t>32285003084349</t>
        </is>
      </c>
      <c r="BD1576" t="inlineStr">
        <is>
          <t>893896910</t>
        </is>
      </c>
    </row>
    <row r="1577">
      <c r="A1577" t="inlineStr">
        <is>
          <t>No</t>
        </is>
      </c>
      <c r="B1577" t="inlineStr">
        <is>
          <t>RC87.1 .H43 1983</t>
        </is>
      </c>
      <c r="C1577" t="inlineStr">
        <is>
          <t>0                      RC 0087100H  43          1983</t>
        </is>
      </c>
      <c r="D1577" t="inlineStr">
        <is>
          <t>Heat stroke and temperature regulation / edited by M. Khogali, J.R.S. Hales,</t>
        </is>
      </c>
      <c r="F1577" t="inlineStr">
        <is>
          <t>No</t>
        </is>
      </c>
      <c r="G1577" t="inlineStr">
        <is>
          <t>1</t>
        </is>
      </c>
      <c r="H1577" t="inlineStr">
        <is>
          <t>No</t>
        </is>
      </c>
      <c r="I1577" t="inlineStr">
        <is>
          <t>No</t>
        </is>
      </c>
      <c r="J1577" t="inlineStr">
        <is>
          <t>0</t>
        </is>
      </c>
      <c r="L1577" t="inlineStr">
        <is>
          <t>Sydney ; New York : Academic Press, 1983.</t>
        </is>
      </c>
      <c r="M1577" t="inlineStr">
        <is>
          <t>1983</t>
        </is>
      </c>
      <c r="O1577" t="inlineStr">
        <is>
          <t>eng</t>
        </is>
      </c>
      <c r="P1577" t="inlineStr">
        <is>
          <t xml:space="preserve">at </t>
        </is>
      </c>
      <c r="R1577" t="inlineStr">
        <is>
          <t xml:space="preserve">RC </t>
        </is>
      </c>
      <c r="S1577" t="n">
        <v>5</v>
      </c>
      <c r="T1577" t="n">
        <v>5</v>
      </c>
      <c r="U1577" t="inlineStr">
        <is>
          <t>2000-11-21</t>
        </is>
      </c>
      <c r="V1577" t="inlineStr">
        <is>
          <t>2000-11-21</t>
        </is>
      </c>
      <c r="W1577" t="inlineStr">
        <is>
          <t>1993-03-17</t>
        </is>
      </c>
      <c r="X1577" t="inlineStr">
        <is>
          <t>1993-03-17</t>
        </is>
      </c>
      <c r="Y1577" t="n">
        <v>144</v>
      </c>
      <c r="Z1577" t="n">
        <v>103</v>
      </c>
      <c r="AA1577" t="n">
        <v>105</v>
      </c>
      <c r="AB1577" t="n">
        <v>1</v>
      </c>
      <c r="AC1577" t="n">
        <v>1</v>
      </c>
      <c r="AD1577" t="n">
        <v>0</v>
      </c>
      <c r="AE1577" t="n">
        <v>0</v>
      </c>
      <c r="AF1577" t="n">
        <v>0</v>
      </c>
      <c r="AG1577" t="n">
        <v>0</v>
      </c>
      <c r="AH1577" t="n">
        <v>0</v>
      </c>
      <c r="AI1577" t="n">
        <v>0</v>
      </c>
      <c r="AJ1577" t="n">
        <v>0</v>
      </c>
      <c r="AK1577" t="n">
        <v>0</v>
      </c>
      <c r="AL1577" t="n">
        <v>0</v>
      </c>
      <c r="AM1577" t="n">
        <v>0</v>
      </c>
      <c r="AN1577" t="n">
        <v>0</v>
      </c>
      <c r="AO1577" t="n">
        <v>0</v>
      </c>
      <c r="AP1577" t="inlineStr">
        <is>
          <t>No</t>
        </is>
      </c>
      <c r="AQ1577" t="inlineStr">
        <is>
          <t>Yes</t>
        </is>
      </c>
      <c r="AR1577">
        <f>HYPERLINK("http://catalog.hathitrust.org/Record/000323904","HathiTrust Record")</f>
        <v/>
      </c>
      <c r="AS1577">
        <f>HYPERLINK("https://creighton-primo.hosted.exlibrisgroup.com/primo-explore/search?tab=default_tab&amp;search_scope=EVERYTHING&amp;vid=01CRU&amp;lang=en_US&amp;offset=0&amp;query=any,contains,991000405759702656","Catalog Record")</f>
        <v/>
      </c>
      <c r="AT1577">
        <f>HYPERLINK("http://www.worldcat.org/oclc/13123261","WorldCat Record")</f>
        <v/>
      </c>
      <c r="AU1577" t="inlineStr">
        <is>
          <t>5668586:eng</t>
        </is>
      </c>
      <c r="AV1577" t="inlineStr">
        <is>
          <t>13123261</t>
        </is>
      </c>
      <c r="AW1577" t="inlineStr">
        <is>
          <t>991000405759702656</t>
        </is>
      </c>
      <c r="AX1577" t="inlineStr">
        <is>
          <t>991000405759702656</t>
        </is>
      </c>
      <c r="AY1577" t="inlineStr">
        <is>
          <t>2267007420002656</t>
        </is>
      </c>
      <c r="AZ1577" t="inlineStr">
        <is>
          <t>BOOK</t>
        </is>
      </c>
      <c r="BB1577" t="inlineStr">
        <is>
          <t>9780124061804</t>
        </is>
      </c>
      <c r="BC1577" t="inlineStr">
        <is>
          <t>32285001588903</t>
        </is>
      </c>
      <c r="BD1577" t="inlineStr">
        <is>
          <t>893237280</t>
        </is>
      </c>
    </row>
    <row r="1578">
      <c r="A1578" t="inlineStr">
        <is>
          <t>No</t>
        </is>
      </c>
      <c r="B1578" t="inlineStr">
        <is>
          <t>RC87.1 .W67 1987</t>
        </is>
      </c>
      <c r="C1578" t="inlineStr">
        <is>
          <t>0                      RC 0087100W  67          1987</t>
        </is>
      </c>
      <c r="D1578" t="inlineStr">
        <is>
          <t>Heat stress : physical exertion and environment : proceedings of the 1st World Conference on Heat Stress, Physical Exertion and Environment, held in Sydney, Australia, 27 April-1 May 1987 / editors, J.R.S. Hales and D.A.B. Richards.</t>
        </is>
      </c>
      <c r="F1578" t="inlineStr">
        <is>
          <t>No</t>
        </is>
      </c>
      <c r="G1578" t="inlineStr">
        <is>
          <t>1</t>
        </is>
      </c>
      <c r="H1578" t="inlineStr">
        <is>
          <t>No</t>
        </is>
      </c>
      <c r="I1578" t="inlineStr">
        <is>
          <t>No</t>
        </is>
      </c>
      <c r="J1578" t="inlineStr">
        <is>
          <t>0</t>
        </is>
      </c>
      <c r="K1578" t="inlineStr">
        <is>
          <t>World Conference on Heat Stress: Physical Exertion and Environment (1st : 1987 : Sydney, N.S.W.)</t>
        </is>
      </c>
      <c r="L1578" t="inlineStr">
        <is>
          <t>Amsterdam ; New York : Excerpta Medica ; New York, NY, USA : Sole distributors for the USA and Canada, Elsevier Science Pub. Co., 1987.</t>
        </is>
      </c>
      <c r="M1578" t="inlineStr">
        <is>
          <t>1987</t>
        </is>
      </c>
      <c r="O1578" t="inlineStr">
        <is>
          <t>eng</t>
        </is>
      </c>
      <c r="P1578" t="inlineStr">
        <is>
          <t xml:space="preserve">ne </t>
        </is>
      </c>
      <c r="Q1578" t="inlineStr">
        <is>
          <t>International congress series ; 773</t>
        </is>
      </c>
      <c r="R1578" t="inlineStr">
        <is>
          <t xml:space="preserve">RC </t>
        </is>
      </c>
      <c r="S1578" t="n">
        <v>3</v>
      </c>
      <c r="T1578" t="n">
        <v>3</v>
      </c>
      <c r="U1578" t="inlineStr">
        <is>
          <t>1998-10-05</t>
        </is>
      </c>
      <c r="V1578" t="inlineStr">
        <is>
          <t>1998-10-05</t>
        </is>
      </c>
      <c r="W1578" t="inlineStr">
        <is>
          <t>1993-03-17</t>
        </is>
      </c>
      <c r="X1578" t="inlineStr">
        <is>
          <t>1993-03-17</t>
        </is>
      </c>
      <c r="Y1578" t="n">
        <v>105</v>
      </c>
      <c r="Z1578" t="n">
        <v>69</v>
      </c>
      <c r="AA1578" t="n">
        <v>71</v>
      </c>
      <c r="AB1578" t="n">
        <v>1</v>
      </c>
      <c r="AC1578" t="n">
        <v>1</v>
      </c>
      <c r="AD1578" t="n">
        <v>1</v>
      </c>
      <c r="AE1578" t="n">
        <v>1</v>
      </c>
      <c r="AF1578" t="n">
        <v>0</v>
      </c>
      <c r="AG1578" t="n">
        <v>0</v>
      </c>
      <c r="AH1578" t="n">
        <v>0</v>
      </c>
      <c r="AI1578" t="n">
        <v>0</v>
      </c>
      <c r="AJ1578" t="n">
        <v>1</v>
      </c>
      <c r="AK1578" t="n">
        <v>1</v>
      </c>
      <c r="AL1578" t="n">
        <v>0</v>
      </c>
      <c r="AM1578" t="n">
        <v>0</v>
      </c>
      <c r="AN1578" t="n">
        <v>0</v>
      </c>
      <c r="AO1578" t="n">
        <v>0</v>
      </c>
      <c r="AP1578" t="inlineStr">
        <is>
          <t>No</t>
        </is>
      </c>
      <c r="AQ1578" t="inlineStr">
        <is>
          <t>Yes</t>
        </is>
      </c>
      <c r="AR1578">
        <f>HYPERLINK("http://catalog.hathitrust.org/Record/000842935","HathiTrust Record")</f>
        <v/>
      </c>
      <c r="AS1578">
        <f>HYPERLINK("https://creighton-primo.hosted.exlibrisgroup.com/primo-explore/search?tab=default_tab&amp;search_scope=EVERYTHING&amp;vid=01CRU&amp;lang=en_US&amp;offset=0&amp;query=any,contains,991001136809702656","Catalog Record")</f>
        <v/>
      </c>
      <c r="AT1578">
        <f>HYPERLINK("http://www.worldcat.org/oclc/16716257","WorldCat Record")</f>
        <v/>
      </c>
      <c r="AU1578" t="inlineStr">
        <is>
          <t>13464322:eng</t>
        </is>
      </c>
      <c r="AV1578" t="inlineStr">
        <is>
          <t>16716257</t>
        </is>
      </c>
      <c r="AW1578" t="inlineStr">
        <is>
          <t>991001136809702656</t>
        </is>
      </c>
      <c r="AX1578" t="inlineStr">
        <is>
          <t>991001136809702656</t>
        </is>
      </c>
      <c r="AY1578" t="inlineStr">
        <is>
          <t>2257131750002656</t>
        </is>
      </c>
      <c r="AZ1578" t="inlineStr">
        <is>
          <t>BOOK</t>
        </is>
      </c>
      <c r="BB1578" t="inlineStr">
        <is>
          <t>9780444809322</t>
        </is>
      </c>
      <c r="BC1578" t="inlineStr">
        <is>
          <t>32285001588911</t>
        </is>
      </c>
      <c r="BD1578" t="inlineStr">
        <is>
          <t>893413985</t>
        </is>
      </c>
    </row>
    <row r="1579">
      <c r="A1579" t="inlineStr">
        <is>
          <t>No</t>
        </is>
      </c>
      <c r="B1579" t="inlineStr">
        <is>
          <t>RC87.9 .A44 1988</t>
        </is>
      </c>
      <c r="C1579" t="inlineStr">
        <is>
          <t>0                      RC 0087900A  44          1988</t>
        </is>
      </c>
      <c r="D1579" t="inlineStr">
        <is>
          <t>American Red Cross community CPR : workbook.</t>
        </is>
      </c>
      <c r="F1579" t="inlineStr">
        <is>
          <t>No</t>
        </is>
      </c>
      <c r="G1579" t="inlineStr">
        <is>
          <t>1</t>
        </is>
      </c>
      <c r="H1579" t="inlineStr">
        <is>
          <t>No</t>
        </is>
      </c>
      <c r="I1579" t="inlineStr">
        <is>
          <t>No</t>
        </is>
      </c>
      <c r="J1579" t="inlineStr">
        <is>
          <t>0</t>
        </is>
      </c>
      <c r="L1579" t="inlineStr">
        <is>
          <t>[Washington, D.C.] : American Red Cross, c1988.</t>
        </is>
      </c>
      <c r="M1579" t="inlineStr">
        <is>
          <t>1988</t>
        </is>
      </c>
      <c r="O1579" t="inlineStr">
        <is>
          <t>eng</t>
        </is>
      </c>
      <c r="P1579" t="inlineStr">
        <is>
          <t>dcu</t>
        </is>
      </c>
      <c r="R1579" t="inlineStr">
        <is>
          <t xml:space="preserve">RC </t>
        </is>
      </c>
      <c r="S1579" t="n">
        <v>2</v>
      </c>
      <c r="T1579" t="n">
        <v>2</v>
      </c>
      <c r="U1579" t="inlineStr">
        <is>
          <t>1999-02-07</t>
        </is>
      </c>
      <c r="V1579" t="inlineStr">
        <is>
          <t>1999-02-07</t>
        </is>
      </c>
      <c r="W1579" t="inlineStr">
        <is>
          <t>1998-12-17</t>
        </is>
      </c>
      <c r="X1579" t="inlineStr">
        <is>
          <t>1998-12-17</t>
        </is>
      </c>
      <c r="Y1579" t="n">
        <v>148</v>
      </c>
      <c r="Z1579" t="n">
        <v>144</v>
      </c>
      <c r="AA1579" t="n">
        <v>161</v>
      </c>
      <c r="AB1579" t="n">
        <v>2</v>
      </c>
      <c r="AC1579" t="n">
        <v>2</v>
      </c>
      <c r="AD1579" t="n">
        <v>1</v>
      </c>
      <c r="AE1579" t="n">
        <v>1</v>
      </c>
      <c r="AF1579" t="n">
        <v>0</v>
      </c>
      <c r="AG1579" t="n">
        <v>0</v>
      </c>
      <c r="AH1579" t="n">
        <v>1</v>
      </c>
      <c r="AI1579" t="n">
        <v>1</v>
      </c>
      <c r="AJ1579" t="n">
        <v>1</v>
      </c>
      <c r="AK1579" t="n">
        <v>1</v>
      </c>
      <c r="AL1579" t="n">
        <v>0</v>
      </c>
      <c r="AM1579" t="n">
        <v>0</v>
      </c>
      <c r="AN1579" t="n">
        <v>0</v>
      </c>
      <c r="AO1579" t="n">
        <v>0</v>
      </c>
      <c r="AP1579" t="inlineStr">
        <is>
          <t>No</t>
        </is>
      </c>
      <c r="AQ1579" t="inlineStr">
        <is>
          <t>No</t>
        </is>
      </c>
      <c r="AS1579">
        <f>HYPERLINK("https://creighton-primo.hosted.exlibrisgroup.com/primo-explore/search?tab=default_tab&amp;search_scope=EVERYTHING&amp;vid=01CRU&amp;lang=en_US&amp;offset=0&amp;query=any,contains,991001358209702656","Catalog Record")</f>
        <v/>
      </c>
      <c r="AT1579">
        <f>HYPERLINK("http://www.worldcat.org/oclc/18497852","WorldCat Record")</f>
        <v/>
      </c>
      <c r="AU1579" t="inlineStr">
        <is>
          <t>3372496474:eng</t>
        </is>
      </c>
      <c r="AV1579" t="inlineStr">
        <is>
          <t>18497852</t>
        </is>
      </c>
      <c r="AW1579" t="inlineStr">
        <is>
          <t>991001358209702656</t>
        </is>
      </c>
      <c r="AX1579" t="inlineStr">
        <is>
          <t>991001358209702656</t>
        </is>
      </c>
      <c r="AY1579" t="inlineStr">
        <is>
          <t>2271633640002656</t>
        </is>
      </c>
      <c r="AZ1579" t="inlineStr">
        <is>
          <t>BOOK</t>
        </is>
      </c>
      <c r="BB1579" t="inlineStr">
        <is>
          <t>9780865360839</t>
        </is>
      </c>
      <c r="BC1579" t="inlineStr">
        <is>
          <t>32285003507612</t>
        </is>
      </c>
      <c r="BD1579" t="inlineStr">
        <is>
          <t>893256197</t>
        </is>
      </c>
    </row>
    <row r="1580">
      <c r="A1580" t="inlineStr">
        <is>
          <t>No</t>
        </is>
      </c>
      <c r="B1580" t="inlineStr">
        <is>
          <t>RC88.9.T47 F75 2002</t>
        </is>
      </c>
      <c r="C1580" t="inlineStr">
        <is>
          <t>0                      RC 0088900T  47                 F  75          2002</t>
        </is>
      </c>
      <c r="D1580" t="inlineStr">
        <is>
          <t>When every moment counts : what you need to know about bioterrorism from the Senate's only doctor / Bill Frist.</t>
        </is>
      </c>
      <c r="F1580" t="inlineStr">
        <is>
          <t>No</t>
        </is>
      </c>
      <c r="G1580" t="inlineStr">
        <is>
          <t>1</t>
        </is>
      </c>
      <c r="H1580" t="inlineStr">
        <is>
          <t>No</t>
        </is>
      </c>
      <c r="I1580" t="inlineStr">
        <is>
          <t>No</t>
        </is>
      </c>
      <c r="J1580" t="inlineStr">
        <is>
          <t>0</t>
        </is>
      </c>
      <c r="K1580" t="inlineStr">
        <is>
          <t>Frist, William H.</t>
        </is>
      </c>
      <c r="L1580" t="inlineStr">
        <is>
          <t>Lanham : Rowman &amp; Littlefield Publishers, c2002.</t>
        </is>
      </c>
      <c r="M1580" t="inlineStr">
        <is>
          <t>2002</t>
        </is>
      </c>
      <c r="O1580" t="inlineStr">
        <is>
          <t>eng</t>
        </is>
      </c>
      <c r="P1580" t="inlineStr">
        <is>
          <t>mdu</t>
        </is>
      </c>
      <c r="R1580" t="inlineStr">
        <is>
          <t xml:space="preserve">RC </t>
        </is>
      </c>
      <c r="S1580" t="n">
        <v>4</v>
      </c>
      <c r="T1580" t="n">
        <v>4</v>
      </c>
      <c r="U1580" t="inlineStr">
        <is>
          <t>2002-11-22</t>
        </is>
      </c>
      <c r="V1580" t="inlineStr">
        <is>
          <t>2002-11-22</t>
        </is>
      </c>
      <c r="W1580" t="inlineStr">
        <is>
          <t>2002-04-09</t>
        </is>
      </c>
      <c r="X1580" t="inlineStr">
        <is>
          <t>2002-04-09</t>
        </is>
      </c>
      <c r="Y1580" t="n">
        <v>855</v>
      </c>
      <c r="Z1580" t="n">
        <v>836</v>
      </c>
      <c r="AA1580" t="n">
        <v>841</v>
      </c>
      <c r="AB1580" t="n">
        <v>3</v>
      </c>
      <c r="AC1580" t="n">
        <v>3</v>
      </c>
      <c r="AD1580" t="n">
        <v>10</v>
      </c>
      <c r="AE1580" t="n">
        <v>10</v>
      </c>
      <c r="AF1580" t="n">
        <v>4</v>
      </c>
      <c r="AG1580" t="n">
        <v>4</v>
      </c>
      <c r="AH1580" t="n">
        <v>2</v>
      </c>
      <c r="AI1580" t="n">
        <v>2</v>
      </c>
      <c r="AJ1580" t="n">
        <v>4</v>
      </c>
      <c r="AK1580" t="n">
        <v>4</v>
      </c>
      <c r="AL1580" t="n">
        <v>1</v>
      </c>
      <c r="AM1580" t="n">
        <v>1</v>
      </c>
      <c r="AN1580" t="n">
        <v>1</v>
      </c>
      <c r="AO1580" t="n">
        <v>1</v>
      </c>
      <c r="AP1580" t="inlineStr">
        <is>
          <t>No</t>
        </is>
      </c>
      <c r="AQ1580" t="inlineStr">
        <is>
          <t>No</t>
        </is>
      </c>
      <c r="AS1580">
        <f>HYPERLINK("https://creighton-primo.hosted.exlibrisgroup.com/primo-explore/search?tab=default_tab&amp;search_scope=EVERYTHING&amp;vid=01CRU&amp;lang=en_US&amp;offset=0&amp;query=any,contains,991003769499702656","Catalog Record")</f>
        <v/>
      </c>
      <c r="AT1580">
        <f>HYPERLINK("http://www.worldcat.org/oclc/48767654","WorldCat Record")</f>
        <v/>
      </c>
      <c r="AU1580" t="inlineStr">
        <is>
          <t>37964089:eng</t>
        </is>
      </c>
      <c r="AV1580" t="inlineStr">
        <is>
          <t>48767654</t>
        </is>
      </c>
      <c r="AW1580" t="inlineStr">
        <is>
          <t>991003769499702656</t>
        </is>
      </c>
      <c r="AX1580" t="inlineStr">
        <is>
          <t>991003769499702656</t>
        </is>
      </c>
      <c r="AY1580" t="inlineStr">
        <is>
          <t>2256743040002656</t>
        </is>
      </c>
      <c r="AZ1580" t="inlineStr">
        <is>
          <t>BOOK</t>
        </is>
      </c>
      <c r="BB1580" t="inlineStr">
        <is>
          <t>9780742522459</t>
        </is>
      </c>
      <c r="BC1580" t="inlineStr">
        <is>
          <t>32285004477757</t>
        </is>
      </c>
      <c r="BD1580" t="inlineStr">
        <is>
          <t>893787753</t>
        </is>
      </c>
    </row>
    <row r="1581">
      <c r="A1581" t="inlineStr">
        <is>
          <t>No</t>
        </is>
      </c>
      <c r="B1581" t="inlineStr">
        <is>
          <t>RC889 .I564 1984</t>
        </is>
      </c>
      <c r="C1581" t="inlineStr">
        <is>
          <t>0                      RC 0889000I  564         1984</t>
        </is>
      </c>
      <c r="D1581" t="inlineStr">
        <is>
          <t>Infertility--medical, emotional, and social considerations / edited by Miriam D. Mazor, Harriet F. Simons.</t>
        </is>
      </c>
      <c r="F1581" t="inlineStr">
        <is>
          <t>No</t>
        </is>
      </c>
      <c r="G1581" t="inlineStr">
        <is>
          <t>1</t>
        </is>
      </c>
      <c r="H1581" t="inlineStr">
        <is>
          <t>No</t>
        </is>
      </c>
      <c r="I1581" t="inlineStr">
        <is>
          <t>No</t>
        </is>
      </c>
      <c r="J1581" t="inlineStr">
        <is>
          <t>0</t>
        </is>
      </c>
      <c r="L1581" t="inlineStr">
        <is>
          <t>New York, N.Y. : Human Sciences Press, c1984.</t>
        </is>
      </c>
      <c r="M1581" t="inlineStr">
        <is>
          <t>1984</t>
        </is>
      </c>
      <c r="O1581" t="inlineStr">
        <is>
          <t>eng</t>
        </is>
      </c>
      <c r="P1581" t="inlineStr">
        <is>
          <t>nyu</t>
        </is>
      </c>
      <c r="R1581" t="inlineStr">
        <is>
          <t xml:space="preserve">RC </t>
        </is>
      </c>
      <c r="S1581" t="n">
        <v>9</v>
      </c>
      <c r="T1581" t="n">
        <v>9</v>
      </c>
      <c r="U1581" t="inlineStr">
        <is>
          <t>2001-02-08</t>
        </is>
      </c>
      <c r="V1581" t="inlineStr">
        <is>
          <t>2001-02-08</t>
        </is>
      </c>
      <c r="W1581" t="inlineStr">
        <is>
          <t>1992-10-19</t>
        </is>
      </c>
      <c r="X1581" t="inlineStr">
        <is>
          <t>1992-10-19</t>
        </is>
      </c>
      <c r="Y1581" t="n">
        <v>215</v>
      </c>
      <c r="Z1581" t="n">
        <v>174</v>
      </c>
      <c r="AA1581" t="n">
        <v>182</v>
      </c>
      <c r="AB1581" t="n">
        <v>1</v>
      </c>
      <c r="AC1581" t="n">
        <v>1</v>
      </c>
      <c r="AD1581" t="n">
        <v>1</v>
      </c>
      <c r="AE1581" t="n">
        <v>1</v>
      </c>
      <c r="AF1581" t="n">
        <v>0</v>
      </c>
      <c r="AG1581" t="n">
        <v>0</v>
      </c>
      <c r="AH1581" t="n">
        <v>0</v>
      </c>
      <c r="AI1581" t="n">
        <v>0</v>
      </c>
      <c r="AJ1581" t="n">
        <v>1</v>
      </c>
      <c r="AK1581" t="n">
        <v>1</v>
      </c>
      <c r="AL1581" t="n">
        <v>0</v>
      </c>
      <c r="AM1581" t="n">
        <v>0</v>
      </c>
      <c r="AN1581" t="n">
        <v>0</v>
      </c>
      <c r="AO1581" t="n">
        <v>0</v>
      </c>
      <c r="AP1581" t="inlineStr">
        <is>
          <t>No</t>
        </is>
      </c>
      <c r="AQ1581" t="inlineStr">
        <is>
          <t>Yes</t>
        </is>
      </c>
      <c r="AR1581">
        <f>HYPERLINK("http://catalog.hathitrust.org/Record/000560156","HathiTrust Record")</f>
        <v/>
      </c>
      <c r="AS1581">
        <f>HYPERLINK("https://creighton-primo.hosted.exlibrisgroup.com/primo-explore/search?tab=default_tab&amp;search_scope=EVERYTHING&amp;vid=01CRU&amp;lang=en_US&amp;offset=0&amp;query=any,contains,991000247869702656","Catalog Record")</f>
        <v/>
      </c>
      <c r="AT1581">
        <f>HYPERLINK("http://www.worldcat.org/oclc/9731525","WorldCat Record")</f>
        <v/>
      </c>
      <c r="AU1581" t="inlineStr">
        <is>
          <t>43579436:eng</t>
        </is>
      </c>
      <c r="AV1581" t="inlineStr">
        <is>
          <t>9731525</t>
        </is>
      </c>
      <c r="AW1581" t="inlineStr">
        <is>
          <t>991000247869702656</t>
        </is>
      </c>
      <c r="AX1581" t="inlineStr">
        <is>
          <t>991000247869702656</t>
        </is>
      </c>
      <c r="AY1581" t="inlineStr">
        <is>
          <t>2272457110002656</t>
        </is>
      </c>
      <c r="AZ1581" t="inlineStr">
        <is>
          <t>BOOK</t>
        </is>
      </c>
      <c r="BB1581" t="inlineStr">
        <is>
          <t>9780898851403</t>
        </is>
      </c>
      <c r="BC1581" t="inlineStr">
        <is>
          <t>32285001351872</t>
        </is>
      </c>
      <c r="BD1581" t="inlineStr">
        <is>
          <t>893261412</t>
        </is>
      </c>
    </row>
    <row r="1582">
      <c r="A1582" t="inlineStr">
        <is>
          <t>No</t>
        </is>
      </c>
      <c r="B1582" t="inlineStr">
        <is>
          <t>RC889 .L54 1987</t>
        </is>
      </c>
      <c r="C1582" t="inlineStr">
        <is>
          <t>0                      RC 0889000L  54          1987</t>
        </is>
      </c>
      <c r="D1582" t="inlineStr">
        <is>
          <t>In pursuit of pregnancy : how couples discover, cope with, and resolve their fertility problems / Joan Liebmann-Smith.</t>
        </is>
      </c>
      <c r="F1582" t="inlineStr">
        <is>
          <t>No</t>
        </is>
      </c>
      <c r="G1582" t="inlineStr">
        <is>
          <t>1</t>
        </is>
      </c>
      <c r="H1582" t="inlineStr">
        <is>
          <t>No</t>
        </is>
      </c>
      <c r="I1582" t="inlineStr">
        <is>
          <t>No</t>
        </is>
      </c>
      <c r="J1582" t="inlineStr">
        <is>
          <t>0</t>
        </is>
      </c>
      <c r="K1582" t="inlineStr">
        <is>
          <t>Liebmann-Smith, Joan.</t>
        </is>
      </c>
      <c r="L1582" t="inlineStr">
        <is>
          <t>New York : Newmarket Press, c1987.</t>
        </is>
      </c>
      <c r="M1582" t="inlineStr">
        <is>
          <t>1987</t>
        </is>
      </c>
      <c r="N1582" t="inlineStr">
        <is>
          <t>1st ed.</t>
        </is>
      </c>
      <c r="O1582" t="inlineStr">
        <is>
          <t>eng</t>
        </is>
      </c>
      <c r="P1582" t="inlineStr">
        <is>
          <t>nyu</t>
        </is>
      </c>
      <c r="R1582" t="inlineStr">
        <is>
          <t xml:space="preserve">RC </t>
        </is>
      </c>
      <c r="S1582" t="n">
        <v>15</v>
      </c>
      <c r="T1582" t="n">
        <v>15</v>
      </c>
      <c r="U1582" t="inlineStr">
        <is>
          <t>2001-03-30</t>
        </is>
      </c>
      <c r="V1582" t="inlineStr">
        <is>
          <t>2001-03-30</t>
        </is>
      </c>
      <c r="W1582" t="inlineStr">
        <is>
          <t>1993-04-21</t>
        </is>
      </c>
      <c r="X1582" t="inlineStr">
        <is>
          <t>1993-04-21</t>
        </is>
      </c>
      <c r="Y1582" t="n">
        <v>164</v>
      </c>
      <c r="Z1582" t="n">
        <v>159</v>
      </c>
      <c r="AA1582" t="n">
        <v>163</v>
      </c>
      <c r="AB1582" t="n">
        <v>1</v>
      </c>
      <c r="AC1582" t="n">
        <v>1</v>
      </c>
      <c r="AD1582" t="n">
        <v>3</v>
      </c>
      <c r="AE1582" t="n">
        <v>3</v>
      </c>
      <c r="AF1582" t="n">
        <v>3</v>
      </c>
      <c r="AG1582" t="n">
        <v>3</v>
      </c>
      <c r="AH1582" t="n">
        <v>0</v>
      </c>
      <c r="AI1582" t="n">
        <v>0</v>
      </c>
      <c r="AJ1582" t="n">
        <v>2</v>
      </c>
      <c r="AK1582" t="n">
        <v>2</v>
      </c>
      <c r="AL1582" t="n">
        <v>0</v>
      </c>
      <c r="AM1582" t="n">
        <v>0</v>
      </c>
      <c r="AN1582" t="n">
        <v>0</v>
      </c>
      <c r="AO1582" t="n">
        <v>0</v>
      </c>
      <c r="AP1582" t="inlineStr">
        <is>
          <t>No</t>
        </is>
      </c>
      <c r="AQ1582" t="inlineStr">
        <is>
          <t>No</t>
        </is>
      </c>
      <c r="AS1582">
        <f>HYPERLINK("https://creighton-primo.hosted.exlibrisgroup.com/primo-explore/search?tab=default_tab&amp;search_scope=EVERYTHING&amp;vid=01CRU&amp;lang=en_US&amp;offset=0&amp;query=any,contains,991000964069702656","Catalog Record")</f>
        <v/>
      </c>
      <c r="AT1582">
        <f>HYPERLINK("http://www.worldcat.org/oclc/14904199","WorldCat Record")</f>
        <v/>
      </c>
      <c r="AU1582" t="inlineStr">
        <is>
          <t>8173562:eng</t>
        </is>
      </c>
      <c r="AV1582" t="inlineStr">
        <is>
          <t>14904199</t>
        </is>
      </c>
      <c r="AW1582" t="inlineStr">
        <is>
          <t>991000964069702656</t>
        </is>
      </c>
      <c r="AX1582" t="inlineStr">
        <is>
          <t>991000964069702656</t>
        </is>
      </c>
      <c r="AY1582" t="inlineStr">
        <is>
          <t>2266825840002656</t>
        </is>
      </c>
      <c r="AZ1582" t="inlineStr">
        <is>
          <t>BOOK</t>
        </is>
      </c>
      <c r="BB1582" t="inlineStr">
        <is>
          <t>9780937858882</t>
        </is>
      </c>
      <c r="BC1582" t="inlineStr">
        <is>
          <t>32285001622959</t>
        </is>
      </c>
      <c r="BD1582" t="inlineStr">
        <is>
          <t>893891185</t>
        </is>
      </c>
    </row>
    <row r="1583">
      <c r="A1583" t="inlineStr">
        <is>
          <t>No</t>
        </is>
      </c>
      <c r="B1583" t="inlineStr">
        <is>
          <t>RC889 .M345 2007</t>
        </is>
      </c>
      <c r="C1583" t="inlineStr">
        <is>
          <t>0                      RC 0889000M  345         2007</t>
        </is>
      </c>
      <c r="D1583" t="inlineStr">
        <is>
          <t>Impotence : a cultural history / Angus McLaren.</t>
        </is>
      </c>
      <c r="F1583" t="inlineStr">
        <is>
          <t>No</t>
        </is>
      </c>
      <c r="G1583" t="inlineStr">
        <is>
          <t>1</t>
        </is>
      </c>
      <c r="H1583" t="inlineStr">
        <is>
          <t>No</t>
        </is>
      </c>
      <c r="I1583" t="inlineStr">
        <is>
          <t>No</t>
        </is>
      </c>
      <c r="J1583" t="inlineStr">
        <is>
          <t>0</t>
        </is>
      </c>
      <c r="K1583" t="inlineStr">
        <is>
          <t>McLaren, Angus.</t>
        </is>
      </c>
      <c r="L1583" t="inlineStr">
        <is>
          <t>Chicago : University of Chicago Press, 2007.</t>
        </is>
      </c>
      <c r="M1583" t="inlineStr">
        <is>
          <t>2007</t>
        </is>
      </c>
      <c r="O1583" t="inlineStr">
        <is>
          <t>eng</t>
        </is>
      </c>
      <c r="P1583" t="inlineStr">
        <is>
          <t>ilu</t>
        </is>
      </c>
      <c r="R1583" t="inlineStr">
        <is>
          <t xml:space="preserve">RC </t>
        </is>
      </c>
      <c r="S1583" t="n">
        <v>1</v>
      </c>
      <c r="T1583" t="n">
        <v>1</v>
      </c>
      <c r="U1583" t="inlineStr">
        <is>
          <t>2009-04-16</t>
        </is>
      </c>
      <c r="V1583" t="inlineStr">
        <is>
          <t>2009-04-16</t>
        </is>
      </c>
      <c r="W1583" t="inlineStr">
        <is>
          <t>2008-06-04</t>
        </is>
      </c>
      <c r="X1583" t="inlineStr">
        <is>
          <t>2008-06-04</t>
        </is>
      </c>
      <c r="Y1583" t="n">
        <v>718</v>
      </c>
      <c r="Z1583" t="n">
        <v>601</v>
      </c>
      <c r="AA1583" t="n">
        <v>1419</v>
      </c>
      <c r="AB1583" t="n">
        <v>3</v>
      </c>
      <c r="AC1583" t="n">
        <v>26</v>
      </c>
      <c r="AD1583" t="n">
        <v>27</v>
      </c>
      <c r="AE1583" t="n">
        <v>49</v>
      </c>
      <c r="AF1583" t="n">
        <v>12</v>
      </c>
      <c r="AG1583" t="n">
        <v>16</v>
      </c>
      <c r="AH1583" t="n">
        <v>7</v>
      </c>
      <c r="AI1583" t="n">
        <v>9</v>
      </c>
      <c r="AJ1583" t="n">
        <v>13</v>
      </c>
      <c r="AK1583" t="n">
        <v>17</v>
      </c>
      <c r="AL1583" t="n">
        <v>2</v>
      </c>
      <c r="AM1583" t="n">
        <v>14</v>
      </c>
      <c r="AN1583" t="n">
        <v>0</v>
      </c>
      <c r="AO1583" t="n">
        <v>1</v>
      </c>
      <c r="AP1583" t="inlineStr">
        <is>
          <t>No</t>
        </is>
      </c>
      <c r="AQ1583" t="inlineStr">
        <is>
          <t>No</t>
        </is>
      </c>
      <c r="AS1583">
        <f>HYPERLINK("https://creighton-primo.hosted.exlibrisgroup.com/primo-explore/search?tab=default_tab&amp;search_scope=EVERYTHING&amp;vid=01CRU&amp;lang=en_US&amp;offset=0&amp;query=any,contains,991005220199702656","Catalog Record")</f>
        <v/>
      </c>
      <c r="AT1583">
        <f>HYPERLINK("http://www.worldcat.org/oclc/70218064","WorldCat Record")</f>
        <v/>
      </c>
      <c r="AU1583" t="inlineStr">
        <is>
          <t>796261580:eng</t>
        </is>
      </c>
      <c r="AV1583" t="inlineStr">
        <is>
          <t>70218064</t>
        </is>
      </c>
      <c r="AW1583" t="inlineStr">
        <is>
          <t>991005220199702656</t>
        </is>
      </c>
      <c r="AX1583" t="inlineStr">
        <is>
          <t>991005220199702656</t>
        </is>
      </c>
      <c r="AY1583" t="inlineStr">
        <is>
          <t>2256486500002656</t>
        </is>
      </c>
      <c r="AZ1583" t="inlineStr">
        <is>
          <t>BOOK</t>
        </is>
      </c>
      <c r="BB1583" t="inlineStr">
        <is>
          <t>9780226500768</t>
        </is>
      </c>
      <c r="BC1583" t="inlineStr">
        <is>
          <t>32285005442735</t>
        </is>
      </c>
      <c r="BD1583" t="inlineStr">
        <is>
          <t>893613325</t>
        </is>
      </c>
    </row>
    <row r="1584">
      <c r="A1584" t="inlineStr">
        <is>
          <t>No</t>
        </is>
      </c>
      <c r="B1584" t="inlineStr">
        <is>
          <t>RC889 .S25 1986</t>
        </is>
      </c>
      <c r="C1584" t="inlineStr">
        <is>
          <t>0                      RC 0889000S  25          1986</t>
        </is>
      </c>
      <c r="D1584" t="inlineStr">
        <is>
          <t>Infertility : how couples can cope / Linda P. Salzer.</t>
        </is>
      </c>
      <c r="F1584" t="inlineStr">
        <is>
          <t>No</t>
        </is>
      </c>
      <c r="G1584" t="inlineStr">
        <is>
          <t>1</t>
        </is>
      </c>
      <c r="H1584" t="inlineStr">
        <is>
          <t>No</t>
        </is>
      </c>
      <c r="I1584" t="inlineStr">
        <is>
          <t>No</t>
        </is>
      </c>
      <c r="J1584" t="inlineStr">
        <is>
          <t>0</t>
        </is>
      </c>
      <c r="K1584" t="inlineStr">
        <is>
          <t>Salzer, Linda P.</t>
        </is>
      </c>
      <c r="L1584" t="inlineStr">
        <is>
          <t>Boston, Mass. : G.K. Hall, c1986.</t>
        </is>
      </c>
      <c r="M1584" t="inlineStr">
        <is>
          <t>1986</t>
        </is>
      </c>
      <c r="O1584" t="inlineStr">
        <is>
          <t>eng</t>
        </is>
      </c>
      <c r="P1584" t="inlineStr">
        <is>
          <t>mau</t>
        </is>
      </c>
      <c r="R1584" t="inlineStr">
        <is>
          <t xml:space="preserve">RC </t>
        </is>
      </c>
      <c r="S1584" t="n">
        <v>15</v>
      </c>
      <c r="T1584" t="n">
        <v>15</v>
      </c>
      <c r="U1584" t="inlineStr">
        <is>
          <t>2001-03-30</t>
        </is>
      </c>
      <c r="V1584" t="inlineStr">
        <is>
          <t>2001-03-30</t>
        </is>
      </c>
      <c r="W1584" t="inlineStr">
        <is>
          <t>1993-03-24</t>
        </is>
      </c>
      <c r="X1584" t="inlineStr">
        <is>
          <t>1993-03-24</t>
        </is>
      </c>
      <c r="Y1584" t="n">
        <v>267</v>
      </c>
      <c r="Z1584" t="n">
        <v>258</v>
      </c>
      <c r="AA1584" t="n">
        <v>263</v>
      </c>
      <c r="AB1584" t="n">
        <v>3</v>
      </c>
      <c r="AC1584" t="n">
        <v>3</v>
      </c>
      <c r="AD1584" t="n">
        <v>1</v>
      </c>
      <c r="AE1584" t="n">
        <v>1</v>
      </c>
      <c r="AF1584" t="n">
        <v>0</v>
      </c>
      <c r="AG1584" t="n">
        <v>0</v>
      </c>
      <c r="AH1584" t="n">
        <v>0</v>
      </c>
      <c r="AI1584" t="n">
        <v>0</v>
      </c>
      <c r="AJ1584" t="n">
        <v>0</v>
      </c>
      <c r="AK1584" t="n">
        <v>0</v>
      </c>
      <c r="AL1584" t="n">
        <v>1</v>
      </c>
      <c r="AM1584" t="n">
        <v>1</v>
      </c>
      <c r="AN1584" t="n">
        <v>0</v>
      </c>
      <c r="AO1584" t="n">
        <v>0</v>
      </c>
      <c r="AP1584" t="inlineStr">
        <is>
          <t>No</t>
        </is>
      </c>
      <c r="AQ1584" t="inlineStr">
        <is>
          <t>No</t>
        </is>
      </c>
      <c r="AS1584">
        <f>HYPERLINK("https://creighton-primo.hosted.exlibrisgroup.com/primo-explore/search?tab=default_tab&amp;search_scope=EVERYTHING&amp;vid=01CRU&amp;lang=en_US&amp;offset=0&amp;query=any,contains,991000764419702656","Catalog Record")</f>
        <v/>
      </c>
      <c r="AT1584">
        <f>HYPERLINK("http://www.worldcat.org/oclc/12978570","WorldCat Record")</f>
        <v/>
      </c>
      <c r="AU1584" t="inlineStr">
        <is>
          <t>5682611:eng</t>
        </is>
      </c>
      <c r="AV1584" t="inlineStr">
        <is>
          <t>12978570</t>
        </is>
      </c>
      <c r="AW1584" t="inlineStr">
        <is>
          <t>991000764419702656</t>
        </is>
      </c>
      <c r="AX1584" t="inlineStr">
        <is>
          <t>991000764419702656</t>
        </is>
      </c>
      <c r="AY1584" t="inlineStr">
        <is>
          <t>2258269420002656</t>
        </is>
      </c>
      <c r="AZ1584" t="inlineStr">
        <is>
          <t>BOOK</t>
        </is>
      </c>
      <c r="BB1584" t="inlineStr">
        <is>
          <t>9780816187980</t>
        </is>
      </c>
      <c r="BC1584" t="inlineStr">
        <is>
          <t>32285001608032</t>
        </is>
      </c>
      <c r="BD1584" t="inlineStr">
        <is>
          <t>893496537</t>
        </is>
      </c>
    </row>
    <row r="1585">
      <c r="A1585" t="inlineStr">
        <is>
          <t>No</t>
        </is>
      </c>
      <c r="B1585" t="inlineStr">
        <is>
          <t>RC889 .S726 1987</t>
        </is>
      </c>
      <c r="C1585" t="inlineStr">
        <is>
          <t>0                      RC 0889000S  726         1987</t>
        </is>
      </c>
      <c r="D1585" t="inlineStr">
        <is>
          <t>Give us a child : coping with the personal crisis of infertility / Lynda Rutledge Stephenson.</t>
        </is>
      </c>
      <c r="F1585" t="inlineStr">
        <is>
          <t>No</t>
        </is>
      </c>
      <c r="G1585" t="inlineStr">
        <is>
          <t>1</t>
        </is>
      </c>
      <c r="H1585" t="inlineStr">
        <is>
          <t>No</t>
        </is>
      </c>
      <c r="I1585" t="inlineStr">
        <is>
          <t>No</t>
        </is>
      </c>
      <c r="J1585" t="inlineStr">
        <is>
          <t>0</t>
        </is>
      </c>
      <c r="K1585" t="inlineStr">
        <is>
          <t>Rutledge, Lynda, 1950-</t>
        </is>
      </c>
      <c r="L1585" t="inlineStr">
        <is>
          <t>San Francisco : Harper &amp; Row, c1987.</t>
        </is>
      </c>
      <c r="M1585" t="inlineStr">
        <is>
          <t>1987</t>
        </is>
      </c>
      <c r="N1585" t="inlineStr">
        <is>
          <t>1st ed.</t>
        </is>
      </c>
      <c r="O1585" t="inlineStr">
        <is>
          <t>eng</t>
        </is>
      </c>
      <c r="P1585" t="inlineStr">
        <is>
          <t>cau</t>
        </is>
      </c>
      <c r="R1585" t="inlineStr">
        <is>
          <t xml:space="preserve">RC </t>
        </is>
      </c>
      <c r="S1585" t="n">
        <v>13</v>
      </c>
      <c r="T1585" t="n">
        <v>13</v>
      </c>
      <c r="U1585" t="inlineStr">
        <is>
          <t>2001-03-30</t>
        </is>
      </c>
      <c r="V1585" t="inlineStr">
        <is>
          <t>2001-03-30</t>
        </is>
      </c>
      <c r="W1585" t="inlineStr">
        <is>
          <t>1993-03-24</t>
        </is>
      </c>
      <c r="X1585" t="inlineStr">
        <is>
          <t>1993-03-24</t>
        </is>
      </c>
      <c r="Y1585" t="n">
        <v>234</v>
      </c>
      <c r="Z1585" t="n">
        <v>225</v>
      </c>
      <c r="AA1585" t="n">
        <v>245</v>
      </c>
      <c r="AB1585" t="n">
        <v>2</v>
      </c>
      <c r="AC1585" t="n">
        <v>2</v>
      </c>
      <c r="AD1585" t="n">
        <v>3</v>
      </c>
      <c r="AE1585" t="n">
        <v>5</v>
      </c>
      <c r="AF1585" t="n">
        <v>1</v>
      </c>
      <c r="AG1585" t="n">
        <v>2</v>
      </c>
      <c r="AH1585" t="n">
        <v>0</v>
      </c>
      <c r="AI1585" t="n">
        <v>0</v>
      </c>
      <c r="AJ1585" t="n">
        <v>1</v>
      </c>
      <c r="AK1585" t="n">
        <v>2</v>
      </c>
      <c r="AL1585" t="n">
        <v>1</v>
      </c>
      <c r="AM1585" t="n">
        <v>1</v>
      </c>
      <c r="AN1585" t="n">
        <v>0</v>
      </c>
      <c r="AO1585" t="n">
        <v>0</v>
      </c>
      <c r="AP1585" t="inlineStr">
        <is>
          <t>No</t>
        </is>
      </c>
      <c r="AQ1585" t="inlineStr">
        <is>
          <t>No</t>
        </is>
      </c>
      <c r="AS1585">
        <f>HYPERLINK("https://creighton-primo.hosted.exlibrisgroup.com/primo-explore/search?tab=default_tab&amp;search_scope=EVERYTHING&amp;vid=01CRU&amp;lang=en_US&amp;offset=0&amp;query=any,contains,991000955619702656","Catalog Record")</f>
        <v/>
      </c>
      <c r="AT1585">
        <f>HYPERLINK("http://www.worldcat.org/oclc/14717593","WorldCat Record")</f>
        <v/>
      </c>
      <c r="AU1585" t="inlineStr">
        <is>
          <t>8520982:eng</t>
        </is>
      </c>
      <c r="AV1585" t="inlineStr">
        <is>
          <t>14717593</t>
        </is>
      </c>
      <c r="AW1585" t="inlineStr">
        <is>
          <t>991000955619702656</t>
        </is>
      </c>
      <c r="AX1585" t="inlineStr">
        <is>
          <t>991000955619702656</t>
        </is>
      </c>
      <c r="AY1585" t="inlineStr">
        <is>
          <t>2256766340002656</t>
        </is>
      </c>
      <c r="AZ1585" t="inlineStr">
        <is>
          <t>BOOK</t>
        </is>
      </c>
      <c r="BB1585" t="inlineStr">
        <is>
          <t>9780060675912</t>
        </is>
      </c>
      <c r="BC1585" t="inlineStr">
        <is>
          <t>32285001608040</t>
        </is>
      </c>
      <c r="BD1585" t="inlineStr">
        <is>
          <t>893708867</t>
        </is>
      </c>
    </row>
    <row r="1586">
      <c r="A1586" t="inlineStr">
        <is>
          <t>No</t>
        </is>
      </c>
      <c r="B1586" t="inlineStr">
        <is>
          <t>RC889 .Z65 1993</t>
        </is>
      </c>
      <c r="C1586" t="inlineStr">
        <is>
          <t>0                      RC 0889000Z  65          1993</t>
        </is>
      </c>
      <c r="D1586" t="inlineStr">
        <is>
          <t>Men, women, and infertility : intervention and treatment strategies / Aline P. Zoldbrod.</t>
        </is>
      </c>
      <c r="F1586" t="inlineStr">
        <is>
          <t>No</t>
        </is>
      </c>
      <c r="G1586" t="inlineStr">
        <is>
          <t>1</t>
        </is>
      </c>
      <c r="H1586" t="inlineStr">
        <is>
          <t>No</t>
        </is>
      </c>
      <c r="I1586" t="inlineStr">
        <is>
          <t>No</t>
        </is>
      </c>
      <c r="J1586" t="inlineStr">
        <is>
          <t>0</t>
        </is>
      </c>
      <c r="K1586" t="inlineStr">
        <is>
          <t>Zoldbrod, Aline P.</t>
        </is>
      </c>
      <c r="L1586" t="inlineStr">
        <is>
          <t>New York : Lexington Books ; Toronto : Maxwell MacMillan Canada ; New York : Maxwell MacMillan International, c1993.</t>
        </is>
      </c>
      <c r="M1586" t="inlineStr">
        <is>
          <t>1993</t>
        </is>
      </c>
      <c r="O1586" t="inlineStr">
        <is>
          <t>eng</t>
        </is>
      </c>
      <c r="P1586" t="inlineStr">
        <is>
          <t>nyu</t>
        </is>
      </c>
      <c r="R1586" t="inlineStr">
        <is>
          <t xml:space="preserve">RC </t>
        </is>
      </c>
      <c r="S1586" t="n">
        <v>9</v>
      </c>
      <c r="T1586" t="n">
        <v>9</v>
      </c>
      <c r="U1586" t="inlineStr">
        <is>
          <t>2000-11-04</t>
        </is>
      </c>
      <c r="V1586" t="inlineStr">
        <is>
          <t>2000-11-04</t>
        </is>
      </c>
      <c r="W1586" t="inlineStr">
        <is>
          <t>1995-06-29</t>
        </is>
      </c>
      <c r="X1586" t="inlineStr">
        <is>
          <t>1995-06-29</t>
        </is>
      </c>
      <c r="Y1586" t="n">
        <v>131</v>
      </c>
      <c r="Z1586" t="n">
        <v>119</v>
      </c>
      <c r="AA1586" t="n">
        <v>121</v>
      </c>
      <c r="AB1586" t="n">
        <v>1</v>
      </c>
      <c r="AC1586" t="n">
        <v>1</v>
      </c>
      <c r="AD1586" t="n">
        <v>5</v>
      </c>
      <c r="AE1586" t="n">
        <v>5</v>
      </c>
      <c r="AF1586" t="n">
        <v>2</v>
      </c>
      <c r="AG1586" t="n">
        <v>2</v>
      </c>
      <c r="AH1586" t="n">
        <v>2</v>
      </c>
      <c r="AI1586" t="n">
        <v>2</v>
      </c>
      <c r="AJ1586" t="n">
        <v>3</v>
      </c>
      <c r="AK1586" t="n">
        <v>3</v>
      </c>
      <c r="AL1586" t="n">
        <v>0</v>
      </c>
      <c r="AM1586" t="n">
        <v>0</v>
      </c>
      <c r="AN1586" t="n">
        <v>0</v>
      </c>
      <c r="AO1586" t="n">
        <v>0</v>
      </c>
      <c r="AP1586" t="inlineStr">
        <is>
          <t>No</t>
        </is>
      </c>
      <c r="AQ1586" t="inlineStr">
        <is>
          <t>Yes</t>
        </is>
      </c>
      <c r="AR1586">
        <f>HYPERLINK("http://catalog.hathitrust.org/Record/002613962","HathiTrust Record")</f>
        <v/>
      </c>
      <c r="AS1586">
        <f>HYPERLINK("https://creighton-primo.hosted.exlibrisgroup.com/primo-explore/search?tab=default_tab&amp;search_scope=EVERYTHING&amp;vid=01CRU&amp;lang=en_US&amp;offset=0&amp;query=any,contains,991002068149702656","Catalog Record")</f>
        <v/>
      </c>
      <c r="AT1586">
        <f>HYPERLINK("http://www.worldcat.org/oclc/26502499","WorldCat Record")</f>
        <v/>
      </c>
      <c r="AU1586" t="inlineStr">
        <is>
          <t>28609224:eng</t>
        </is>
      </c>
      <c r="AV1586" t="inlineStr">
        <is>
          <t>26502499</t>
        </is>
      </c>
      <c r="AW1586" t="inlineStr">
        <is>
          <t>991002068149702656</t>
        </is>
      </c>
      <c r="AX1586" t="inlineStr">
        <is>
          <t>991002068149702656</t>
        </is>
      </c>
      <c r="AY1586" t="inlineStr">
        <is>
          <t>2257000190002656</t>
        </is>
      </c>
      <c r="AZ1586" t="inlineStr">
        <is>
          <t>BOOK</t>
        </is>
      </c>
      <c r="BB1586" t="inlineStr">
        <is>
          <t>9780669272703</t>
        </is>
      </c>
      <c r="BC1586" t="inlineStr">
        <is>
          <t>32285002053014</t>
        </is>
      </c>
      <c r="BD1586" t="inlineStr">
        <is>
          <t>893256828</t>
        </is>
      </c>
    </row>
    <row r="1587">
      <c r="A1587" t="inlineStr">
        <is>
          <t>No</t>
        </is>
      </c>
      <c r="B1587" t="inlineStr">
        <is>
          <t>RC901.7.H45 I57 1978</t>
        </is>
      </c>
      <c r="C1587" t="inlineStr">
        <is>
          <t>0                      RC 0901700H  45                 I  57          1978</t>
        </is>
      </c>
      <c r="D1587" t="inlineStr">
        <is>
          <t>Psychonephrology 1 : psychological factors in hemodialysis and transplantation / editor, Norman B. Levy.</t>
        </is>
      </c>
      <c r="F1587" t="inlineStr">
        <is>
          <t>No</t>
        </is>
      </c>
      <c r="G1587" t="inlineStr">
        <is>
          <t>1</t>
        </is>
      </c>
      <c r="H1587" t="inlineStr">
        <is>
          <t>No</t>
        </is>
      </c>
      <c r="I1587" t="inlineStr">
        <is>
          <t>No</t>
        </is>
      </c>
      <c r="J1587" t="inlineStr">
        <is>
          <t>0</t>
        </is>
      </c>
      <c r="K1587" t="inlineStr">
        <is>
          <t>International Conference on Psychological Factors in Hemodialysis and Transplantation (1st : 1978 : Downstate Medical Center, N.Y.)</t>
        </is>
      </c>
      <c r="L1587" t="inlineStr">
        <is>
          <t>New York : Plenum Medical Book Co., 1981.</t>
        </is>
      </c>
      <c r="M1587" t="inlineStr">
        <is>
          <t>1980</t>
        </is>
      </c>
      <c r="O1587" t="inlineStr">
        <is>
          <t>eng</t>
        </is>
      </c>
      <c r="P1587" t="inlineStr">
        <is>
          <t>nyu</t>
        </is>
      </c>
      <c r="R1587" t="inlineStr">
        <is>
          <t xml:space="preserve">RC </t>
        </is>
      </c>
      <c r="S1587" t="n">
        <v>3</v>
      </c>
      <c r="T1587" t="n">
        <v>3</v>
      </c>
      <c r="U1587" t="inlineStr">
        <is>
          <t>1994-08-22</t>
        </is>
      </c>
      <c r="V1587" t="inlineStr">
        <is>
          <t>1994-08-22</t>
        </is>
      </c>
      <c r="W1587" t="inlineStr">
        <is>
          <t>1993-03-24</t>
        </is>
      </c>
      <c r="X1587" t="inlineStr">
        <is>
          <t>1993-03-24</t>
        </is>
      </c>
      <c r="Y1587" t="n">
        <v>134</v>
      </c>
      <c r="Z1587" t="n">
        <v>100</v>
      </c>
      <c r="AA1587" t="n">
        <v>122</v>
      </c>
      <c r="AB1587" t="n">
        <v>2</v>
      </c>
      <c r="AC1587" t="n">
        <v>2</v>
      </c>
      <c r="AD1587" t="n">
        <v>4</v>
      </c>
      <c r="AE1587" t="n">
        <v>4</v>
      </c>
      <c r="AF1587" t="n">
        <v>0</v>
      </c>
      <c r="AG1587" t="n">
        <v>0</v>
      </c>
      <c r="AH1587" t="n">
        <v>0</v>
      </c>
      <c r="AI1587" t="n">
        <v>0</v>
      </c>
      <c r="AJ1587" t="n">
        <v>3</v>
      </c>
      <c r="AK1587" t="n">
        <v>3</v>
      </c>
      <c r="AL1587" t="n">
        <v>1</v>
      </c>
      <c r="AM1587" t="n">
        <v>1</v>
      </c>
      <c r="AN1587" t="n">
        <v>0</v>
      </c>
      <c r="AO1587" t="n">
        <v>0</v>
      </c>
      <c r="AP1587" t="inlineStr">
        <is>
          <t>No</t>
        </is>
      </c>
      <c r="AQ1587" t="inlineStr">
        <is>
          <t>No</t>
        </is>
      </c>
      <c r="AS1587">
        <f>HYPERLINK("https://creighton-primo.hosted.exlibrisgroup.com/primo-explore/search?tab=default_tab&amp;search_scope=EVERYTHING&amp;vid=01CRU&amp;lang=en_US&amp;offset=0&amp;query=any,contains,991005017109702656","Catalog Record")</f>
        <v/>
      </c>
      <c r="AT1587">
        <f>HYPERLINK("http://www.worldcat.org/oclc/6625696","WorldCat Record")</f>
        <v/>
      </c>
      <c r="AU1587" t="inlineStr">
        <is>
          <t>891738100:eng</t>
        </is>
      </c>
      <c r="AV1587" t="inlineStr">
        <is>
          <t>6625696</t>
        </is>
      </c>
      <c r="AW1587" t="inlineStr">
        <is>
          <t>991005017109702656</t>
        </is>
      </c>
      <c r="AX1587" t="inlineStr">
        <is>
          <t>991005017109702656</t>
        </is>
      </c>
      <c r="AY1587" t="inlineStr">
        <is>
          <t>2255186670002656</t>
        </is>
      </c>
      <c r="AZ1587" t="inlineStr">
        <is>
          <t>BOOK</t>
        </is>
      </c>
      <c r="BB1587" t="inlineStr">
        <is>
          <t>9780306405860</t>
        </is>
      </c>
      <c r="BC1587" t="inlineStr">
        <is>
          <t>32285001608057</t>
        </is>
      </c>
      <c r="BD1587" t="inlineStr">
        <is>
          <t>893628465</t>
        </is>
      </c>
    </row>
    <row r="1588">
      <c r="A1588" t="inlineStr">
        <is>
          <t>No</t>
        </is>
      </c>
      <c r="B1588" t="inlineStr">
        <is>
          <t>RC924 .C65 1979</t>
        </is>
      </c>
      <c r="C1588" t="inlineStr">
        <is>
          <t>0                      RC 0924000C  65          1979</t>
        </is>
      </c>
      <c r="D1588" t="inlineStr">
        <is>
          <t>Anatomy of an illness as perceived by the patient : reflections on healing and regeneration / by Norman Cousins ; introd. by René Dubos.</t>
        </is>
      </c>
      <c r="F1588" t="inlineStr">
        <is>
          <t>No</t>
        </is>
      </c>
      <c r="G1588" t="inlineStr">
        <is>
          <t>1</t>
        </is>
      </c>
      <c r="H1588" t="inlineStr">
        <is>
          <t>No</t>
        </is>
      </c>
      <c r="I1588" t="inlineStr">
        <is>
          <t>No</t>
        </is>
      </c>
      <c r="J1588" t="inlineStr">
        <is>
          <t>0</t>
        </is>
      </c>
      <c r="K1588" t="inlineStr">
        <is>
          <t>Cousins, Norman.</t>
        </is>
      </c>
      <c r="L1588" t="inlineStr">
        <is>
          <t>New York : Norton, c1979.</t>
        </is>
      </c>
      <c r="M1588" t="inlineStr">
        <is>
          <t>1979</t>
        </is>
      </c>
      <c r="O1588" t="inlineStr">
        <is>
          <t>eng</t>
        </is>
      </c>
      <c r="P1588" t="inlineStr">
        <is>
          <t>nyu</t>
        </is>
      </c>
      <c r="R1588" t="inlineStr">
        <is>
          <t xml:space="preserve">RC </t>
        </is>
      </c>
      <c r="S1588" t="n">
        <v>11</v>
      </c>
      <c r="T1588" t="n">
        <v>11</v>
      </c>
      <c r="U1588" t="inlineStr">
        <is>
          <t>2004-11-10</t>
        </is>
      </c>
      <c r="V1588" t="inlineStr">
        <is>
          <t>2004-11-10</t>
        </is>
      </c>
      <c r="W1588" t="inlineStr">
        <is>
          <t>1995-09-18</t>
        </is>
      </c>
      <c r="X1588" t="inlineStr">
        <is>
          <t>1995-09-18</t>
        </is>
      </c>
      <c r="Y1588" t="n">
        <v>2305</v>
      </c>
      <c r="Z1588" t="n">
        <v>2144</v>
      </c>
      <c r="AA1588" t="n">
        <v>2922</v>
      </c>
      <c r="AB1588" t="n">
        <v>18</v>
      </c>
      <c r="AC1588" t="n">
        <v>27</v>
      </c>
      <c r="AD1588" t="n">
        <v>46</v>
      </c>
      <c r="AE1588" t="n">
        <v>60</v>
      </c>
      <c r="AF1588" t="n">
        <v>17</v>
      </c>
      <c r="AG1588" t="n">
        <v>24</v>
      </c>
      <c r="AH1588" t="n">
        <v>7</v>
      </c>
      <c r="AI1588" t="n">
        <v>10</v>
      </c>
      <c r="AJ1588" t="n">
        <v>19</v>
      </c>
      <c r="AK1588" t="n">
        <v>23</v>
      </c>
      <c r="AL1588" t="n">
        <v>11</v>
      </c>
      <c r="AM1588" t="n">
        <v>14</v>
      </c>
      <c r="AN1588" t="n">
        <v>1</v>
      </c>
      <c r="AO1588" t="n">
        <v>1</v>
      </c>
      <c r="AP1588" t="inlineStr">
        <is>
          <t>No</t>
        </is>
      </c>
      <c r="AQ1588" t="inlineStr">
        <is>
          <t>No</t>
        </is>
      </c>
      <c r="AS1588">
        <f>HYPERLINK("https://creighton-primo.hosted.exlibrisgroup.com/primo-explore/search?tab=default_tab&amp;search_scope=EVERYTHING&amp;vid=01CRU&amp;lang=en_US&amp;offset=0&amp;query=any,contains,991004720559702656","Catalog Record")</f>
        <v/>
      </c>
      <c r="AT1588">
        <f>HYPERLINK("http://www.worldcat.org/oclc/4804279","WorldCat Record")</f>
        <v/>
      </c>
      <c r="AU1588" t="inlineStr">
        <is>
          <t>507176704:eng</t>
        </is>
      </c>
      <c r="AV1588" t="inlineStr">
        <is>
          <t>4804279</t>
        </is>
      </c>
      <c r="AW1588" t="inlineStr">
        <is>
          <t>991004720559702656</t>
        </is>
      </c>
      <c r="AX1588" t="inlineStr">
        <is>
          <t>991004720559702656</t>
        </is>
      </c>
      <c r="AY1588" t="inlineStr">
        <is>
          <t>2270351110002656</t>
        </is>
      </c>
      <c r="AZ1588" t="inlineStr">
        <is>
          <t>BOOK</t>
        </is>
      </c>
      <c r="BB1588" t="inlineStr">
        <is>
          <t>9780393012521</t>
        </is>
      </c>
      <c r="BC1588" t="inlineStr">
        <is>
          <t>32285002023736</t>
        </is>
      </c>
      <c r="BD1588" t="inlineStr">
        <is>
          <t>893901676</t>
        </is>
      </c>
    </row>
    <row r="1589">
      <c r="A1589" t="inlineStr">
        <is>
          <t>No</t>
        </is>
      </c>
      <c r="B1589" t="inlineStr">
        <is>
          <t>RC925.5 .E39 1995</t>
        </is>
      </c>
      <c r="C1589" t="inlineStr">
        <is>
          <t>0                      RC 0925500E  39          1995</t>
        </is>
      </c>
      <c r="D1589" t="inlineStr">
        <is>
          <t>Musculoskeletal disorders : common problems / Barbara M. Edwardson.</t>
        </is>
      </c>
      <c r="F1589" t="inlineStr">
        <is>
          <t>No</t>
        </is>
      </c>
      <c r="G1589" t="inlineStr">
        <is>
          <t>1</t>
        </is>
      </c>
      <c r="H1589" t="inlineStr">
        <is>
          <t>Yes</t>
        </is>
      </c>
      <c r="I1589" t="inlineStr">
        <is>
          <t>No</t>
        </is>
      </c>
      <c r="J1589" t="inlineStr">
        <is>
          <t>0</t>
        </is>
      </c>
      <c r="K1589" t="inlineStr">
        <is>
          <t>Edwardson, Barbara M., 1929-</t>
        </is>
      </c>
      <c r="L1589" t="inlineStr">
        <is>
          <t>San Diego, Calif. : Singular Pub. Group, c1995.</t>
        </is>
      </c>
      <c r="M1589" t="inlineStr">
        <is>
          <t>1994</t>
        </is>
      </c>
      <c r="O1589" t="inlineStr">
        <is>
          <t>eng</t>
        </is>
      </c>
      <c r="P1589" t="inlineStr">
        <is>
          <t>cau</t>
        </is>
      </c>
      <c r="R1589" t="inlineStr">
        <is>
          <t xml:space="preserve">RC </t>
        </is>
      </c>
      <c r="S1589" t="n">
        <v>1</v>
      </c>
      <c r="T1589" t="n">
        <v>25</v>
      </c>
      <c r="U1589" t="inlineStr">
        <is>
          <t>2002-02-11</t>
        </is>
      </c>
      <c r="V1589" t="inlineStr">
        <is>
          <t>2002-02-11</t>
        </is>
      </c>
      <c r="W1589" t="inlineStr">
        <is>
          <t>1996-03-26</t>
        </is>
      </c>
      <c r="X1589" t="inlineStr">
        <is>
          <t>1996-03-26</t>
        </is>
      </c>
      <c r="Y1589" t="n">
        <v>224</v>
      </c>
      <c r="Z1589" t="n">
        <v>200</v>
      </c>
      <c r="AA1589" t="n">
        <v>214</v>
      </c>
      <c r="AB1589" t="n">
        <v>3</v>
      </c>
      <c r="AC1589" t="n">
        <v>3</v>
      </c>
      <c r="AD1589" t="n">
        <v>6</v>
      </c>
      <c r="AE1589" t="n">
        <v>7</v>
      </c>
      <c r="AF1589" t="n">
        <v>3</v>
      </c>
      <c r="AG1589" t="n">
        <v>4</v>
      </c>
      <c r="AH1589" t="n">
        <v>1</v>
      </c>
      <c r="AI1589" t="n">
        <v>2</v>
      </c>
      <c r="AJ1589" t="n">
        <v>3</v>
      </c>
      <c r="AK1589" t="n">
        <v>3</v>
      </c>
      <c r="AL1589" t="n">
        <v>1</v>
      </c>
      <c r="AM1589" t="n">
        <v>1</v>
      </c>
      <c r="AN1589" t="n">
        <v>0</v>
      </c>
      <c r="AO1589" t="n">
        <v>0</v>
      </c>
      <c r="AP1589" t="inlineStr">
        <is>
          <t>No</t>
        </is>
      </c>
      <c r="AQ1589" t="inlineStr">
        <is>
          <t>Yes</t>
        </is>
      </c>
      <c r="AR1589">
        <f>HYPERLINK("http://catalog.hathitrust.org/Record/002960553","HathiTrust Record")</f>
        <v/>
      </c>
      <c r="AS1589">
        <f>HYPERLINK("https://creighton-primo.hosted.exlibrisgroup.com/primo-explore/search?tab=default_tab&amp;search_scope=EVERYTHING&amp;vid=01CRU&amp;lang=en_US&amp;offset=0&amp;query=any,contains,991001803669702656","Catalog Record")</f>
        <v/>
      </c>
      <c r="AT1589">
        <f>HYPERLINK("http://www.worldcat.org/oclc/30914590","WorldCat Record")</f>
        <v/>
      </c>
      <c r="AU1589" t="inlineStr">
        <is>
          <t>32798414:eng</t>
        </is>
      </c>
      <c r="AV1589" t="inlineStr">
        <is>
          <t>30914590</t>
        </is>
      </c>
      <c r="AW1589" t="inlineStr">
        <is>
          <t>991001803669702656</t>
        </is>
      </c>
      <c r="AX1589" t="inlineStr">
        <is>
          <t>991001803669702656</t>
        </is>
      </c>
      <c r="AY1589" t="inlineStr">
        <is>
          <t>2272398810002656</t>
        </is>
      </c>
      <c r="AZ1589" t="inlineStr">
        <is>
          <t>BOOK</t>
        </is>
      </c>
      <c r="BB1589" t="inlineStr">
        <is>
          <t>9781565931701</t>
        </is>
      </c>
      <c r="BC1589" t="inlineStr">
        <is>
          <t>32285002147048</t>
        </is>
      </c>
      <c r="BD1589" t="inlineStr">
        <is>
          <t>893797842</t>
        </is>
      </c>
    </row>
    <row r="1590">
      <c r="A1590" t="inlineStr">
        <is>
          <t>No</t>
        </is>
      </c>
      <c r="B1590" t="inlineStr">
        <is>
          <t>RC925.7 .D36 1986</t>
        </is>
      </c>
      <c r="C1590" t="inlineStr">
        <is>
          <t>0                      RC 0925700D  36          1986</t>
        </is>
      </c>
      <c r="D1590" t="inlineStr">
        <is>
          <t>Muscle testing : techniques of manual examination / Lucille Daniels, Catherine Worthingham.</t>
        </is>
      </c>
      <c r="F1590" t="inlineStr">
        <is>
          <t>No</t>
        </is>
      </c>
      <c r="G1590" t="inlineStr">
        <is>
          <t>1</t>
        </is>
      </c>
      <c r="H1590" t="inlineStr">
        <is>
          <t>Yes</t>
        </is>
      </c>
      <c r="I1590" t="inlineStr">
        <is>
          <t>Yes</t>
        </is>
      </c>
      <c r="J1590" t="inlineStr">
        <is>
          <t>0</t>
        </is>
      </c>
      <c r="K1590" t="inlineStr">
        <is>
          <t>Daniels, Lucille.</t>
        </is>
      </c>
      <c r="L1590" t="inlineStr">
        <is>
          <t>Philadelphia : Saunders, 1986.</t>
        </is>
      </c>
      <c r="M1590" t="inlineStr">
        <is>
          <t>1986</t>
        </is>
      </c>
      <c r="N1590" t="inlineStr">
        <is>
          <t>5th ed.</t>
        </is>
      </c>
      <c r="O1590" t="inlineStr">
        <is>
          <t>eng</t>
        </is>
      </c>
      <c r="P1590" t="inlineStr">
        <is>
          <t>pau</t>
        </is>
      </c>
      <c r="R1590" t="inlineStr">
        <is>
          <t xml:space="preserve">RC </t>
        </is>
      </c>
      <c r="S1590" t="n">
        <v>4</v>
      </c>
      <c r="T1590" t="n">
        <v>4</v>
      </c>
      <c r="U1590" t="inlineStr">
        <is>
          <t>2003-04-27</t>
        </is>
      </c>
      <c r="V1590" t="inlineStr">
        <is>
          <t>2003-04-27</t>
        </is>
      </c>
      <c r="W1590" t="inlineStr">
        <is>
          <t>1993-03-24</t>
        </is>
      </c>
      <c r="X1590" t="inlineStr">
        <is>
          <t>1993-03-24</t>
        </is>
      </c>
      <c r="Y1590" t="n">
        <v>304</v>
      </c>
      <c r="Z1590" t="n">
        <v>236</v>
      </c>
      <c r="AA1590" t="n">
        <v>536</v>
      </c>
      <c r="AB1590" t="n">
        <v>3</v>
      </c>
      <c r="AC1590" t="n">
        <v>7</v>
      </c>
      <c r="AD1590" t="n">
        <v>6</v>
      </c>
      <c r="AE1590" t="n">
        <v>18</v>
      </c>
      <c r="AF1590" t="n">
        <v>4</v>
      </c>
      <c r="AG1590" t="n">
        <v>9</v>
      </c>
      <c r="AH1590" t="n">
        <v>1</v>
      </c>
      <c r="AI1590" t="n">
        <v>4</v>
      </c>
      <c r="AJ1590" t="n">
        <v>2</v>
      </c>
      <c r="AK1590" t="n">
        <v>5</v>
      </c>
      <c r="AL1590" t="n">
        <v>1</v>
      </c>
      <c r="AM1590" t="n">
        <v>4</v>
      </c>
      <c r="AN1590" t="n">
        <v>0</v>
      </c>
      <c r="AO1590" t="n">
        <v>0</v>
      </c>
      <c r="AP1590" t="inlineStr">
        <is>
          <t>No</t>
        </is>
      </c>
      <c r="AQ1590" t="inlineStr">
        <is>
          <t>Yes</t>
        </is>
      </c>
      <c r="AR1590">
        <f>HYPERLINK("http://catalog.hathitrust.org/Record/000830097","HathiTrust Record")</f>
        <v/>
      </c>
      <c r="AS1590">
        <f>HYPERLINK("https://creighton-primo.hosted.exlibrisgroup.com/primo-explore/search?tab=default_tab&amp;search_scope=EVERYTHING&amp;vid=01CRU&amp;lang=en_US&amp;offset=0&amp;query=any,contains,991000710939702656","Catalog Record")</f>
        <v/>
      </c>
      <c r="AT1590">
        <f>HYPERLINK("http://www.worldcat.org/oclc/12583105","WorldCat Record")</f>
        <v/>
      </c>
      <c r="AU1590" t="inlineStr">
        <is>
          <t>3755593713:eng</t>
        </is>
      </c>
      <c r="AV1590" t="inlineStr">
        <is>
          <t>12583105</t>
        </is>
      </c>
      <c r="AW1590" t="inlineStr">
        <is>
          <t>991000710939702656</t>
        </is>
      </c>
      <c r="AX1590" t="inlineStr">
        <is>
          <t>991000710939702656</t>
        </is>
      </c>
      <c r="AY1590" t="inlineStr">
        <is>
          <t>2272412390002656</t>
        </is>
      </c>
      <c r="AZ1590" t="inlineStr">
        <is>
          <t>BOOK</t>
        </is>
      </c>
      <c r="BB1590" t="inlineStr">
        <is>
          <t>9780721618548</t>
        </is>
      </c>
      <c r="BC1590" t="inlineStr">
        <is>
          <t>32285001608073</t>
        </is>
      </c>
      <c r="BD1590" t="inlineStr">
        <is>
          <t>893771903</t>
        </is>
      </c>
    </row>
    <row r="1591">
      <c r="A1591" t="inlineStr">
        <is>
          <t>No</t>
        </is>
      </c>
      <c r="B1591" t="inlineStr">
        <is>
          <t>RC930 .B43</t>
        </is>
      </c>
      <c r="C1591" t="inlineStr">
        <is>
          <t>0                      RC 0930000B  43</t>
        </is>
      </c>
      <c r="D1591" t="inlineStr">
        <is>
          <t>Inherited disorders of the skeleton / Peter Beighton.</t>
        </is>
      </c>
      <c r="F1591" t="inlineStr">
        <is>
          <t>No</t>
        </is>
      </c>
      <c r="G1591" t="inlineStr">
        <is>
          <t>1</t>
        </is>
      </c>
      <c r="H1591" t="inlineStr">
        <is>
          <t>No</t>
        </is>
      </c>
      <c r="I1591" t="inlineStr">
        <is>
          <t>No</t>
        </is>
      </c>
      <c r="J1591" t="inlineStr">
        <is>
          <t>0</t>
        </is>
      </c>
      <c r="K1591" t="inlineStr">
        <is>
          <t>Beighton, Peter.</t>
        </is>
      </c>
      <c r="L1591" t="inlineStr">
        <is>
          <t>Edinburgh : Churchill Livingstone, 1978.</t>
        </is>
      </c>
      <c r="M1591" t="inlineStr">
        <is>
          <t>1978</t>
        </is>
      </c>
      <c r="N1591" t="inlineStr">
        <is>
          <t>1st ed.</t>
        </is>
      </c>
      <c r="O1591" t="inlineStr">
        <is>
          <t>eng</t>
        </is>
      </c>
      <c r="P1591" t="inlineStr">
        <is>
          <t>stk</t>
        </is>
      </c>
      <c r="R1591" t="inlineStr">
        <is>
          <t xml:space="preserve">RC </t>
        </is>
      </c>
      <c r="S1591" t="n">
        <v>2</v>
      </c>
      <c r="T1591" t="n">
        <v>2</v>
      </c>
      <c r="U1591" t="inlineStr">
        <is>
          <t>2002-04-09</t>
        </is>
      </c>
      <c r="V1591" t="inlineStr">
        <is>
          <t>2002-04-09</t>
        </is>
      </c>
      <c r="W1591" t="inlineStr">
        <is>
          <t>1993-03-24</t>
        </is>
      </c>
      <c r="X1591" t="inlineStr">
        <is>
          <t>1993-03-24</t>
        </is>
      </c>
      <c r="Y1591" t="n">
        <v>161</v>
      </c>
      <c r="Z1591" t="n">
        <v>94</v>
      </c>
      <c r="AA1591" t="n">
        <v>125</v>
      </c>
      <c r="AB1591" t="n">
        <v>1</v>
      </c>
      <c r="AC1591" t="n">
        <v>2</v>
      </c>
      <c r="AD1591" t="n">
        <v>0</v>
      </c>
      <c r="AE1591" t="n">
        <v>1</v>
      </c>
      <c r="AF1591" t="n">
        <v>0</v>
      </c>
      <c r="AG1591" t="n">
        <v>0</v>
      </c>
      <c r="AH1591" t="n">
        <v>0</v>
      </c>
      <c r="AI1591" t="n">
        <v>1</v>
      </c>
      <c r="AJ1591" t="n">
        <v>0</v>
      </c>
      <c r="AK1591" t="n">
        <v>1</v>
      </c>
      <c r="AL1591" t="n">
        <v>0</v>
      </c>
      <c r="AM1591" t="n">
        <v>0</v>
      </c>
      <c r="AN1591" t="n">
        <v>0</v>
      </c>
      <c r="AO1591" t="n">
        <v>0</v>
      </c>
      <c r="AP1591" t="inlineStr">
        <is>
          <t>No</t>
        </is>
      </c>
      <c r="AQ1591" t="inlineStr">
        <is>
          <t>Yes</t>
        </is>
      </c>
      <c r="AR1591">
        <f>HYPERLINK("http://catalog.hathitrust.org/Record/000752835","HathiTrust Record")</f>
        <v/>
      </c>
      <c r="AS1591">
        <f>HYPERLINK("https://creighton-primo.hosted.exlibrisgroup.com/primo-explore/search?tab=default_tab&amp;search_scope=EVERYTHING&amp;vid=01CRU&amp;lang=en_US&amp;offset=0&amp;query=any,contains,991004437219702656","Catalog Record")</f>
        <v/>
      </c>
      <c r="AT1591">
        <f>HYPERLINK("http://www.worldcat.org/oclc/3447138","WorldCat Record")</f>
        <v/>
      </c>
      <c r="AU1591" t="inlineStr">
        <is>
          <t>10829972:eng</t>
        </is>
      </c>
      <c r="AV1591" t="inlineStr">
        <is>
          <t>3447138</t>
        </is>
      </c>
      <c r="AW1591" t="inlineStr">
        <is>
          <t>991004437219702656</t>
        </is>
      </c>
      <c r="AX1591" t="inlineStr">
        <is>
          <t>991004437219702656</t>
        </is>
      </c>
      <c r="AY1591" t="inlineStr">
        <is>
          <t>2268682760002656</t>
        </is>
      </c>
      <c r="AZ1591" t="inlineStr">
        <is>
          <t>BOOK</t>
        </is>
      </c>
      <c r="BB1591" t="inlineStr">
        <is>
          <t>9780443017247</t>
        </is>
      </c>
      <c r="BC1591" t="inlineStr">
        <is>
          <t>32285001608081</t>
        </is>
      </c>
      <c r="BD1591" t="inlineStr">
        <is>
          <t>893331585</t>
        </is>
      </c>
    </row>
    <row r="1592">
      <c r="A1592" t="inlineStr">
        <is>
          <t>No</t>
        </is>
      </c>
      <c r="B1592" t="inlineStr">
        <is>
          <t>RC931.O73 A43 1989</t>
        </is>
      </c>
      <c r="C1592" t="inlineStr">
        <is>
          <t>0                      RC 0931000O  73                 A  43          1989</t>
        </is>
      </c>
      <c r="D1592" t="inlineStr">
        <is>
          <t>Osteoporosis : a guide to prevention &amp; treatment / John F. Aloia.</t>
        </is>
      </c>
      <c r="F1592" t="inlineStr">
        <is>
          <t>No</t>
        </is>
      </c>
      <c r="G1592" t="inlineStr">
        <is>
          <t>1</t>
        </is>
      </c>
      <c r="H1592" t="inlineStr">
        <is>
          <t>No</t>
        </is>
      </c>
      <c r="I1592" t="inlineStr">
        <is>
          <t>No</t>
        </is>
      </c>
      <c r="J1592" t="inlineStr">
        <is>
          <t>0</t>
        </is>
      </c>
      <c r="K1592" t="inlineStr">
        <is>
          <t>Aloia, John F.</t>
        </is>
      </c>
      <c r="L1592" t="inlineStr">
        <is>
          <t>Champaign, IL : Leisure Press, c1989.</t>
        </is>
      </c>
      <c r="M1592" t="inlineStr">
        <is>
          <t>1989</t>
        </is>
      </c>
      <c r="O1592" t="inlineStr">
        <is>
          <t>eng</t>
        </is>
      </c>
      <c r="P1592" t="inlineStr">
        <is>
          <t>ilu</t>
        </is>
      </c>
      <c r="R1592" t="inlineStr">
        <is>
          <t xml:space="preserve">RC </t>
        </is>
      </c>
      <c r="S1592" t="n">
        <v>10</v>
      </c>
      <c r="T1592" t="n">
        <v>10</v>
      </c>
      <c r="U1592" t="inlineStr">
        <is>
          <t>2002-04-09</t>
        </is>
      </c>
      <c r="V1592" t="inlineStr">
        <is>
          <t>2002-04-09</t>
        </is>
      </c>
      <c r="W1592" t="inlineStr">
        <is>
          <t>1990-06-13</t>
        </is>
      </c>
      <c r="X1592" t="inlineStr">
        <is>
          <t>1990-06-13</t>
        </is>
      </c>
      <c r="Y1592" t="n">
        <v>349</v>
      </c>
      <c r="Z1592" t="n">
        <v>270</v>
      </c>
      <c r="AA1592" t="n">
        <v>277</v>
      </c>
      <c r="AB1592" t="n">
        <v>6</v>
      </c>
      <c r="AC1592" t="n">
        <v>6</v>
      </c>
      <c r="AD1592" t="n">
        <v>5</v>
      </c>
      <c r="AE1592" t="n">
        <v>5</v>
      </c>
      <c r="AF1592" t="n">
        <v>1</v>
      </c>
      <c r="AG1592" t="n">
        <v>1</v>
      </c>
      <c r="AH1592" t="n">
        <v>0</v>
      </c>
      <c r="AI1592" t="n">
        <v>0</v>
      </c>
      <c r="AJ1592" t="n">
        <v>0</v>
      </c>
      <c r="AK1592" t="n">
        <v>0</v>
      </c>
      <c r="AL1592" t="n">
        <v>4</v>
      </c>
      <c r="AM1592" t="n">
        <v>4</v>
      </c>
      <c r="AN1592" t="n">
        <v>0</v>
      </c>
      <c r="AO1592" t="n">
        <v>0</v>
      </c>
      <c r="AP1592" t="inlineStr">
        <is>
          <t>No</t>
        </is>
      </c>
      <c r="AQ1592" t="inlineStr">
        <is>
          <t>Yes</t>
        </is>
      </c>
      <c r="AR1592">
        <f>HYPERLINK("http://catalog.hathitrust.org/Record/004440769","HathiTrust Record")</f>
        <v/>
      </c>
      <c r="AS1592">
        <f>HYPERLINK("https://creighton-primo.hosted.exlibrisgroup.com/primo-explore/search?tab=default_tab&amp;search_scope=EVERYTHING&amp;vid=01CRU&amp;lang=en_US&amp;offset=0&amp;query=any,contains,991001406399702656","Catalog Record")</f>
        <v/>
      </c>
      <c r="AT1592">
        <f>HYPERLINK("http://www.worldcat.org/oclc/18837342","WorldCat Record")</f>
        <v/>
      </c>
      <c r="AU1592" t="inlineStr">
        <is>
          <t>196545930:eng</t>
        </is>
      </c>
      <c r="AV1592" t="inlineStr">
        <is>
          <t>18837342</t>
        </is>
      </c>
      <c r="AW1592" t="inlineStr">
        <is>
          <t>991001406399702656</t>
        </is>
      </c>
      <c r="AX1592" t="inlineStr">
        <is>
          <t>991001406399702656</t>
        </is>
      </c>
      <c r="AY1592" t="inlineStr">
        <is>
          <t>2254795600002656</t>
        </is>
      </c>
      <c r="AZ1592" t="inlineStr">
        <is>
          <t>BOOK</t>
        </is>
      </c>
      <c r="BB1592" t="inlineStr">
        <is>
          <t>9780880113540</t>
        </is>
      </c>
      <c r="BC1592" t="inlineStr">
        <is>
          <t>32285000191642</t>
        </is>
      </c>
      <c r="BD1592" t="inlineStr">
        <is>
          <t>893696725</t>
        </is>
      </c>
    </row>
    <row r="1593">
      <c r="A1593" t="inlineStr">
        <is>
          <t>No</t>
        </is>
      </c>
      <c r="B1593" t="inlineStr">
        <is>
          <t>RC931.O73 H43 1988</t>
        </is>
      </c>
      <c r="C1593" t="inlineStr">
        <is>
          <t>0                      RC 0931000O  73                 H  43          1988</t>
        </is>
      </c>
      <c r="D1593" t="inlineStr">
        <is>
          <t>Calcium and common sense / Robert P. Heaney and M. Janet Barger-Lux.</t>
        </is>
      </c>
      <c r="F1593" t="inlineStr">
        <is>
          <t>No</t>
        </is>
      </c>
      <c r="G1593" t="inlineStr">
        <is>
          <t>1</t>
        </is>
      </c>
      <c r="H1593" t="inlineStr">
        <is>
          <t>Yes</t>
        </is>
      </c>
      <c r="I1593" t="inlineStr">
        <is>
          <t>No</t>
        </is>
      </c>
      <c r="J1593" t="inlineStr">
        <is>
          <t>0</t>
        </is>
      </c>
      <c r="K1593" t="inlineStr">
        <is>
          <t>Heaney, Robert P. (Robert Proulx), 1927-2016.</t>
        </is>
      </c>
      <c r="L1593" t="inlineStr">
        <is>
          <t>Garden City, N.Y. : Doubleday, c1988.</t>
        </is>
      </c>
      <c r="M1593" t="inlineStr">
        <is>
          <t>1988</t>
        </is>
      </c>
      <c r="N1593" t="inlineStr">
        <is>
          <t>1st ed.</t>
        </is>
      </c>
      <c r="O1593" t="inlineStr">
        <is>
          <t>eng</t>
        </is>
      </c>
      <c r="P1593" t="inlineStr">
        <is>
          <t>nyu</t>
        </is>
      </c>
      <c r="R1593" t="inlineStr">
        <is>
          <t xml:space="preserve">RC </t>
        </is>
      </c>
      <c r="S1593" t="n">
        <v>18</v>
      </c>
      <c r="T1593" t="n">
        <v>44</v>
      </c>
      <c r="U1593" t="inlineStr">
        <is>
          <t>2002-04-09</t>
        </is>
      </c>
      <c r="V1593" t="inlineStr">
        <is>
          <t>2002-04-09</t>
        </is>
      </c>
      <c r="W1593" t="inlineStr">
        <is>
          <t>1992-03-09</t>
        </is>
      </c>
      <c r="X1593" t="inlineStr">
        <is>
          <t>1992-03-09</t>
        </is>
      </c>
      <c r="Y1593" t="n">
        <v>392</v>
      </c>
      <c r="Z1593" t="n">
        <v>373</v>
      </c>
      <c r="AA1593" t="n">
        <v>375</v>
      </c>
      <c r="AB1593" t="n">
        <v>4</v>
      </c>
      <c r="AC1593" t="n">
        <v>4</v>
      </c>
      <c r="AD1593" t="n">
        <v>2</v>
      </c>
      <c r="AE1593" t="n">
        <v>2</v>
      </c>
      <c r="AF1593" t="n">
        <v>0</v>
      </c>
      <c r="AG1593" t="n">
        <v>0</v>
      </c>
      <c r="AH1593" t="n">
        <v>0</v>
      </c>
      <c r="AI1593" t="n">
        <v>0</v>
      </c>
      <c r="AJ1593" t="n">
        <v>1</v>
      </c>
      <c r="AK1593" t="n">
        <v>1</v>
      </c>
      <c r="AL1593" t="n">
        <v>1</v>
      </c>
      <c r="AM1593" t="n">
        <v>1</v>
      </c>
      <c r="AN1593" t="n">
        <v>0</v>
      </c>
      <c r="AO1593" t="n">
        <v>0</v>
      </c>
      <c r="AP1593" t="inlineStr">
        <is>
          <t>No</t>
        </is>
      </c>
      <c r="AQ1593" t="inlineStr">
        <is>
          <t>Yes</t>
        </is>
      </c>
      <c r="AR1593">
        <f>HYPERLINK("http://catalog.hathitrust.org/Record/004486690","HathiTrust Record")</f>
        <v/>
      </c>
      <c r="AS1593">
        <f>HYPERLINK("https://creighton-primo.hosted.exlibrisgroup.com/primo-explore/search?tab=default_tab&amp;search_scope=EVERYTHING&amp;vid=01CRU&amp;lang=en_US&amp;offset=0&amp;query=any,contains,991001789569702656","Catalog Record")</f>
        <v/>
      </c>
      <c r="AT1593">
        <f>HYPERLINK("http://www.worldcat.org/oclc/16404879","WorldCat Record")</f>
        <v/>
      </c>
      <c r="AU1593" t="inlineStr">
        <is>
          <t>11944005:eng</t>
        </is>
      </c>
      <c r="AV1593" t="inlineStr">
        <is>
          <t>16404879</t>
        </is>
      </c>
      <c r="AW1593" t="inlineStr">
        <is>
          <t>991001789569702656</t>
        </is>
      </c>
      <c r="AX1593" t="inlineStr">
        <is>
          <t>991001789569702656</t>
        </is>
      </c>
      <c r="AY1593" t="inlineStr">
        <is>
          <t>2263142080002656</t>
        </is>
      </c>
      <c r="AZ1593" t="inlineStr">
        <is>
          <t>BOOK</t>
        </is>
      </c>
      <c r="BB1593" t="inlineStr">
        <is>
          <t>9780385242196</t>
        </is>
      </c>
      <c r="BC1593" t="inlineStr">
        <is>
          <t>32285000993740</t>
        </is>
      </c>
      <c r="BD1593" t="inlineStr">
        <is>
          <t>893779083</t>
        </is>
      </c>
    </row>
    <row r="1594">
      <c r="A1594" t="inlineStr">
        <is>
          <t>No</t>
        </is>
      </c>
      <c r="B1594" t="inlineStr">
        <is>
          <t>RC952 .A673 1981</t>
        </is>
      </c>
      <c r="C1594" t="inlineStr">
        <is>
          <t>0                      RC 0952000A  673         1981</t>
        </is>
      </c>
      <c r="D1594" t="inlineStr">
        <is>
          <t>Essentials of geriatric medicine / George F. Adams.</t>
        </is>
      </c>
      <c r="F1594" t="inlineStr">
        <is>
          <t>No</t>
        </is>
      </c>
      <c r="G1594" t="inlineStr">
        <is>
          <t>1</t>
        </is>
      </c>
      <c r="H1594" t="inlineStr">
        <is>
          <t>Yes</t>
        </is>
      </c>
      <c r="I1594" t="inlineStr">
        <is>
          <t>No</t>
        </is>
      </c>
      <c r="J1594" t="inlineStr">
        <is>
          <t>0</t>
        </is>
      </c>
      <c r="K1594" t="inlineStr">
        <is>
          <t>Adams, G. F. (George Fowler), 1916-</t>
        </is>
      </c>
      <c r="L1594" t="inlineStr">
        <is>
          <t>Oxford [Eng.] ; New York : Oxford University Press, 1981.</t>
        </is>
      </c>
      <c r="M1594" t="inlineStr">
        <is>
          <t>1981</t>
        </is>
      </c>
      <c r="N1594" t="inlineStr">
        <is>
          <t>2nd ed.</t>
        </is>
      </c>
      <c r="O1594" t="inlineStr">
        <is>
          <t>eng</t>
        </is>
      </c>
      <c r="P1594" t="inlineStr">
        <is>
          <t>enk</t>
        </is>
      </c>
      <c r="Q1594" t="inlineStr">
        <is>
          <t>Oxford medical publications</t>
        </is>
      </c>
      <c r="R1594" t="inlineStr">
        <is>
          <t xml:space="preserve">RC </t>
        </is>
      </c>
      <c r="S1594" t="n">
        <v>2</v>
      </c>
      <c r="T1594" t="n">
        <v>2</v>
      </c>
      <c r="U1594" t="inlineStr">
        <is>
          <t>1997-04-08</t>
        </is>
      </c>
      <c r="V1594" t="inlineStr">
        <is>
          <t>1997-04-08</t>
        </is>
      </c>
      <c r="W1594" t="inlineStr">
        <is>
          <t>1993-03-24</t>
        </is>
      </c>
      <c r="X1594" t="inlineStr">
        <is>
          <t>1993-03-24</t>
        </is>
      </c>
      <c r="Y1594" t="n">
        <v>143</v>
      </c>
      <c r="Z1594" t="n">
        <v>86</v>
      </c>
      <c r="AA1594" t="n">
        <v>165</v>
      </c>
      <c r="AB1594" t="n">
        <v>3</v>
      </c>
      <c r="AC1594" t="n">
        <v>4</v>
      </c>
      <c r="AD1594" t="n">
        <v>3</v>
      </c>
      <c r="AE1594" t="n">
        <v>9</v>
      </c>
      <c r="AF1594" t="n">
        <v>1</v>
      </c>
      <c r="AG1594" t="n">
        <v>3</v>
      </c>
      <c r="AH1594" t="n">
        <v>0</v>
      </c>
      <c r="AI1594" t="n">
        <v>2</v>
      </c>
      <c r="AJ1594" t="n">
        <v>2</v>
      </c>
      <c r="AK1594" t="n">
        <v>4</v>
      </c>
      <c r="AL1594" t="n">
        <v>1</v>
      </c>
      <c r="AM1594" t="n">
        <v>2</v>
      </c>
      <c r="AN1594" t="n">
        <v>0</v>
      </c>
      <c r="AO1594" t="n">
        <v>0</v>
      </c>
      <c r="AP1594" t="inlineStr">
        <is>
          <t>No</t>
        </is>
      </c>
      <c r="AQ1594" t="inlineStr">
        <is>
          <t>Yes</t>
        </is>
      </c>
      <c r="AR1594">
        <f>HYPERLINK("http://catalog.hathitrust.org/Record/000126216","HathiTrust Record")</f>
        <v/>
      </c>
      <c r="AS1594">
        <f>HYPERLINK("https://creighton-primo.hosted.exlibrisgroup.com/primo-explore/search?tab=default_tab&amp;search_scope=EVERYTHING&amp;vid=01CRU&amp;lang=en_US&amp;offset=0&amp;query=any,contains,991005218129702656","Catalog Record")</f>
        <v/>
      </c>
      <c r="AT1594">
        <f>HYPERLINK("http://www.worldcat.org/oclc/8453232","WorldCat Record")</f>
        <v/>
      </c>
      <c r="AU1594" t="inlineStr">
        <is>
          <t>375118862:eng</t>
        </is>
      </c>
      <c r="AV1594" t="inlineStr">
        <is>
          <t>8453232</t>
        </is>
      </c>
      <c r="AW1594" t="inlineStr">
        <is>
          <t>991005218129702656</t>
        </is>
      </c>
      <c r="AX1594" t="inlineStr">
        <is>
          <t>991005218129702656</t>
        </is>
      </c>
      <c r="AY1594" t="inlineStr">
        <is>
          <t>2268920240002656</t>
        </is>
      </c>
      <c r="AZ1594" t="inlineStr">
        <is>
          <t>BOOK</t>
        </is>
      </c>
      <c r="BB1594" t="inlineStr">
        <is>
          <t>9780192613523</t>
        </is>
      </c>
      <c r="BC1594" t="inlineStr">
        <is>
          <t>32285001608115</t>
        </is>
      </c>
      <c r="BD1594" t="inlineStr">
        <is>
          <t>893889879</t>
        </is>
      </c>
    </row>
    <row r="1595">
      <c r="A1595" t="inlineStr">
        <is>
          <t>No</t>
        </is>
      </c>
      <c r="B1595" t="inlineStr">
        <is>
          <t>RC952 .E46</t>
        </is>
      </c>
      <c r="C1595" t="inlineStr">
        <is>
          <t>0                      RC 0952000E  46</t>
        </is>
      </c>
      <c r="D1595" t="inlineStr">
        <is>
          <t>Eldercare, a practical guide to clinical geriatrics / editors, Mary O'Hara-Devereaux, Len Hughes Andrus, Cynthia D. Scott ; technical editor, Mary I. Gary.</t>
        </is>
      </c>
      <c r="F1595" t="inlineStr">
        <is>
          <t>No</t>
        </is>
      </c>
      <c r="G1595" t="inlineStr">
        <is>
          <t>1</t>
        </is>
      </c>
      <c r="H1595" t="inlineStr">
        <is>
          <t>Yes</t>
        </is>
      </c>
      <c r="I1595" t="inlineStr">
        <is>
          <t>No</t>
        </is>
      </c>
      <c r="J1595" t="inlineStr">
        <is>
          <t>0</t>
        </is>
      </c>
      <c r="L1595" t="inlineStr">
        <is>
          <t>New York : Grune &amp; Stratton, c1981.</t>
        </is>
      </c>
      <c r="M1595" t="inlineStr">
        <is>
          <t>1981</t>
        </is>
      </c>
      <c r="O1595" t="inlineStr">
        <is>
          <t>eng</t>
        </is>
      </c>
      <c r="P1595" t="inlineStr">
        <is>
          <t>nyu</t>
        </is>
      </c>
      <c r="R1595" t="inlineStr">
        <is>
          <t xml:space="preserve">RC </t>
        </is>
      </c>
      <c r="S1595" t="n">
        <v>8</v>
      </c>
      <c r="T1595" t="n">
        <v>8</v>
      </c>
      <c r="U1595" t="inlineStr">
        <is>
          <t>1999-11-23</t>
        </is>
      </c>
      <c r="V1595" t="inlineStr">
        <is>
          <t>1999-11-23</t>
        </is>
      </c>
      <c r="W1595" t="inlineStr">
        <is>
          <t>1991-12-12</t>
        </is>
      </c>
      <c r="X1595" t="inlineStr">
        <is>
          <t>1991-12-12</t>
        </is>
      </c>
      <c r="Y1595" t="n">
        <v>234</v>
      </c>
      <c r="Z1595" t="n">
        <v>193</v>
      </c>
      <c r="AA1595" t="n">
        <v>200</v>
      </c>
      <c r="AB1595" t="n">
        <v>3</v>
      </c>
      <c r="AC1595" t="n">
        <v>3</v>
      </c>
      <c r="AD1595" t="n">
        <v>2</v>
      </c>
      <c r="AE1595" t="n">
        <v>2</v>
      </c>
      <c r="AF1595" t="n">
        <v>0</v>
      </c>
      <c r="AG1595" t="n">
        <v>0</v>
      </c>
      <c r="AH1595" t="n">
        <v>1</v>
      </c>
      <c r="AI1595" t="n">
        <v>1</v>
      </c>
      <c r="AJ1595" t="n">
        <v>0</v>
      </c>
      <c r="AK1595" t="n">
        <v>0</v>
      </c>
      <c r="AL1595" t="n">
        <v>1</v>
      </c>
      <c r="AM1595" t="n">
        <v>1</v>
      </c>
      <c r="AN1595" t="n">
        <v>0</v>
      </c>
      <c r="AO1595" t="n">
        <v>0</v>
      </c>
      <c r="AP1595" t="inlineStr">
        <is>
          <t>No</t>
        </is>
      </c>
      <c r="AQ1595" t="inlineStr">
        <is>
          <t>Yes</t>
        </is>
      </c>
      <c r="AR1595">
        <f>HYPERLINK("http://catalog.hathitrust.org/Record/000184907","HathiTrust Record")</f>
        <v/>
      </c>
      <c r="AS1595">
        <f>HYPERLINK("https://creighton-primo.hosted.exlibrisgroup.com/primo-explore/search?tab=default_tab&amp;search_scope=EVERYTHING&amp;vid=01CRU&amp;lang=en_US&amp;offset=0&amp;query=any,contains,991005084569702656","Catalog Record")</f>
        <v/>
      </c>
      <c r="AT1595">
        <f>HYPERLINK("http://www.worldcat.org/oclc/7179451","WorldCat Record")</f>
        <v/>
      </c>
      <c r="AU1595" t="inlineStr">
        <is>
          <t>465740:eng</t>
        </is>
      </c>
      <c r="AV1595" t="inlineStr">
        <is>
          <t>7179451</t>
        </is>
      </c>
      <c r="AW1595" t="inlineStr">
        <is>
          <t>991005084569702656</t>
        </is>
      </c>
      <c r="AX1595" t="inlineStr">
        <is>
          <t>991005084569702656</t>
        </is>
      </c>
      <c r="AY1595" t="inlineStr">
        <is>
          <t>2267201620002656</t>
        </is>
      </c>
      <c r="AZ1595" t="inlineStr">
        <is>
          <t>BOOK</t>
        </is>
      </c>
      <c r="BB1595" t="inlineStr">
        <is>
          <t>9780808912859</t>
        </is>
      </c>
      <c r="BC1595" t="inlineStr">
        <is>
          <t>32285000887462</t>
        </is>
      </c>
      <c r="BD1595" t="inlineStr">
        <is>
          <t>893338480</t>
        </is>
      </c>
    </row>
    <row r="1596">
      <c r="A1596" t="inlineStr">
        <is>
          <t>No</t>
        </is>
      </c>
      <c r="B1596" t="inlineStr">
        <is>
          <t>RC952 .G446 1997</t>
        </is>
      </c>
      <c r="C1596" t="inlineStr">
        <is>
          <t>0                      RC 0952000G  446         1997</t>
        </is>
      </c>
      <c r="D1596" t="inlineStr">
        <is>
          <t>Gerontology for health professionals : a practice guide / edited by Florence Safford, George I. Krell.</t>
        </is>
      </c>
      <c r="F1596" t="inlineStr">
        <is>
          <t>No</t>
        </is>
      </c>
      <c r="G1596" t="inlineStr">
        <is>
          <t>1</t>
        </is>
      </c>
      <c r="H1596" t="inlineStr">
        <is>
          <t>No</t>
        </is>
      </c>
      <c r="I1596" t="inlineStr">
        <is>
          <t>No</t>
        </is>
      </c>
      <c r="J1596" t="inlineStr">
        <is>
          <t>0</t>
        </is>
      </c>
      <c r="L1596" t="inlineStr">
        <is>
          <t>Washington, DC : National Association of Social Workers, c1997.</t>
        </is>
      </c>
      <c r="M1596" t="inlineStr">
        <is>
          <t>1997</t>
        </is>
      </c>
      <c r="N1596" t="inlineStr">
        <is>
          <t>2nd ed.</t>
        </is>
      </c>
      <c r="O1596" t="inlineStr">
        <is>
          <t>eng</t>
        </is>
      </c>
      <c r="P1596" t="inlineStr">
        <is>
          <t>dcu</t>
        </is>
      </c>
      <c r="R1596" t="inlineStr">
        <is>
          <t xml:space="preserve">RC </t>
        </is>
      </c>
      <c r="S1596" t="n">
        <v>3</v>
      </c>
      <c r="T1596" t="n">
        <v>3</v>
      </c>
      <c r="U1596" t="inlineStr">
        <is>
          <t>2002-11-07</t>
        </is>
      </c>
      <c r="V1596" t="inlineStr">
        <is>
          <t>2002-11-07</t>
        </is>
      </c>
      <c r="W1596" t="inlineStr">
        <is>
          <t>2002-09-13</t>
        </is>
      </c>
      <c r="X1596" t="inlineStr">
        <is>
          <t>2002-09-13</t>
        </is>
      </c>
      <c r="Y1596" t="n">
        <v>363</v>
      </c>
      <c r="Z1596" t="n">
        <v>331</v>
      </c>
      <c r="AA1596" t="n">
        <v>472</v>
      </c>
      <c r="AB1596" t="n">
        <v>3</v>
      </c>
      <c r="AC1596" t="n">
        <v>3</v>
      </c>
      <c r="AD1596" t="n">
        <v>15</v>
      </c>
      <c r="AE1596" t="n">
        <v>17</v>
      </c>
      <c r="AF1596" t="n">
        <v>4</v>
      </c>
      <c r="AG1596" t="n">
        <v>4</v>
      </c>
      <c r="AH1596" t="n">
        <v>3</v>
      </c>
      <c r="AI1596" t="n">
        <v>5</v>
      </c>
      <c r="AJ1596" t="n">
        <v>9</v>
      </c>
      <c r="AK1596" t="n">
        <v>10</v>
      </c>
      <c r="AL1596" t="n">
        <v>2</v>
      </c>
      <c r="AM1596" t="n">
        <v>2</v>
      </c>
      <c r="AN1596" t="n">
        <v>0</v>
      </c>
      <c r="AO1596" t="n">
        <v>0</v>
      </c>
      <c r="AP1596" t="inlineStr">
        <is>
          <t>No</t>
        </is>
      </c>
      <c r="AQ1596" t="inlineStr">
        <is>
          <t>Yes</t>
        </is>
      </c>
      <c r="AR1596">
        <f>HYPERLINK("http://catalog.hathitrust.org/Record/003200866","HathiTrust Record")</f>
        <v/>
      </c>
      <c r="AS1596">
        <f>HYPERLINK("https://creighton-primo.hosted.exlibrisgroup.com/primo-explore/search?tab=default_tab&amp;search_scope=EVERYTHING&amp;vid=01CRU&amp;lang=en_US&amp;offset=0&amp;query=any,contains,991003888679702656","Catalog Record")</f>
        <v/>
      </c>
      <c r="AT1596">
        <f>HYPERLINK("http://www.worldcat.org/oclc/37553672","WorldCat Record")</f>
        <v/>
      </c>
      <c r="AU1596" t="inlineStr">
        <is>
          <t>435075068:eng</t>
        </is>
      </c>
      <c r="AV1596" t="inlineStr">
        <is>
          <t>37553672</t>
        </is>
      </c>
      <c r="AW1596" t="inlineStr">
        <is>
          <t>991003888679702656</t>
        </is>
      </c>
      <c r="AX1596" t="inlineStr">
        <is>
          <t>991003888679702656</t>
        </is>
      </c>
      <c r="AY1596" t="inlineStr">
        <is>
          <t>2258773090002656</t>
        </is>
      </c>
      <c r="AZ1596" t="inlineStr">
        <is>
          <t>BOOK</t>
        </is>
      </c>
      <c r="BB1596" t="inlineStr">
        <is>
          <t>9780871012838</t>
        </is>
      </c>
      <c r="BC1596" t="inlineStr">
        <is>
          <t>32285004648746</t>
        </is>
      </c>
      <c r="BD1596" t="inlineStr">
        <is>
          <t>893410833</t>
        </is>
      </c>
    </row>
    <row r="1597">
      <c r="A1597" t="inlineStr">
        <is>
          <t>No</t>
        </is>
      </c>
      <c r="B1597" t="inlineStr">
        <is>
          <t>RC952 .G5</t>
        </is>
      </c>
      <c r="C1597" t="inlineStr">
        <is>
          <t>0                      RC 0952000G  5</t>
        </is>
      </c>
      <c r="D1597" t="inlineStr">
        <is>
          <t>The paraprofessional and the elderly / by Jeanne G. Gilbert.</t>
        </is>
      </c>
      <c r="F1597" t="inlineStr">
        <is>
          <t>No</t>
        </is>
      </c>
      <c r="G1597" t="inlineStr">
        <is>
          <t>1</t>
        </is>
      </c>
      <c r="H1597" t="inlineStr">
        <is>
          <t>No</t>
        </is>
      </c>
      <c r="I1597" t="inlineStr">
        <is>
          <t>No</t>
        </is>
      </c>
      <c r="J1597" t="inlineStr">
        <is>
          <t>0</t>
        </is>
      </c>
      <c r="K1597" t="inlineStr">
        <is>
          <t>Gilbert, Jeanne G. (Jeanne Gifford), 1905-</t>
        </is>
      </c>
      <c r="L1597" t="inlineStr">
        <is>
          <t>Greenvale, N.Y. : Panel Publishers, c1977.</t>
        </is>
      </c>
      <c r="M1597" t="inlineStr">
        <is>
          <t>1977</t>
        </is>
      </c>
      <c r="O1597" t="inlineStr">
        <is>
          <t>eng</t>
        </is>
      </c>
      <c r="P1597" t="inlineStr">
        <is>
          <t>nyu</t>
        </is>
      </c>
      <c r="R1597" t="inlineStr">
        <is>
          <t xml:space="preserve">RC </t>
        </is>
      </c>
      <c r="S1597" t="n">
        <v>1</v>
      </c>
      <c r="T1597" t="n">
        <v>1</v>
      </c>
      <c r="U1597" t="inlineStr">
        <is>
          <t>1994-11-06</t>
        </is>
      </c>
      <c r="V1597" t="inlineStr">
        <is>
          <t>1994-11-06</t>
        </is>
      </c>
      <c r="W1597" t="inlineStr">
        <is>
          <t>1993-03-24</t>
        </is>
      </c>
      <c r="X1597" t="inlineStr">
        <is>
          <t>1993-03-24</t>
        </is>
      </c>
      <c r="Y1597" t="n">
        <v>126</v>
      </c>
      <c r="Z1597" t="n">
        <v>113</v>
      </c>
      <c r="AA1597" t="n">
        <v>115</v>
      </c>
      <c r="AB1597" t="n">
        <v>1</v>
      </c>
      <c r="AC1597" t="n">
        <v>1</v>
      </c>
      <c r="AD1597" t="n">
        <v>5</v>
      </c>
      <c r="AE1597" t="n">
        <v>5</v>
      </c>
      <c r="AF1597" t="n">
        <v>1</v>
      </c>
      <c r="AG1597" t="n">
        <v>1</v>
      </c>
      <c r="AH1597" t="n">
        <v>2</v>
      </c>
      <c r="AI1597" t="n">
        <v>2</v>
      </c>
      <c r="AJ1597" t="n">
        <v>3</v>
      </c>
      <c r="AK1597" t="n">
        <v>3</v>
      </c>
      <c r="AL1597" t="n">
        <v>0</v>
      </c>
      <c r="AM1597" t="n">
        <v>0</v>
      </c>
      <c r="AN1597" t="n">
        <v>1</v>
      </c>
      <c r="AO1597" t="n">
        <v>1</v>
      </c>
      <c r="AP1597" t="inlineStr">
        <is>
          <t>No</t>
        </is>
      </c>
      <c r="AQ1597" t="inlineStr">
        <is>
          <t>Yes</t>
        </is>
      </c>
      <c r="AR1597">
        <f>HYPERLINK("http://catalog.hathitrust.org/Record/000186743","HathiTrust Record")</f>
        <v/>
      </c>
      <c r="AS1597">
        <f>HYPERLINK("https://creighton-primo.hosted.exlibrisgroup.com/primo-explore/search?tab=default_tab&amp;search_scope=EVERYTHING&amp;vid=01CRU&amp;lang=en_US&amp;offset=0&amp;query=any,contains,991004448609702656","Catalog Record")</f>
        <v/>
      </c>
      <c r="AT1597">
        <f>HYPERLINK("http://www.worldcat.org/oclc/6648185","WorldCat Record")</f>
        <v/>
      </c>
      <c r="AU1597" t="inlineStr">
        <is>
          <t>23450790:eng</t>
        </is>
      </c>
      <c r="AV1597" t="inlineStr">
        <is>
          <t>6648185</t>
        </is>
      </c>
      <c r="AW1597" t="inlineStr">
        <is>
          <t>991004448609702656</t>
        </is>
      </c>
      <c r="AX1597" t="inlineStr">
        <is>
          <t>991004448609702656</t>
        </is>
      </c>
      <c r="AY1597" t="inlineStr">
        <is>
          <t>2265542420002656</t>
        </is>
      </c>
      <c r="AZ1597" t="inlineStr">
        <is>
          <t>BOOK</t>
        </is>
      </c>
      <c r="BB1597" t="inlineStr">
        <is>
          <t>9780916592226</t>
        </is>
      </c>
      <c r="BC1597" t="inlineStr">
        <is>
          <t>32285001608123</t>
        </is>
      </c>
      <c r="BD1597" t="inlineStr">
        <is>
          <t>893331590</t>
        </is>
      </c>
    </row>
    <row r="1598">
      <c r="A1598" t="inlineStr">
        <is>
          <t>No</t>
        </is>
      </c>
      <c r="B1598" t="inlineStr">
        <is>
          <t>RC952 .H4</t>
        </is>
      </c>
      <c r="C1598" t="inlineStr">
        <is>
          <t>0                      RC 0952000H  4</t>
        </is>
      </c>
      <c r="D1598" t="inlineStr">
        <is>
          <t>Health care of the elderly : strategies for prevention and intervention / edited by Gari Lesnoff-Caravaglia.</t>
        </is>
      </c>
      <c r="F1598" t="inlineStr">
        <is>
          <t>No</t>
        </is>
      </c>
      <c r="G1598" t="inlineStr">
        <is>
          <t>1</t>
        </is>
      </c>
      <c r="H1598" t="inlineStr">
        <is>
          <t>Yes</t>
        </is>
      </c>
      <c r="I1598" t="inlineStr">
        <is>
          <t>No</t>
        </is>
      </c>
      <c r="J1598" t="inlineStr">
        <is>
          <t>0</t>
        </is>
      </c>
      <c r="L1598" t="inlineStr">
        <is>
          <t>New York : Human Sciences Press, c1980.</t>
        </is>
      </c>
      <c r="M1598" t="inlineStr">
        <is>
          <t>1980</t>
        </is>
      </c>
      <c r="O1598" t="inlineStr">
        <is>
          <t>eng</t>
        </is>
      </c>
      <c r="P1598" t="inlineStr">
        <is>
          <t>nyu</t>
        </is>
      </c>
      <c r="Q1598" t="inlineStr">
        <is>
          <t>Frontiers in aging series ; v. 1</t>
        </is>
      </c>
      <c r="R1598" t="inlineStr">
        <is>
          <t xml:space="preserve">RC </t>
        </is>
      </c>
      <c r="S1598" t="n">
        <v>9</v>
      </c>
      <c r="T1598" t="n">
        <v>9</v>
      </c>
      <c r="U1598" t="inlineStr">
        <is>
          <t>2003-02-17</t>
        </is>
      </c>
      <c r="V1598" t="inlineStr">
        <is>
          <t>2003-02-17</t>
        </is>
      </c>
      <c r="W1598" t="inlineStr">
        <is>
          <t>1992-12-08</t>
        </is>
      </c>
      <c r="X1598" t="inlineStr">
        <is>
          <t>1992-12-08</t>
        </is>
      </c>
      <c r="Y1598" t="n">
        <v>397</v>
      </c>
      <c r="Z1598" t="n">
        <v>351</v>
      </c>
      <c r="AA1598" t="n">
        <v>353</v>
      </c>
      <c r="AB1598" t="n">
        <v>3</v>
      </c>
      <c r="AC1598" t="n">
        <v>3</v>
      </c>
      <c r="AD1598" t="n">
        <v>13</v>
      </c>
      <c r="AE1598" t="n">
        <v>13</v>
      </c>
      <c r="AF1598" t="n">
        <v>4</v>
      </c>
      <c r="AG1598" t="n">
        <v>4</v>
      </c>
      <c r="AH1598" t="n">
        <v>2</v>
      </c>
      <c r="AI1598" t="n">
        <v>2</v>
      </c>
      <c r="AJ1598" t="n">
        <v>8</v>
      </c>
      <c r="AK1598" t="n">
        <v>8</v>
      </c>
      <c r="AL1598" t="n">
        <v>1</v>
      </c>
      <c r="AM1598" t="n">
        <v>1</v>
      </c>
      <c r="AN1598" t="n">
        <v>0</v>
      </c>
      <c r="AO1598" t="n">
        <v>0</v>
      </c>
      <c r="AP1598" t="inlineStr">
        <is>
          <t>No</t>
        </is>
      </c>
      <c r="AQ1598" t="inlineStr">
        <is>
          <t>Yes</t>
        </is>
      </c>
      <c r="AR1598">
        <f>HYPERLINK("http://catalog.hathitrust.org/Record/000746982","HathiTrust Record")</f>
        <v/>
      </c>
      <c r="AS1598">
        <f>HYPERLINK("https://creighton-primo.hosted.exlibrisgroup.com/primo-explore/search?tab=default_tab&amp;search_scope=EVERYTHING&amp;vid=01CRU&amp;lang=en_US&amp;offset=0&amp;query=any,contains,991004812119702656","Catalog Record")</f>
        <v/>
      </c>
      <c r="AT1598">
        <f>HYPERLINK("http://www.worldcat.org/oclc/5286026","WorldCat Record")</f>
        <v/>
      </c>
      <c r="AU1598" t="inlineStr">
        <is>
          <t>894526529:eng</t>
        </is>
      </c>
      <c r="AV1598" t="inlineStr">
        <is>
          <t>5286026</t>
        </is>
      </c>
      <c r="AW1598" t="inlineStr">
        <is>
          <t>991004812119702656</t>
        </is>
      </c>
      <c r="AX1598" t="inlineStr">
        <is>
          <t>991004812119702656</t>
        </is>
      </c>
      <c r="AY1598" t="inlineStr">
        <is>
          <t>2271788360002656</t>
        </is>
      </c>
      <c r="AZ1598" t="inlineStr">
        <is>
          <t>BOOK</t>
        </is>
      </c>
      <c r="BB1598" t="inlineStr">
        <is>
          <t>9780877054177</t>
        </is>
      </c>
      <c r="BC1598" t="inlineStr">
        <is>
          <t>32285001413243</t>
        </is>
      </c>
      <c r="BD1598" t="inlineStr">
        <is>
          <t>893688193</t>
        </is>
      </c>
    </row>
    <row r="1599">
      <c r="A1599" t="inlineStr">
        <is>
          <t>No</t>
        </is>
      </c>
      <c r="B1599" t="inlineStr">
        <is>
          <t>RC952 .K37 1988</t>
        </is>
      </c>
      <c r="C1599" t="inlineStr">
        <is>
          <t>0                      RC 0952000K  37          1988</t>
        </is>
      </c>
      <c r="D1599" t="inlineStr">
        <is>
          <t>Aging, health, and society / Cary S. Kart, Eileen K. Metress, Seamus P. Metress.</t>
        </is>
      </c>
      <c r="F1599" t="inlineStr">
        <is>
          <t>No</t>
        </is>
      </c>
      <c r="G1599" t="inlineStr">
        <is>
          <t>1</t>
        </is>
      </c>
      <c r="H1599" t="inlineStr">
        <is>
          <t>Yes</t>
        </is>
      </c>
      <c r="I1599" t="inlineStr">
        <is>
          <t>No</t>
        </is>
      </c>
      <c r="J1599" t="inlineStr">
        <is>
          <t>0</t>
        </is>
      </c>
      <c r="K1599" t="inlineStr">
        <is>
          <t>Kart, Cary S. (Cary Steven), 1946-</t>
        </is>
      </c>
      <c r="L1599" t="inlineStr">
        <is>
          <t>Boston : Jones and Bartlett Publishers, c1988.</t>
        </is>
      </c>
      <c r="M1599" t="inlineStr">
        <is>
          <t>1988</t>
        </is>
      </c>
      <c r="O1599" t="inlineStr">
        <is>
          <t>eng</t>
        </is>
      </c>
      <c r="P1599" t="inlineStr">
        <is>
          <t>mau</t>
        </is>
      </c>
      <c r="R1599" t="inlineStr">
        <is>
          <t xml:space="preserve">RC </t>
        </is>
      </c>
      <c r="S1599" t="n">
        <v>3</v>
      </c>
      <c r="T1599" t="n">
        <v>3</v>
      </c>
      <c r="U1599" t="inlineStr">
        <is>
          <t>2003-02-17</t>
        </is>
      </c>
      <c r="V1599" t="inlineStr">
        <is>
          <t>2003-02-17</t>
        </is>
      </c>
      <c r="W1599" t="inlineStr">
        <is>
          <t>1993-03-24</t>
        </is>
      </c>
      <c r="X1599" t="inlineStr">
        <is>
          <t>1993-03-24</t>
        </is>
      </c>
      <c r="Y1599" t="n">
        <v>316</v>
      </c>
      <c r="Z1599" t="n">
        <v>257</v>
      </c>
      <c r="AA1599" t="n">
        <v>260</v>
      </c>
      <c r="AB1599" t="n">
        <v>3</v>
      </c>
      <c r="AC1599" t="n">
        <v>3</v>
      </c>
      <c r="AD1599" t="n">
        <v>14</v>
      </c>
      <c r="AE1599" t="n">
        <v>14</v>
      </c>
      <c r="AF1599" t="n">
        <v>7</v>
      </c>
      <c r="AG1599" t="n">
        <v>7</v>
      </c>
      <c r="AH1599" t="n">
        <v>3</v>
      </c>
      <c r="AI1599" t="n">
        <v>3</v>
      </c>
      <c r="AJ1599" t="n">
        <v>7</v>
      </c>
      <c r="AK1599" t="n">
        <v>7</v>
      </c>
      <c r="AL1599" t="n">
        <v>1</v>
      </c>
      <c r="AM1599" t="n">
        <v>1</v>
      </c>
      <c r="AN1599" t="n">
        <v>0</v>
      </c>
      <c r="AO1599" t="n">
        <v>0</v>
      </c>
      <c r="AP1599" t="inlineStr">
        <is>
          <t>No</t>
        </is>
      </c>
      <c r="AQ1599" t="inlineStr">
        <is>
          <t>Yes</t>
        </is>
      </c>
      <c r="AR1599">
        <f>HYPERLINK("http://catalog.hathitrust.org/Record/000914619","HathiTrust Record")</f>
        <v/>
      </c>
      <c r="AS1599">
        <f>HYPERLINK("https://creighton-primo.hosted.exlibrisgroup.com/primo-explore/search?tab=default_tab&amp;search_scope=EVERYTHING&amp;vid=01CRU&amp;lang=en_US&amp;offset=0&amp;query=any,contains,991001179829702656","Catalog Record")</f>
        <v/>
      </c>
      <c r="AT1599">
        <f>HYPERLINK("http://www.worldcat.org/oclc/17107012","WorldCat Record")</f>
        <v/>
      </c>
      <c r="AU1599" t="inlineStr">
        <is>
          <t>13211307:eng</t>
        </is>
      </c>
      <c r="AV1599" t="inlineStr">
        <is>
          <t>17107012</t>
        </is>
      </c>
      <c r="AW1599" t="inlineStr">
        <is>
          <t>991001179829702656</t>
        </is>
      </c>
      <c r="AX1599" t="inlineStr">
        <is>
          <t>991001179829702656</t>
        </is>
      </c>
      <c r="AY1599" t="inlineStr">
        <is>
          <t>2257654390002656</t>
        </is>
      </c>
      <c r="AZ1599" t="inlineStr">
        <is>
          <t>BOOK</t>
        </is>
      </c>
      <c r="BB1599" t="inlineStr">
        <is>
          <t>9780867204063</t>
        </is>
      </c>
      <c r="BC1599" t="inlineStr">
        <is>
          <t>32285001608131</t>
        </is>
      </c>
      <c r="BD1599" t="inlineStr">
        <is>
          <t>893797366</t>
        </is>
      </c>
    </row>
    <row r="1600">
      <c r="A1600" t="inlineStr">
        <is>
          <t>No</t>
        </is>
      </c>
      <c r="B1600" t="inlineStr">
        <is>
          <t>RC952 .R34 1980</t>
        </is>
      </c>
      <c r="C1600" t="inlineStr">
        <is>
          <t>0                      RC 0952000R  34          1980</t>
        </is>
      </c>
      <c r="D1600" t="inlineStr">
        <is>
          <t>Databook on geriatrics / G. S. Rai, V. Pearce.</t>
        </is>
      </c>
      <c r="F1600" t="inlineStr">
        <is>
          <t>No</t>
        </is>
      </c>
      <c r="G1600" t="inlineStr">
        <is>
          <t>1</t>
        </is>
      </c>
      <c r="H1600" t="inlineStr">
        <is>
          <t>No</t>
        </is>
      </c>
      <c r="I1600" t="inlineStr">
        <is>
          <t>No</t>
        </is>
      </c>
      <c r="J1600" t="inlineStr">
        <is>
          <t>0</t>
        </is>
      </c>
      <c r="K1600" t="inlineStr">
        <is>
          <t>Rai, G. S. (Gurcharan Singh)</t>
        </is>
      </c>
      <c r="L1600" t="inlineStr">
        <is>
          <t>Baltimore : University Park Press, 1980.</t>
        </is>
      </c>
      <c r="M1600" t="inlineStr">
        <is>
          <t>1980</t>
        </is>
      </c>
      <c r="O1600" t="inlineStr">
        <is>
          <t>eng</t>
        </is>
      </c>
      <c r="P1600" t="inlineStr">
        <is>
          <t>mdu</t>
        </is>
      </c>
      <c r="R1600" t="inlineStr">
        <is>
          <t xml:space="preserve">RC </t>
        </is>
      </c>
      <c r="S1600" t="n">
        <v>2</v>
      </c>
      <c r="T1600" t="n">
        <v>2</v>
      </c>
      <c r="U1600" t="inlineStr">
        <is>
          <t>1997-04-08</t>
        </is>
      </c>
      <c r="V1600" t="inlineStr">
        <is>
          <t>1997-04-08</t>
        </is>
      </c>
      <c r="W1600" t="inlineStr">
        <is>
          <t>1993-03-24</t>
        </is>
      </c>
      <c r="X1600" t="inlineStr">
        <is>
          <t>1993-03-24</t>
        </is>
      </c>
      <c r="Y1600" t="n">
        <v>60</v>
      </c>
      <c r="Z1600" t="n">
        <v>56</v>
      </c>
      <c r="AA1600" t="n">
        <v>84</v>
      </c>
      <c r="AB1600" t="n">
        <v>2</v>
      </c>
      <c r="AC1600" t="n">
        <v>2</v>
      </c>
      <c r="AD1600" t="n">
        <v>2</v>
      </c>
      <c r="AE1600" t="n">
        <v>2</v>
      </c>
      <c r="AF1600" t="n">
        <v>1</v>
      </c>
      <c r="AG1600" t="n">
        <v>1</v>
      </c>
      <c r="AH1600" t="n">
        <v>0</v>
      </c>
      <c r="AI1600" t="n">
        <v>0</v>
      </c>
      <c r="AJ1600" t="n">
        <v>1</v>
      </c>
      <c r="AK1600" t="n">
        <v>1</v>
      </c>
      <c r="AL1600" t="n">
        <v>1</v>
      </c>
      <c r="AM1600" t="n">
        <v>1</v>
      </c>
      <c r="AN1600" t="n">
        <v>0</v>
      </c>
      <c r="AO1600" t="n">
        <v>0</v>
      </c>
      <c r="AP1600" t="inlineStr">
        <is>
          <t>No</t>
        </is>
      </c>
      <c r="AQ1600" t="inlineStr">
        <is>
          <t>Yes</t>
        </is>
      </c>
      <c r="AR1600">
        <f>HYPERLINK("http://catalog.hathitrust.org/Record/000180489","HathiTrust Record")</f>
        <v/>
      </c>
      <c r="AS1600">
        <f>HYPERLINK("https://creighton-primo.hosted.exlibrisgroup.com/primo-explore/search?tab=default_tab&amp;search_scope=EVERYTHING&amp;vid=01CRU&amp;lang=en_US&amp;offset=0&amp;query=any,contains,991004958039702656","Catalog Record")</f>
        <v/>
      </c>
      <c r="AT1600">
        <f>HYPERLINK("http://www.worldcat.org/oclc/6290723","WorldCat Record")</f>
        <v/>
      </c>
      <c r="AU1600" t="inlineStr">
        <is>
          <t>21813242:eng</t>
        </is>
      </c>
      <c r="AV1600" t="inlineStr">
        <is>
          <t>6290723</t>
        </is>
      </c>
      <c r="AW1600" t="inlineStr">
        <is>
          <t>991004958039702656</t>
        </is>
      </c>
      <c r="AX1600" t="inlineStr">
        <is>
          <t>991004958039702656</t>
        </is>
      </c>
      <c r="AY1600" t="inlineStr">
        <is>
          <t>2272598910002656</t>
        </is>
      </c>
      <c r="AZ1600" t="inlineStr">
        <is>
          <t>BOOK</t>
        </is>
      </c>
      <c r="BB1600" t="inlineStr">
        <is>
          <t>9780839141099</t>
        </is>
      </c>
      <c r="BC1600" t="inlineStr">
        <is>
          <t>32285001608149</t>
        </is>
      </c>
      <c r="BD1600" t="inlineStr">
        <is>
          <t>893776627</t>
        </is>
      </c>
    </row>
    <row r="1601">
      <c r="A1601" t="inlineStr">
        <is>
          <t>No</t>
        </is>
      </c>
      <c r="B1601" t="inlineStr">
        <is>
          <t>RC952.5 .C37 1976</t>
        </is>
      </c>
      <c r="C1601" t="inlineStr">
        <is>
          <t>0                      RC 0952500C  37          1976</t>
        </is>
      </c>
      <c r="D1601" t="inlineStr">
        <is>
          <t>Care of the elderly : meeting the challenge of dependency : proceedings of a conference sponsored jointly by the Institute of Medicine, National Academy of Medicine [i.e. Sciences], Washington, DC, the Royal Society of Medicine and the Royal Society of Medicine Foundation, Inc., held at the National Academy of Sciences, Washington, DC, USA, 17-19 May 1976 / edited by A. N. Exton-Smith and J. Grimley Evans.</t>
        </is>
      </c>
      <c r="F1601" t="inlineStr">
        <is>
          <t>No</t>
        </is>
      </c>
      <c r="G1601" t="inlineStr">
        <is>
          <t>1</t>
        </is>
      </c>
      <c r="H1601" t="inlineStr">
        <is>
          <t>No</t>
        </is>
      </c>
      <c r="I1601" t="inlineStr">
        <is>
          <t>No</t>
        </is>
      </c>
      <c r="J1601" t="inlineStr">
        <is>
          <t>0</t>
        </is>
      </c>
      <c r="L1601" t="inlineStr">
        <is>
          <t>London : Academic Press ; New York : Grune &amp; Stratton, 1977.</t>
        </is>
      </c>
      <c r="M1601" t="inlineStr">
        <is>
          <t>1977</t>
        </is>
      </c>
      <c r="O1601" t="inlineStr">
        <is>
          <t>eng</t>
        </is>
      </c>
      <c r="P1601" t="inlineStr">
        <is>
          <t>enk</t>
        </is>
      </c>
      <c r="R1601" t="inlineStr">
        <is>
          <t xml:space="preserve">RC </t>
        </is>
      </c>
      <c r="S1601" t="n">
        <v>6</v>
      </c>
      <c r="T1601" t="n">
        <v>6</v>
      </c>
      <c r="U1601" t="inlineStr">
        <is>
          <t>2003-02-17</t>
        </is>
      </c>
      <c r="V1601" t="inlineStr">
        <is>
          <t>2003-02-17</t>
        </is>
      </c>
      <c r="W1601" t="inlineStr">
        <is>
          <t>1991-12-12</t>
        </is>
      </c>
      <c r="X1601" t="inlineStr">
        <is>
          <t>1991-12-12</t>
        </is>
      </c>
      <c r="Y1601" t="n">
        <v>131</v>
      </c>
      <c r="Z1601" t="n">
        <v>122</v>
      </c>
      <c r="AA1601" t="n">
        <v>201</v>
      </c>
      <c r="AB1601" t="n">
        <v>3</v>
      </c>
      <c r="AC1601" t="n">
        <v>4</v>
      </c>
      <c r="AD1601" t="n">
        <v>3</v>
      </c>
      <c r="AE1601" t="n">
        <v>5</v>
      </c>
      <c r="AF1601" t="n">
        <v>1</v>
      </c>
      <c r="AG1601" t="n">
        <v>2</v>
      </c>
      <c r="AH1601" t="n">
        <v>0</v>
      </c>
      <c r="AI1601" t="n">
        <v>0</v>
      </c>
      <c r="AJ1601" t="n">
        <v>1</v>
      </c>
      <c r="AK1601" t="n">
        <v>1</v>
      </c>
      <c r="AL1601" t="n">
        <v>1</v>
      </c>
      <c r="AM1601" t="n">
        <v>2</v>
      </c>
      <c r="AN1601" t="n">
        <v>0</v>
      </c>
      <c r="AO1601" t="n">
        <v>0</v>
      </c>
      <c r="AP1601" t="inlineStr">
        <is>
          <t>No</t>
        </is>
      </c>
      <c r="AQ1601" t="inlineStr">
        <is>
          <t>Yes</t>
        </is>
      </c>
      <c r="AR1601">
        <f>HYPERLINK("http://catalog.hathitrust.org/Record/000296354","HathiTrust Record")</f>
        <v/>
      </c>
      <c r="AS1601">
        <f>HYPERLINK("https://creighton-primo.hosted.exlibrisgroup.com/primo-explore/search?tab=default_tab&amp;search_scope=EVERYTHING&amp;vid=01CRU&amp;lang=en_US&amp;offset=0&amp;query=any,contains,991005264819702656","Catalog Record")</f>
        <v/>
      </c>
      <c r="AT1601">
        <f>HYPERLINK("http://www.worldcat.org/oclc/3248320","WorldCat Record")</f>
        <v/>
      </c>
      <c r="AU1601" t="inlineStr">
        <is>
          <t>19766682:eng</t>
        </is>
      </c>
      <c r="AV1601" t="inlineStr">
        <is>
          <t>3248320</t>
        </is>
      </c>
      <c r="AW1601" t="inlineStr">
        <is>
          <t>991005264819702656</t>
        </is>
      </c>
      <c r="AX1601" t="inlineStr">
        <is>
          <t>991005264819702656</t>
        </is>
      </c>
      <c r="AY1601" t="inlineStr">
        <is>
          <t>2269457550002656</t>
        </is>
      </c>
      <c r="AZ1601" t="inlineStr">
        <is>
          <t>BOOK</t>
        </is>
      </c>
      <c r="BB1601" t="inlineStr">
        <is>
          <t>9780012244951</t>
        </is>
      </c>
      <c r="BC1601" t="inlineStr">
        <is>
          <t>32285000887470</t>
        </is>
      </c>
      <c r="BD1601" t="inlineStr">
        <is>
          <t>893326489</t>
        </is>
      </c>
    </row>
    <row r="1602">
      <c r="A1602" t="inlineStr">
        <is>
          <t>No</t>
        </is>
      </c>
      <c r="B1602" t="inlineStr">
        <is>
          <t>RC952.5 .C63</t>
        </is>
      </c>
      <c r="C1602" t="inlineStr">
        <is>
          <t>0                      RC 0952500C  63</t>
        </is>
      </c>
      <c r="D1602" t="inlineStr">
        <is>
          <t>Communication disorders of the aged : a guide for health professionals / by Ronald L. Schow ... [et al.].</t>
        </is>
      </c>
      <c r="F1602" t="inlineStr">
        <is>
          <t>No</t>
        </is>
      </c>
      <c r="G1602" t="inlineStr">
        <is>
          <t>1</t>
        </is>
      </c>
      <c r="H1602" t="inlineStr">
        <is>
          <t>No</t>
        </is>
      </c>
      <c r="I1602" t="inlineStr">
        <is>
          <t>No</t>
        </is>
      </c>
      <c r="J1602" t="inlineStr">
        <is>
          <t>0</t>
        </is>
      </c>
      <c r="L1602" t="inlineStr">
        <is>
          <t>Baltimore : University Park Press, c1978.</t>
        </is>
      </c>
      <c r="M1602" t="inlineStr">
        <is>
          <t>1978</t>
        </is>
      </c>
      <c r="O1602" t="inlineStr">
        <is>
          <t>eng</t>
        </is>
      </c>
      <c r="P1602" t="inlineStr">
        <is>
          <t>mdu</t>
        </is>
      </c>
      <c r="R1602" t="inlineStr">
        <is>
          <t xml:space="preserve">RC </t>
        </is>
      </c>
      <c r="S1602" t="n">
        <v>5</v>
      </c>
      <c r="T1602" t="n">
        <v>5</v>
      </c>
      <c r="U1602" t="inlineStr">
        <is>
          <t>1994-10-25</t>
        </is>
      </c>
      <c r="V1602" t="inlineStr">
        <is>
          <t>1994-10-25</t>
        </is>
      </c>
      <c r="W1602" t="inlineStr">
        <is>
          <t>1991-12-12</t>
        </is>
      </c>
      <c r="X1602" t="inlineStr">
        <is>
          <t>1991-12-12</t>
        </is>
      </c>
      <c r="Y1602" t="n">
        <v>341</v>
      </c>
      <c r="Z1602" t="n">
        <v>279</v>
      </c>
      <c r="AA1602" t="n">
        <v>281</v>
      </c>
      <c r="AB1602" t="n">
        <v>2</v>
      </c>
      <c r="AC1602" t="n">
        <v>2</v>
      </c>
      <c r="AD1602" t="n">
        <v>8</v>
      </c>
      <c r="AE1602" t="n">
        <v>8</v>
      </c>
      <c r="AF1602" t="n">
        <v>2</v>
      </c>
      <c r="AG1602" t="n">
        <v>2</v>
      </c>
      <c r="AH1602" t="n">
        <v>4</v>
      </c>
      <c r="AI1602" t="n">
        <v>4</v>
      </c>
      <c r="AJ1602" t="n">
        <v>4</v>
      </c>
      <c r="AK1602" t="n">
        <v>4</v>
      </c>
      <c r="AL1602" t="n">
        <v>1</v>
      </c>
      <c r="AM1602" t="n">
        <v>1</v>
      </c>
      <c r="AN1602" t="n">
        <v>0</v>
      </c>
      <c r="AO1602" t="n">
        <v>0</v>
      </c>
      <c r="AP1602" t="inlineStr">
        <is>
          <t>No</t>
        </is>
      </c>
      <c r="AQ1602" t="inlineStr">
        <is>
          <t>Yes</t>
        </is>
      </c>
      <c r="AR1602">
        <f>HYPERLINK("http://catalog.hathitrust.org/Record/000132011","HathiTrust Record")</f>
        <v/>
      </c>
      <c r="AS1602">
        <f>HYPERLINK("https://creighton-primo.hosted.exlibrisgroup.com/primo-explore/search?tab=default_tab&amp;search_scope=EVERYTHING&amp;vid=01CRU&amp;lang=en_US&amp;offset=0&amp;query=any,contains,991004502699702656","Catalog Record")</f>
        <v/>
      </c>
      <c r="AT1602">
        <f>HYPERLINK("http://www.worldcat.org/oclc/3728845","WorldCat Record")</f>
        <v/>
      </c>
      <c r="AU1602" t="inlineStr">
        <is>
          <t>894521636:eng</t>
        </is>
      </c>
      <c r="AV1602" t="inlineStr">
        <is>
          <t>3728845</t>
        </is>
      </c>
      <c r="AW1602" t="inlineStr">
        <is>
          <t>991004502699702656</t>
        </is>
      </c>
      <c r="AX1602" t="inlineStr">
        <is>
          <t>991004502699702656</t>
        </is>
      </c>
      <c r="AY1602" t="inlineStr">
        <is>
          <t>2260824330002656</t>
        </is>
      </c>
      <c r="AZ1602" t="inlineStr">
        <is>
          <t>BOOK</t>
        </is>
      </c>
      <c r="BB1602" t="inlineStr">
        <is>
          <t>9780839112372</t>
        </is>
      </c>
      <c r="BC1602" t="inlineStr">
        <is>
          <t>32285000887488</t>
        </is>
      </c>
      <c r="BD1602" t="inlineStr">
        <is>
          <t>893259791</t>
        </is>
      </c>
    </row>
    <row r="1603">
      <c r="A1603" t="inlineStr">
        <is>
          <t>No</t>
        </is>
      </c>
      <c r="B1603" t="inlineStr">
        <is>
          <t>RC952.5 .G43</t>
        </is>
      </c>
      <c r="C1603" t="inlineStr">
        <is>
          <t>0                      RC 0952500G  43</t>
        </is>
      </c>
      <c r="D1603" t="inlineStr">
        <is>
          <t>Geriatric education / edited by Knight Steel.</t>
        </is>
      </c>
      <c r="F1603" t="inlineStr">
        <is>
          <t>No</t>
        </is>
      </c>
      <c r="G1603" t="inlineStr">
        <is>
          <t>1</t>
        </is>
      </c>
      <c r="H1603" t="inlineStr">
        <is>
          <t>No</t>
        </is>
      </c>
      <c r="I1603" t="inlineStr">
        <is>
          <t>No</t>
        </is>
      </c>
      <c r="J1603" t="inlineStr">
        <is>
          <t>0</t>
        </is>
      </c>
      <c r="L1603" t="inlineStr">
        <is>
          <t>Lexington, Mass. : Collamore Press, 1981.</t>
        </is>
      </c>
      <c r="M1603" t="inlineStr">
        <is>
          <t>1981</t>
        </is>
      </c>
      <c r="O1603" t="inlineStr">
        <is>
          <t>eng</t>
        </is>
      </c>
      <c r="P1603" t="inlineStr">
        <is>
          <t>mau</t>
        </is>
      </c>
      <c r="R1603" t="inlineStr">
        <is>
          <t xml:space="preserve">RC </t>
        </is>
      </c>
      <c r="S1603" t="n">
        <v>1</v>
      </c>
      <c r="T1603" t="n">
        <v>1</v>
      </c>
      <c r="U1603" t="inlineStr">
        <is>
          <t>1995-11-30</t>
        </is>
      </c>
      <c r="V1603" t="inlineStr">
        <is>
          <t>1995-11-30</t>
        </is>
      </c>
      <c r="W1603" t="inlineStr">
        <is>
          <t>1990-06-13</t>
        </is>
      </c>
      <c r="X1603" t="inlineStr">
        <is>
          <t>1990-06-13</t>
        </is>
      </c>
      <c r="Y1603" t="n">
        <v>100</v>
      </c>
      <c r="Z1603" t="n">
        <v>84</v>
      </c>
      <c r="AA1603" t="n">
        <v>87</v>
      </c>
      <c r="AB1603" t="n">
        <v>1</v>
      </c>
      <c r="AC1603" t="n">
        <v>1</v>
      </c>
      <c r="AD1603" t="n">
        <v>0</v>
      </c>
      <c r="AE1603" t="n">
        <v>0</v>
      </c>
      <c r="AF1603" t="n">
        <v>0</v>
      </c>
      <c r="AG1603" t="n">
        <v>0</v>
      </c>
      <c r="AH1603" t="n">
        <v>0</v>
      </c>
      <c r="AI1603" t="n">
        <v>0</v>
      </c>
      <c r="AJ1603" t="n">
        <v>0</v>
      </c>
      <c r="AK1603" t="n">
        <v>0</v>
      </c>
      <c r="AL1603" t="n">
        <v>0</v>
      </c>
      <c r="AM1603" t="n">
        <v>0</v>
      </c>
      <c r="AN1603" t="n">
        <v>0</v>
      </c>
      <c r="AO1603" t="n">
        <v>0</v>
      </c>
      <c r="AP1603" t="inlineStr">
        <is>
          <t>No</t>
        </is>
      </c>
      <c r="AQ1603" t="inlineStr">
        <is>
          <t>Yes</t>
        </is>
      </c>
      <c r="AR1603">
        <f>HYPERLINK("http://catalog.hathitrust.org/Record/000761051","HathiTrust Record")</f>
        <v/>
      </c>
      <c r="AS1603">
        <f>HYPERLINK("https://creighton-primo.hosted.exlibrisgroup.com/primo-explore/search?tab=default_tab&amp;search_scope=EVERYTHING&amp;vid=01CRU&amp;lang=en_US&amp;offset=0&amp;query=any,contains,991005082599702656","Catalog Record")</f>
        <v/>
      </c>
      <c r="AT1603">
        <f>HYPERLINK("http://www.worldcat.org/oclc/7174764","WorldCat Record")</f>
        <v/>
      </c>
      <c r="AU1603" t="inlineStr">
        <is>
          <t>26076699:eng</t>
        </is>
      </c>
      <c r="AV1603" t="inlineStr">
        <is>
          <t>7174764</t>
        </is>
      </c>
      <c r="AW1603" t="inlineStr">
        <is>
          <t>991005082599702656</t>
        </is>
      </c>
      <c r="AX1603" t="inlineStr">
        <is>
          <t>991005082599702656</t>
        </is>
      </c>
      <c r="AY1603" t="inlineStr">
        <is>
          <t>2269652130002656</t>
        </is>
      </c>
      <c r="AZ1603" t="inlineStr">
        <is>
          <t>BOOK</t>
        </is>
      </c>
      <c r="BB1603" t="inlineStr">
        <is>
          <t>9780669038095</t>
        </is>
      </c>
      <c r="BC1603" t="inlineStr">
        <is>
          <t>32285000191659</t>
        </is>
      </c>
      <c r="BD1603" t="inlineStr">
        <is>
          <t>893260517</t>
        </is>
      </c>
    </row>
    <row r="1604">
      <c r="A1604" t="inlineStr">
        <is>
          <t>No</t>
        </is>
      </c>
      <c r="B1604" t="inlineStr">
        <is>
          <t>RC952.5 .S77 1992</t>
        </is>
      </c>
      <c r="C1604" t="inlineStr">
        <is>
          <t>0                      RC 0952500S  77          1992</t>
        </is>
      </c>
      <c r="D1604" t="inlineStr">
        <is>
          <t>Stress and health among the elderly / May L. Wykle, Eva Kahana, and Jerome Kowal, editors.</t>
        </is>
      </c>
      <c r="F1604" t="inlineStr">
        <is>
          <t>No</t>
        </is>
      </c>
      <c r="G1604" t="inlineStr">
        <is>
          <t>1</t>
        </is>
      </c>
      <c r="H1604" t="inlineStr">
        <is>
          <t>No</t>
        </is>
      </c>
      <c r="I1604" t="inlineStr">
        <is>
          <t>No</t>
        </is>
      </c>
      <c r="J1604" t="inlineStr">
        <is>
          <t>0</t>
        </is>
      </c>
      <c r="L1604" t="inlineStr">
        <is>
          <t>New York : Springer Pub. Co., c1992.</t>
        </is>
      </c>
      <c r="M1604" t="inlineStr">
        <is>
          <t>1992</t>
        </is>
      </c>
      <c r="O1604" t="inlineStr">
        <is>
          <t>eng</t>
        </is>
      </c>
      <c r="P1604" t="inlineStr">
        <is>
          <t>nyu</t>
        </is>
      </c>
      <c r="R1604" t="inlineStr">
        <is>
          <t xml:space="preserve">RC </t>
        </is>
      </c>
      <c r="S1604" t="n">
        <v>3</v>
      </c>
      <c r="T1604" t="n">
        <v>3</v>
      </c>
      <c r="U1604" t="inlineStr">
        <is>
          <t>1994-10-17</t>
        </is>
      </c>
      <c r="V1604" t="inlineStr">
        <is>
          <t>1994-10-17</t>
        </is>
      </c>
      <c r="W1604" t="inlineStr">
        <is>
          <t>1994-06-27</t>
        </is>
      </c>
      <c r="X1604" t="inlineStr">
        <is>
          <t>1994-06-27</t>
        </is>
      </c>
      <c r="Y1604" t="n">
        <v>256</v>
      </c>
      <c r="Z1604" t="n">
        <v>204</v>
      </c>
      <c r="AA1604" t="n">
        <v>211</v>
      </c>
      <c r="AB1604" t="n">
        <v>2</v>
      </c>
      <c r="AC1604" t="n">
        <v>2</v>
      </c>
      <c r="AD1604" t="n">
        <v>10</v>
      </c>
      <c r="AE1604" t="n">
        <v>10</v>
      </c>
      <c r="AF1604" t="n">
        <v>2</v>
      </c>
      <c r="AG1604" t="n">
        <v>2</v>
      </c>
      <c r="AH1604" t="n">
        <v>5</v>
      </c>
      <c r="AI1604" t="n">
        <v>5</v>
      </c>
      <c r="AJ1604" t="n">
        <v>6</v>
      </c>
      <c r="AK1604" t="n">
        <v>6</v>
      </c>
      <c r="AL1604" t="n">
        <v>1</v>
      </c>
      <c r="AM1604" t="n">
        <v>1</v>
      </c>
      <c r="AN1604" t="n">
        <v>0</v>
      </c>
      <c r="AO1604" t="n">
        <v>0</v>
      </c>
      <c r="AP1604" t="inlineStr">
        <is>
          <t>No</t>
        </is>
      </c>
      <c r="AQ1604" t="inlineStr">
        <is>
          <t>Yes</t>
        </is>
      </c>
      <c r="AR1604">
        <f>HYPERLINK("http://catalog.hathitrust.org/Record/002525391","HathiTrust Record")</f>
        <v/>
      </c>
      <c r="AS1604">
        <f>HYPERLINK("https://creighton-primo.hosted.exlibrisgroup.com/primo-explore/search?tab=default_tab&amp;search_scope=EVERYTHING&amp;vid=01CRU&amp;lang=en_US&amp;offset=0&amp;query=any,contains,991001895769702656","Catalog Record")</f>
        <v/>
      </c>
      <c r="AT1604">
        <f>HYPERLINK("http://www.worldcat.org/oclc/23941693","WorldCat Record")</f>
        <v/>
      </c>
      <c r="AU1604" t="inlineStr">
        <is>
          <t>356231681:eng</t>
        </is>
      </c>
      <c r="AV1604" t="inlineStr">
        <is>
          <t>23941693</t>
        </is>
      </c>
      <c r="AW1604" t="inlineStr">
        <is>
          <t>991001895769702656</t>
        </is>
      </c>
      <c r="AX1604" t="inlineStr">
        <is>
          <t>991001895769702656</t>
        </is>
      </c>
      <c r="AY1604" t="inlineStr">
        <is>
          <t>2270407740002656</t>
        </is>
      </c>
      <c r="AZ1604" t="inlineStr">
        <is>
          <t>BOOK</t>
        </is>
      </c>
      <c r="BB1604" t="inlineStr">
        <is>
          <t>9780826173201</t>
        </is>
      </c>
      <c r="BC1604" t="inlineStr">
        <is>
          <t>32285001924264</t>
        </is>
      </c>
      <c r="BD1604" t="inlineStr">
        <is>
          <t>893334690</t>
        </is>
      </c>
    </row>
    <row r="1605">
      <c r="A1605" t="inlineStr">
        <is>
          <t>No</t>
        </is>
      </c>
      <c r="B1605" t="inlineStr">
        <is>
          <t>RC953.8.E93 B377 2003</t>
        </is>
      </c>
      <c r="C1605" t="inlineStr">
        <is>
          <t>0                      RC 0953800E  93                 B  377         2003</t>
        </is>
      </c>
      <c r="D1605" t="inlineStr">
        <is>
          <t>Exercise for frail elders / Elizabeth Best-Martini, Kim A. Botenhagen-DiGenova.</t>
        </is>
      </c>
      <c r="F1605" t="inlineStr">
        <is>
          <t>No</t>
        </is>
      </c>
      <c r="G1605" t="inlineStr">
        <is>
          <t>1</t>
        </is>
      </c>
      <c r="H1605" t="inlineStr">
        <is>
          <t>No</t>
        </is>
      </c>
      <c r="I1605" t="inlineStr">
        <is>
          <t>No</t>
        </is>
      </c>
      <c r="J1605" t="inlineStr">
        <is>
          <t>0</t>
        </is>
      </c>
      <c r="K1605" t="inlineStr">
        <is>
          <t>Best-Martini, Elizabeth, 1948-</t>
        </is>
      </c>
      <c r="L1605" t="inlineStr">
        <is>
          <t>Champaign, Ill. : Human Kinetics, c2003.</t>
        </is>
      </c>
      <c r="M1605" t="inlineStr">
        <is>
          <t>2003</t>
        </is>
      </c>
      <c r="O1605" t="inlineStr">
        <is>
          <t>eng</t>
        </is>
      </c>
      <c r="P1605" t="inlineStr">
        <is>
          <t>ilu</t>
        </is>
      </c>
      <c r="R1605" t="inlineStr">
        <is>
          <t xml:space="preserve">RC </t>
        </is>
      </c>
      <c r="S1605" t="n">
        <v>1</v>
      </c>
      <c r="T1605" t="n">
        <v>1</v>
      </c>
      <c r="U1605" t="inlineStr">
        <is>
          <t>2010-03-01</t>
        </is>
      </c>
      <c r="V1605" t="inlineStr">
        <is>
          <t>2010-03-01</t>
        </is>
      </c>
      <c r="W1605" t="inlineStr">
        <is>
          <t>2010-03-01</t>
        </is>
      </c>
      <c r="X1605" t="inlineStr">
        <is>
          <t>2010-03-01</t>
        </is>
      </c>
      <c r="Y1605" t="n">
        <v>459</v>
      </c>
      <c r="Z1605" t="n">
        <v>308</v>
      </c>
      <c r="AA1605" t="n">
        <v>451</v>
      </c>
      <c r="AB1605" t="n">
        <v>4</v>
      </c>
      <c r="AC1605" t="n">
        <v>4</v>
      </c>
      <c r="AD1605" t="n">
        <v>7</v>
      </c>
      <c r="AE1605" t="n">
        <v>11</v>
      </c>
      <c r="AF1605" t="n">
        <v>3</v>
      </c>
      <c r="AG1605" t="n">
        <v>6</v>
      </c>
      <c r="AH1605" t="n">
        <v>1</v>
      </c>
      <c r="AI1605" t="n">
        <v>2</v>
      </c>
      <c r="AJ1605" t="n">
        <v>3</v>
      </c>
      <c r="AK1605" t="n">
        <v>4</v>
      </c>
      <c r="AL1605" t="n">
        <v>2</v>
      </c>
      <c r="AM1605" t="n">
        <v>2</v>
      </c>
      <c r="AN1605" t="n">
        <v>0</v>
      </c>
      <c r="AO1605" t="n">
        <v>0</v>
      </c>
      <c r="AP1605" t="inlineStr">
        <is>
          <t>No</t>
        </is>
      </c>
      <c r="AQ1605" t="inlineStr">
        <is>
          <t>Yes</t>
        </is>
      </c>
      <c r="AR1605">
        <f>HYPERLINK("http://catalog.hathitrust.org/Record/004323213","HathiTrust Record")</f>
        <v/>
      </c>
      <c r="AS1605">
        <f>HYPERLINK("https://creighton-primo.hosted.exlibrisgroup.com/primo-explore/search?tab=default_tab&amp;search_scope=EVERYTHING&amp;vid=01CRU&amp;lang=en_US&amp;offset=0&amp;query=any,contains,991005365719702656","Catalog Record")</f>
        <v/>
      </c>
      <c r="AT1605">
        <f>HYPERLINK("http://www.worldcat.org/oclc/50774316","WorldCat Record")</f>
        <v/>
      </c>
      <c r="AU1605" t="inlineStr">
        <is>
          <t>733481:eng</t>
        </is>
      </c>
      <c r="AV1605" t="inlineStr">
        <is>
          <t>50774316</t>
        </is>
      </c>
      <c r="AW1605" t="inlineStr">
        <is>
          <t>991005365719702656</t>
        </is>
      </c>
      <c r="AX1605" t="inlineStr">
        <is>
          <t>991005365719702656</t>
        </is>
      </c>
      <c r="AY1605" t="inlineStr">
        <is>
          <t>2263640880002656</t>
        </is>
      </c>
      <c r="AZ1605" t="inlineStr">
        <is>
          <t>BOOK</t>
        </is>
      </c>
      <c r="BB1605" t="inlineStr">
        <is>
          <t>9780736036870</t>
        </is>
      </c>
      <c r="BC1605" t="inlineStr">
        <is>
          <t>32285005575757</t>
        </is>
      </c>
      <c r="BD1605" t="inlineStr">
        <is>
          <t>893263796</t>
        </is>
      </c>
    </row>
    <row r="1606">
      <c r="A1606" t="inlineStr">
        <is>
          <t>No</t>
        </is>
      </c>
      <c r="B1606" t="inlineStr">
        <is>
          <t>RC953.8.E93 E94 1996</t>
        </is>
      </c>
      <c r="C1606" t="inlineStr">
        <is>
          <t>0                      RC 0953800E  93                 E  94          1996</t>
        </is>
      </c>
      <c r="D1606" t="inlineStr">
        <is>
          <t>Exercise programming for older adults / Janie Clark, editor.</t>
        </is>
      </c>
      <c r="F1606" t="inlineStr">
        <is>
          <t>No</t>
        </is>
      </c>
      <c r="G1606" t="inlineStr">
        <is>
          <t>1</t>
        </is>
      </c>
      <c r="H1606" t="inlineStr">
        <is>
          <t>No</t>
        </is>
      </c>
      <c r="I1606" t="inlineStr">
        <is>
          <t>No</t>
        </is>
      </c>
      <c r="J1606" t="inlineStr">
        <is>
          <t>0</t>
        </is>
      </c>
      <c r="L1606" t="inlineStr">
        <is>
          <t>New York : Haworth Press, c1996.</t>
        </is>
      </c>
      <c r="M1606" t="inlineStr">
        <is>
          <t>1996</t>
        </is>
      </c>
      <c r="O1606" t="inlineStr">
        <is>
          <t>eng</t>
        </is>
      </c>
      <c r="P1606" t="inlineStr">
        <is>
          <t>nyu</t>
        </is>
      </c>
      <c r="R1606" t="inlineStr">
        <is>
          <t xml:space="preserve">RC </t>
        </is>
      </c>
      <c r="S1606" t="n">
        <v>5</v>
      </c>
      <c r="T1606" t="n">
        <v>5</v>
      </c>
      <c r="U1606" t="inlineStr">
        <is>
          <t>2001-10-01</t>
        </is>
      </c>
      <c r="V1606" t="inlineStr">
        <is>
          <t>2001-10-01</t>
        </is>
      </c>
      <c r="W1606" t="inlineStr">
        <is>
          <t>1996-08-05</t>
        </is>
      </c>
      <c r="X1606" t="inlineStr">
        <is>
          <t>1996-08-05</t>
        </is>
      </c>
      <c r="Y1606" t="n">
        <v>145</v>
      </c>
      <c r="Z1606" t="n">
        <v>115</v>
      </c>
      <c r="AA1606" t="n">
        <v>142</v>
      </c>
      <c r="AB1606" t="n">
        <v>1</v>
      </c>
      <c r="AC1606" t="n">
        <v>1</v>
      </c>
      <c r="AD1606" t="n">
        <v>2</v>
      </c>
      <c r="AE1606" t="n">
        <v>2</v>
      </c>
      <c r="AF1606" t="n">
        <v>2</v>
      </c>
      <c r="AG1606" t="n">
        <v>2</v>
      </c>
      <c r="AH1606" t="n">
        <v>0</v>
      </c>
      <c r="AI1606" t="n">
        <v>0</v>
      </c>
      <c r="AJ1606" t="n">
        <v>0</v>
      </c>
      <c r="AK1606" t="n">
        <v>0</v>
      </c>
      <c r="AL1606" t="n">
        <v>0</v>
      </c>
      <c r="AM1606" t="n">
        <v>0</v>
      </c>
      <c r="AN1606" t="n">
        <v>0</v>
      </c>
      <c r="AO1606" t="n">
        <v>0</v>
      </c>
      <c r="AP1606" t="inlineStr">
        <is>
          <t>No</t>
        </is>
      </c>
      <c r="AQ1606" t="inlineStr">
        <is>
          <t>No</t>
        </is>
      </c>
      <c r="AS1606">
        <f>HYPERLINK("https://creighton-primo.hosted.exlibrisgroup.com/primo-explore/search?tab=default_tab&amp;search_scope=EVERYTHING&amp;vid=01CRU&amp;lang=en_US&amp;offset=0&amp;query=any,contains,991002637649702656","Catalog Record")</f>
        <v/>
      </c>
      <c r="AT1606">
        <f>HYPERLINK("http://www.worldcat.org/oclc/34547205","WorldCat Record")</f>
        <v/>
      </c>
      <c r="AU1606" t="inlineStr">
        <is>
          <t>4233289665:eng</t>
        </is>
      </c>
      <c r="AV1606" t="inlineStr">
        <is>
          <t>34547205</t>
        </is>
      </c>
      <c r="AW1606" t="inlineStr">
        <is>
          <t>991002637649702656</t>
        </is>
      </c>
      <c r="AX1606" t="inlineStr">
        <is>
          <t>991002637649702656</t>
        </is>
      </c>
      <c r="AY1606" t="inlineStr">
        <is>
          <t>2263214360002656</t>
        </is>
      </c>
      <c r="AZ1606" t="inlineStr">
        <is>
          <t>BOOK</t>
        </is>
      </c>
      <c r="BB1606" t="inlineStr">
        <is>
          <t>9781560248057</t>
        </is>
      </c>
      <c r="BC1606" t="inlineStr">
        <is>
          <t>32285002270626</t>
        </is>
      </c>
      <c r="BD1606" t="inlineStr">
        <is>
          <t>893899013</t>
        </is>
      </c>
    </row>
    <row r="1607">
      <c r="A1607" t="inlineStr">
        <is>
          <t>No</t>
        </is>
      </c>
      <c r="B1607" t="inlineStr">
        <is>
          <t>RC954 .F66</t>
        </is>
      </c>
      <c r="C1607" t="inlineStr">
        <is>
          <t>0                      RC 0954000F  66</t>
        </is>
      </c>
      <c r="D1607" t="inlineStr">
        <is>
          <t>The older adult : a process for wellness / Elizabeth Jane Forbes, Virginia Macken Fitzsimons.</t>
        </is>
      </c>
      <c r="F1607" t="inlineStr">
        <is>
          <t>No</t>
        </is>
      </c>
      <c r="G1607" t="inlineStr">
        <is>
          <t>1</t>
        </is>
      </c>
      <c r="H1607" t="inlineStr">
        <is>
          <t>Yes</t>
        </is>
      </c>
      <c r="I1607" t="inlineStr">
        <is>
          <t>No</t>
        </is>
      </c>
      <c r="J1607" t="inlineStr">
        <is>
          <t>0</t>
        </is>
      </c>
      <c r="K1607" t="inlineStr">
        <is>
          <t>Forbes, Elizabeth Jane, 1934-</t>
        </is>
      </c>
      <c r="L1607" t="inlineStr">
        <is>
          <t>St. Louis : C. V. Mosby Co., 1981.</t>
        </is>
      </c>
      <c r="M1607" t="inlineStr">
        <is>
          <t>1981</t>
        </is>
      </c>
      <c r="O1607" t="inlineStr">
        <is>
          <t>eng</t>
        </is>
      </c>
      <c r="P1607" t="inlineStr">
        <is>
          <t>mou</t>
        </is>
      </c>
      <c r="R1607" t="inlineStr">
        <is>
          <t xml:space="preserve">RC </t>
        </is>
      </c>
      <c r="S1607" t="n">
        <v>4</v>
      </c>
      <c r="T1607" t="n">
        <v>6</v>
      </c>
      <c r="U1607" t="inlineStr">
        <is>
          <t>1994-10-30</t>
        </is>
      </c>
      <c r="V1607" t="inlineStr">
        <is>
          <t>1995-09-15</t>
        </is>
      </c>
      <c r="W1607" t="inlineStr">
        <is>
          <t>1993-03-24</t>
        </is>
      </c>
      <c r="X1607" t="inlineStr">
        <is>
          <t>1993-03-24</t>
        </is>
      </c>
      <c r="Y1607" t="n">
        <v>315</v>
      </c>
      <c r="Z1607" t="n">
        <v>271</v>
      </c>
      <c r="AA1607" t="n">
        <v>277</v>
      </c>
      <c r="AB1607" t="n">
        <v>2</v>
      </c>
      <c r="AC1607" t="n">
        <v>2</v>
      </c>
      <c r="AD1607" t="n">
        <v>10</v>
      </c>
      <c r="AE1607" t="n">
        <v>10</v>
      </c>
      <c r="AF1607" t="n">
        <v>4</v>
      </c>
      <c r="AG1607" t="n">
        <v>4</v>
      </c>
      <c r="AH1607" t="n">
        <v>2</v>
      </c>
      <c r="AI1607" t="n">
        <v>2</v>
      </c>
      <c r="AJ1607" t="n">
        <v>7</v>
      </c>
      <c r="AK1607" t="n">
        <v>7</v>
      </c>
      <c r="AL1607" t="n">
        <v>0</v>
      </c>
      <c r="AM1607" t="n">
        <v>0</v>
      </c>
      <c r="AN1607" t="n">
        <v>0</v>
      </c>
      <c r="AO1607" t="n">
        <v>0</v>
      </c>
      <c r="AP1607" t="inlineStr">
        <is>
          <t>No</t>
        </is>
      </c>
      <c r="AQ1607" t="inlineStr">
        <is>
          <t>Yes</t>
        </is>
      </c>
      <c r="AR1607">
        <f>HYPERLINK("http://catalog.hathitrust.org/Record/000101129","HathiTrust Record")</f>
        <v/>
      </c>
      <c r="AS1607">
        <f>HYPERLINK("https://creighton-primo.hosted.exlibrisgroup.com/primo-explore/search?tab=default_tab&amp;search_scope=EVERYTHING&amp;vid=01CRU&amp;lang=en_US&amp;offset=0&amp;query=any,contains,991001772049702656","Catalog Record")</f>
        <v/>
      </c>
      <c r="AT1607">
        <f>HYPERLINK("http://www.worldcat.org/oclc/7179018","WorldCat Record")</f>
        <v/>
      </c>
      <c r="AU1607" t="inlineStr">
        <is>
          <t>894343882:eng</t>
        </is>
      </c>
      <c r="AV1607" t="inlineStr">
        <is>
          <t>7179018</t>
        </is>
      </c>
      <c r="AW1607" t="inlineStr">
        <is>
          <t>991001772049702656</t>
        </is>
      </c>
      <c r="AX1607" t="inlineStr">
        <is>
          <t>991001772049702656</t>
        </is>
      </c>
      <c r="AY1607" t="inlineStr">
        <is>
          <t>2267077400002656</t>
        </is>
      </c>
      <c r="AZ1607" t="inlineStr">
        <is>
          <t>BOOK</t>
        </is>
      </c>
      <c r="BB1607" t="inlineStr">
        <is>
          <t>9780801616310</t>
        </is>
      </c>
      <c r="BC1607" t="inlineStr">
        <is>
          <t>32285001608172</t>
        </is>
      </c>
      <c r="BD1607" t="inlineStr">
        <is>
          <t>893721144</t>
        </is>
      </c>
    </row>
    <row r="1608">
      <c r="A1608" t="inlineStr">
        <is>
          <t>No</t>
        </is>
      </c>
      <c r="B1608" t="inlineStr">
        <is>
          <t>RC954 .W39 1987</t>
        </is>
      </c>
      <c r="C1608" t="inlineStr">
        <is>
          <t>0                      RC 0954000W  39          1987</t>
        </is>
      </c>
      <c r="D1608" t="inlineStr">
        <is>
          <t>Working with the aged : practical approaches in the institution and community / Marcella Bakur Weiner, Albert J. Brok, Alvin M. Snadowsky.</t>
        </is>
      </c>
      <c r="F1608" t="inlineStr">
        <is>
          <t>No</t>
        </is>
      </c>
      <c r="G1608" t="inlineStr">
        <is>
          <t>1</t>
        </is>
      </c>
      <c r="H1608" t="inlineStr">
        <is>
          <t>Yes</t>
        </is>
      </c>
      <c r="I1608" t="inlineStr">
        <is>
          <t>No</t>
        </is>
      </c>
      <c r="J1608" t="inlineStr">
        <is>
          <t>0</t>
        </is>
      </c>
      <c r="K1608" t="inlineStr">
        <is>
          <t>Weiner, Marcella Bakur, 1925-</t>
        </is>
      </c>
      <c r="L1608" t="inlineStr">
        <is>
          <t>Norwalk, Conn. : Appleton-Century-Crofts, c1987.</t>
        </is>
      </c>
      <c r="M1608" t="inlineStr">
        <is>
          <t>1987</t>
        </is>
      </c>
      <c r="N1608" t="inlineStr">
        <is>
          <t>2nd ed.</t>
        </is>
      </c>
      <c r="O1608" t="inlineStr">
        <is>
          <t>eng</t>
        </is>
      </c>
      <c r="P1608" t="inlineStr">
        <is>
          <t>ctu</t>
        </is>
      </c>
      <c r="R1608" t="inlineStr">
        <is>
          <t xml:space="preserve">RC </t>
        </is>
      </c>
      <c r="S1608" t="n">
        <v>11</v>
      </c>
      <c r="T1608" t="n">
        <v>11</v>
      </c>
      <c r="U1608" t="inlineStr">
        <is>
          <t>1997-04-08</t>
        </is>
      </c>
      <c r="V1608" t="inlineStr">
        <is>
          <t>1997-04-08</t>
        </is>
      </c>
      <c r="W1608" t="inlineStr">
        <is>
          <t>1992-03-17</t>
        </is>
      </c>
      <c r="X1608" t="inlineStr">
        <is>
          <t>1992-03-17</t>
        </is>
      </c>
      <c r="Y1608" t="n">
        <v>265</v>
      </c>
      <c r="Z1608" t="n">
        <v>222</v>
      </c>
      <c r="AA1608" t="n">
        <v>420</v>
      </c>
      <c r="AB1608" t="n">
        <v>3</v>
      </c>
      <c r="AC1608" t="n">
        <v>5</v>
      </c>
      <c r="AD1608" t="n">
        <v>13</v>
      </c>
      <c r="AE1608" t="n">
        <v>19</v>
      </c>
      <c r="AF1608" t="n">
        <v>5</v>
      </c>
      <c r="AG1608" t="n">
        <v>7</v>
      </c>
      <c r="AH1608" t="n">
        <v>4</v>
      </c>
      <c r="AI1608" t="n">
        <v>4</v>
      </c>
      <c r="AJ1608" t="n">
        <v>6</v>
      </c>
      <c r="AK1608" t="n">
        <v>9</v>
      </c>
      <c r="AL1608" t="n">
        <v>1</v>
      </c>
      <c r="AM1608" t="n">
        <v>3</v>
      </c>
      <c r="AN1608" t="n">
        <v>0</v>
      </c>
      <c r="AO1608" t="n">
        <v>0</v>
      </c>
      <c r="AP1608" t="inlineStr">
        <is>
          <t>No</t>
        </is>
      </c>
      <c r="AQ1608" t="inlineStr">
        <is>
          <t>Yes</t>
        </is>
      </c>
      <c r="AR1608">
        <f>HYPERLINK("http://catalog.hathitrust.org/Record/000596999","HathiTrust Record")</f>
        <v/>
      </c>
      <c r="AS1608">
        <f>HYPERLINK("https://creighton-primo.hosted.exlibrisgroup.com/primo-explore/search?tab=default_tab&amp;search_scope=EVERYTHING&amp;vid=01CRU&amp;lang=en_US&amp;offset=0&amp;query=any,contains,991000923309702656","Catalog Record")</f>
        <v/>
      </c>
      <c r="AT1608">
        <f>HYPERLINK("http://www.worldcat.org/oclc/14214870","WorldCat Record")</f>
        <v/>
      </c>
      <c r="AU1608" t="inlineStr">
        <is>
          <t>8254598:eng</t>
        </is>
      </c>
      <c r="AV1608" t="inlineStr">
        <is>
          <t>14214870</t>
        </is>
      </c>
      <c r="AW1608" t="inlineStr">
        <is>
          <t>991000923309702656</t>
        </is>
      </c>
      <c r="AX1608" t="inlineStr">
        <is>
          <t>991000923309702656</t>
        </is>
      </c>
      <c r="AY1608" t="inlineStr">
        <is>
          <t>2267382310002656</t>
        </is>
      </c>
      <c r="AZ1608" t="inlineStr">
        <is>
          <t>BOOK</t>
        </is>
      </c>
      <c r="BB1608" t="inlineStr">
        <is>
          <t>9780838598337</t>
        </is>
      </c>
      <c r="BC1608" t="inlineStr">
        <is>
          <t>32285001023364</t>
        </is>
      </c>
      <c r="BD1608" t="inlineStr">
        <is>
          <t>893432434</t>
        </is>
      </c>
    </row>
    <row r="1609">
      <c r="A1609" t="inlineStr">
        <is>
          <t>No</t>
        </is>
      </c>
      <c r="B1609" t="inlineStr">
        <is>
          <t>RC954.3 .K36</t>
        </is>
      </c>
      <c r="C1609" t="inlineStr">
        <is>
          <t>0                      RC 0954300K  36</t>
        </is>
      </c>
      <c r="D1609" t="inlineStr">
        <is>
          <t>Assessing the elderly : a practical guide to measurement / Rosalie A. Kane, Robert L. Kane.</t>
        </is>
      </c>
      <c r="F1609" t="inlineStr">
        <is>
          <t>No</t>
        </is>
      </c>
      <c r="G1609" t="inlineStr">
        <is>
          <t>1</t>
        </is>
      </c>
      <c r="H1609" t="inlineStr">
        <is>
          <t>Yes</t>
        </is>
      </c>
      <c r="I1609" t="inlineStr">
        <is>
          <t>No</t>
        </is>
      </c>
      <c r="J1609" t="inlineStr">
        <is>
          <t>0</t>
        </is>
      </c>
      <c r="K1609" t="inlineStr">
        <is>
          <t>Kane, Rosalie A.</t>
        </is>
      </c>
      <c r="L1609" t="inlineStr">
        <is>
          <t>Lexington, Mass. : LexingtonBooks, c1981.</t>
        </is>
      </c>
      <c r="M1609" t="inlineStr">
        <is>
          <t>1981</t>
        </is>
      </c>
      <c r="O1609" t="inlineStr">
        <is>
          <t>eng</t>
        </is>
      </c>
      <c r="P1609" t="inlineStr">
        <is>
          <t>mau</t>
        </is>
      </c>
      <c r="R1609" t="inlineStr">
        <is>
          <t xml:space="preserve">RC </t>
        </is>
      </c>
      <c r="S1609" t="n">
        <v>7</v>
      </c>
      <c r="T1609" t="n">
        <v>35</v>
      </c>
      <c r="U1609" t="inlineStr">
        <is>
          <t>2004-02-11</t>
        </is>
      </c>
      <c r="V1609" t="inlineStr">
        <is>
          <t>2004-02-11</t>
        </is>
      </c>
      <c r="W1609" t="inlineStr">
        <is>
          <t>1991-11-21</t>
        </is>
      </c>
      <c r="X1609" t="inlineStr">
        <is>
          <t>1991-11-21</t>
        </is>
      </c>
      <c r="Y1609" t="n">
        <v>548</v>
      </c>
      <c r="Z1609" t="n">
        <v>441</v>
      </c>
      <c r="AA1609" t="n">
        <v>444</v>
      </c>
      <c r="AB1609" t="n">
        <v>4</v>
      </c>
      <c r="AC1609" t="n">
        <v>4</v>
      </c>
      <c r="AD1609" t="n">
        <v>19</v>
      </c>
      <c r="AE1609" t="n">
        <v>19</v>
      </c>
      <c r="AF1609" t="n">
        <v>5</v>
      </c>
      <c r="AG1609" t="n">
        <v>5</v>
      </c>
      <c r="AH1609" t="n">
        <v>6</v>
      </c>
      <c r="AI1609" t="n">
        <v>6</v>
      </c>
      <c r="AJ1609" t="n">
        <v>10</v>
      </c>
      <c r="AK1609" t="n">
        <v>10</v>
      </c>
      <c r="AL1609" t="n">
        <v>2</v>
      </c>
      <c r="AM1609" t="n">
        <v>2</v>
      </c>
      <c r="AN1609" t="n">
        <v>0</v>
      </c>
      <c r="AO1609" t="n">
        <v>0</v>
      </c>
      <c r="AP1609" t="inlineStr">
        <is>
          <t>No</t>
        </is>
      </c>
      <c r="AQ1609" t="inlineStr">
        <is>
          <t>Yes</t>
        </is>
      </c>
      <c r="AR1609">
        <f>HYPERLINK("http://catalog.hathitrust.org/Record/000221671","HathiTrust Record")</f>
        <v/>
      </c>
      <c r="AS1609">
        <f>HYPERLINK("https://creighton-primo.hosted.exlibrisgroup.com/primo-explore/search?tab=default_tab&amp;search_scope=EVERYTHING&amp;vid=01CRU&amp;lang=en_US&amp;offset=0&amp;query=any,contains,991001782719702656","Catalog Record")</f>
        <v/>
      </c>
      <c r="AT1609">
        <f>HYPERLINK("http://www.worldcat.org/oclc/7277660","WorldCat Record")</f>
        <v/>
      </c>
      <c r="AU1609" t="inlineStr">
        <is>
          <t>20924285:eng</t>
        </is>
      </c>
      <c r="AV1609" t="inlineStr">
        <is>
          <t>7277660</t>
        </is>
      </c>
      <c r="AW1609" t="inlineStr">
        <is>
          <t>991001782719702656</t>
        </is>
      </c>
      <c r="AX1609" t="inlineStr">
        <is>
          <t>991001782719702656</t>
        </is>
      </c>
      <c r="AY1609" t="inlineStr">
        <is>
          <t>2263854840002656</t>
        </is>
      </c>
      <c r="AZ1609" t="inlineStr">
        <is>
          <t>BOOK</t>
        </is>
      </c>
      <c r="BB1609" t="inlineStr">
        <is>
          <t>9780669045512</t>
        </is>
      </c>
      <c r="BC1609" t="inlineStr">
        <is>
          <t>32285000843515</t>
        </is>
      </c>
      <c r="BD1609" t="inlineStr">
        <is>
          <t>893721150</t>
        </is>
      </c>
    </row>
    <row r="1610">
      <c r="A1610" t="inlineStr">
        <is>
          <t>No</t>
        </is>
      </c>
      <c r="B1610" t="inlineStr">
        <is>
          <t>RC954.3 .O43</t>
        </is>
      </c>
      <c r="C1610" t="inlineStr">
        <is>
          <t>0                      RC 0954300O  43</t>
        </is>
      </c>
      <c r="D1610" t="inlineStr">
        <is>
          <t>Old, sick, and helpless : where therapy begins / Robert Kastenbaum ... [et al.].</t>
        </is>
      </c>
      <c r="F1610" t="inlineStr">
        <is>
          <t>No</t>
        </is>
      </c>
      <c r="G1610" t="inlineStr">
        <is>
          <t>1</t>
        </is>
      </c>
      <c r="H1610" t="inlineStr">
        <is>
          <t>No</t>
        </is>
      </c>
      <c r="I1610" t="inlineStr">
        <is>
          <t>No</t>
        </is>
      </c>
      <c r="J1610" t="inlineStr">
        <is>
          <t>0</t>
        </is>
      </c>
      <c r="L1610" t="inlineStr">
        <is>
          <t>Cambridge, Mass. : Ballinger Pub. Co., 1981.</t>
        </is>
      </c>
      <c r="M1610" t="inlineStr">
        <is>
          <t>1981</t>
        </is>
      </c>
      <c r="O1610" t="inlineStr">
        <is>
          <t>eng</t>
        </is>
      </c>
      <c r="P1610" t="inlineStr">
        <is>
          <t>mau</t>
        </is>
      </c>
      <c r="R1610" t="inlineStr">
        <is>
          <t xml:space="preserve">RC </t>
        </is>
      </c>
      <c r="S1610" t="n">
        <v>9</v>
      </c>
      <c r="T1610" t="n">
        <v>9</v>
      </c>
      <c r="U1610" t="inlineStr">
        <is>
          <t>1994-10-25</t>
        </is>
      </c>
      <c r="V1610" t="inlineStr">
        <is>
          <t>1994-10-25</t>
        </is>
      </c>
      <c r="W1610" t="inlineStr">
        <is>
          <t>1992-03-23</t>
        </is>
      </c>
      <c r="X1610" t="inlineStr">
        <is>
          <t>1992-03-23</t>
        </is>
      </c>
      <c r="Y1610" t="n">
        <v>329</v>
      </c>
      <c r="Z1610" t="n">
        <v>295</v>
      </c>
      <c r="AA1610" t="n">
        <v>298</v>
      </c>
      <c r="AB1610" t="n">
        <v>2</v>
      </c>
      <c r="AC1610" t="n">
        <v>2</v>
      </c>
      <c r="AD1610" t="n">
        <v>11</v>
      </c>
      <c r="AE1610" t="n">
        <v>11</v>
      </c>
      <c r="AF1610" t="n">
        <v>4</v>
      </c>
      <c r="AG1610" t="n">
        <v>4</v>
      </c>
      <c r="AH1610" t="n">
        <v>3</v>
      </c>
      <c r="AI1610" t="n">
        <v>3</v>
      </c>
      <c r="AJ1610" t="n">
        <v>5</v>
      </c>
      <c r="AK1610" t="n">
        <v>5</v>
      </c>
      <c r="AL1610" t="n">
        <v>1</v>
      </c>
      <c r="AM1610" t="n">
        <v>1</v>
      </c>
      <c r="AN1610" t="n">
        <v>0</v>
      </c>
      <c r="AO1610" t="n">
        <v>0</v>
      </c>
      <c r="AP1610" t="inlineStr">
        <is>
          <t>No</t>
        </is>
      </c>
      <c r="AQ1610" t="inlineStr">
        <is>
          <t>Yes</t>
        </is>
      </c>
      <c r="AR1610">
        <f>HYPERLINK("http://catalog.hathitrust.org/Record/008852290","HathiTrust Record")</f>
        <v/>
      </c>
      <c r="AS1610">
        <f>HYPERLINK("https://creighton-primo.hosted.exlibrisgroup.com/primo-explore/search?tab=default_tab&amp;search_scope=EVERYTHING&amp;vid=01CRU&amp;lang=en_US&amp;offset=0&amp;query=any,contains,991005125129702656","Catalog Record")</f>
        <v/>
      </c>
      <c r="AT1610">
        <f>HYPERLINK("http://www.worldcat.org/oclc/7552957","WorldCat Record")</f>
        <v/>
      </c>
      <c r="AU1610" t="inlineStr">
        <is>
          <t>4202559252:eng</t>
        </is>
      </c>
      <c r="AV1610" t="inlineStr">
        <is>
          <t>7552957</t>
        </is>
      </c>
      <c r="AW1610" t="inlineStr">
        <is>
          <t>991005125129702656</t>
        </is>
      </c>
      <c r="AX1610" t="inlineStr">
        <is>
          <t>991005125129702656</t>
        </is>
      </c>
      <c r="AY1610" t="inlineStr">
        <is>
          <t>2265575710002656</t>
        </is>
      </c>
      <c r="AZ1610" t="inlineStr">
        <is>
          <t>BOOK</t>
        </is>
      </c>
      <c r="BB1610" t="inlineStr">
        <is>
          <t>9780884107170</t>
        </is>
      </c>
      <c r="BC1610" t="inlineStr">
        <is>
          <t>32285001025849</t>
        </is>
      </c>
      <c r="BD1610" t="inlineStr">
        <is>
          <t>893514081</t>
        </is>
      </c>
    </row>
    <row r="1611">
      <c r="A1611" t="inlineStr">
        <is>
          <t>No</t>
        </is>
      </c>
      <c r="B1611" t="inlineStr">
        <is>
          <t>RC963.3 .W33 1987</t>
        </is>
      </c>
      <c r="C1611" t="inlineStr">
        <is>
          <t>0                      RC 0963300W  33          1987</t>
        </is>
      </c>
      <c r="D1611" t="inlineStr">
        <is>
          <t>Corporate physicians : between medicine and management / Diana Chapman Walsh.</t>
        </is>
      </c>
      <c r="F1611" t="inlineStr">
        <is>
          <t>No</t>
        </is>
      </c>
      <c r="G1611" t="inlineStr">
        <is>
          <t>1</t>
        </is>
      </c>
      <c r="H1611" t="inlineStr">
        <is>
          <t>No</t>
        </is>
      </c>
      <c r="I1611" t="inlineStr">
        <is>
          <t>No</t>
        </is>
      </c>
      <c r="J1611" t="inlineStr">
        <is>
          <t>0</t>
        </is>
      </c>
      <c r="K1611" t="inlineStr">
        <is>
          <t>Walsh, Diana Chapman.</t>
        </is>
      </c>
      <c r="L1611" t="inlineStr">
        <is>
          <t>New Haven : Yale University Press, c1987.</t>
        </is>
      </c>
      <c r="M1611" t="inlineStr">
        <is>
          <t>1987</t>
        </is>
      </c>
      <c r="O1611" t="inlineStr">
        <is>
          <t>eng</t>
        </is>
      </c>
      <c r="P1611" t="inlineStr">
        <is>
          <t>ctu</t>
        </is>
      </c>
      <c r="R1611" t="inlineStr">
        <is>
          <t xml:space="preserve">RC </t>
        </is>
      </c>
      <c r="S1611" t="n">
        <v>1</v>
      </c>
      <c r="T1611" t="n">
        <v>1</v>
      </c>
      <c r="U1611" t="inlineStr">
        <is>
          <t>1992-05-21</t>
        </is>
      </c>
      <c r="V1611" t="inlineStr">
        <is>
          <t>1992-05-21</t>
        </is>
      </c>
      <c r="W1611" t="inlineStr">
        <is>
          <t>1992-05-20</t>
        </is>
      </c>
      <c r="X1611" t="inlineStr">
        <is>
          <t>1992-05-20</t>
        </is>
      </c>
      <c r="Y1611" t="n">
        <v>232</v>
      </c>
      <c r="Z1611" t="n">
        <v>195</v>
      </c>
      <c r="AA1611" t="n">
        <v>396</v>
      </c>
      <c r="AB1611" t="n">
        <v>1</v>
      </c>
      <c r="AC1611" t="n">
        <v>1</v>
      </c>
      <c r="AD1611" t="n">
        <v>11</v>
      </c>
      <c r="AE1611" t="n">
        <v>22</v>
      </c>
      <c r="AF1611" t="n">
        <v>3</v>
      </c>
      <c r="AG1611" t="n">
        <v>10</v>
      </c>
      <c r="AH1611" t="n">
        <v>4</v>
      </c>
      <c r="AI1611" t="n">
        <v>7</v>
      </c>
      <c r="AJ1611" t="n">
        <v>6</v>
      </c>
      <c r="AK1611" t="n">
        <v>11</v>
      </c>
      <c r="AL1611" t="n">
        <v>0</v>
      </c>
      <c r="AM1611" t="n">
        <v>0</v>
      </c>
      <c r="AN1611" t="n">
        <v>1</v>
      </c>
      <c r="AO1611" t="n">
        <v>1</v>
      </c>
      <c r="AP1611" t="inlineStr">
        <is>
          <t>No</t>
        </is>
      </c>
      <c r="AQ1611" t="inlineStr">
        <is>
          <t>No</t>
        </is>
      </c>
      <c r="AS1611">
        <f>HYPERLINK("https://creighton-primo.hosted.exlibrisgroup.com/primo-explore/search?tab=default_tab&amp;search_scope=EVERYTHING&amp;vid=01CRU&amp;lang=en_US&amp;offset=0&amp;query=any,contains,991001011159702656","Catalog Record")</f>
        <v/>
      </c>
      <c r="AT1611">
        <f>HYPERLINK("http://www.worldcat.org/oclc/15283654","WorldCat Record")</f>
        <v/>
      </c>
      <c r="AU1611" t="inlineStr">
        <is>
          <t>475562554:eng</t>
        </is>
      </c>
      <c r="AV1611" t="inlineStr">
        <is>
          <t>15283654</t>
        </is>
      </c>
      <c r="AW1611" t="inlineStr">
        <is>
          <t>991001011159702656</t>
        </is>
      </c>
      <c r="AX1611" t="inlineStr">
        <is>
          <t>991001011159702656</t>
        </is>
      </c>
      <c r="AY1611" t="inlineStr">
        <is>
          <t>2264393090002656</t>
        </is>
      </c>
      <c r="AZ1611" t="inlineStr">
        <is>
          <t>BOOK</t>
        </is>
      </c>
      <c r="BB1611" t="inlineStr">
        <is>
          <t>9780300039023</t>
        </is>
      </c>
      <c r="BC1611" t="inlineStr">
        <is>
          <t>32285001098119</t>
        </is>
      </c>
      <c r="BD1611" t="inlineStr">
        <is>
          <t>893243786</t>
        </is>
      </c>
    </row>
    <row r="1612">
      <c r="A1612" t="inlineStr">
        <is>
          <t>No</t>
        </is>
      </c>
      <c r="B1612" t="inlineStr">
        <is>
          <t>RC963.5.S54 M66 1992</t>
        </is>
      </c>
      <c r="C1612" t="inlineStr">
        <is>
          <t>0                      RC 0963500S  54                 M  66          1992</t>
        </is>
      </c>
      <c r="D1612" t="inlineStr">
        <is>
          <t>Making shift work tolerable / Timothy H. Monk, Simon Folkard.</t>
        </is>
      </c>
      <c r="F1612" t="inlineStr">
        <is>
          <t>No</t>
        </is>
      </c>
      <c r="G1612" t="inlineStr">
        <is>
          <t>1</t>
        </is>
      </c>
      <c r="H1612" t="inlineStr">
        <is>
          <t>No</t>
        </is>
      </c>
      <c r="I1612" t="inlineStr">
        <is>
          <t>No</t>
        </is>
      </c>
      <c r="J1612" t="inlineStr">
        <is>
          <t>0</t>
        </is>
      </c>
      <c r="K1612" t="inlineStr">
        <is>
          <t>Monk, Timothy H.</t>
        </is>
      </c>
      <c r="L1612" t="inlineStr">
        <is>
          <t>London : Taylor &amp; Francis, 1992.</t>
        </is>
      </c>
      <c r="M1612" t="inlineStr">
        <is>
          <t>1992</t>
        </is>
      </c>
      <c r="O1612" t="inlineStr">
        <is>
          <t>eng</t>
        </is>
      </c>
      <c r="P1612" t="inlineStr">
        <is>
          <t>enk</t>
        </is>
      </c>
      <c r="R1612" t="inlineStr">
        <is>
          <t xml:space="preserve">RC </t>
        </is>
      </c>
      <c r="S1612" t="n">
        <v>1</v>
      </c>
      <c r="T1612" t="n">
        <v>1</v>
      </c>
      <c r="U1612" t="inlineStr">
        <is>
          <t>2000-10-24</t>
        </is>
      </c>
      <c r="V1612" t="inlineStr">
        <is>
          <t>2000-10-24</t>
        </is>
      </c>
      <c r="W1612" t="inlineStr">
        <is>
          <t>1996-04-12</t>
        </is>
      </c>
      <c r="X1612" t="inlineStr">
        <is>
          <t>1996-04-12</t>
        </is>
      </c>
      <c r="Y1612" t="n">
        <v>259</v>
      </c>
      <c r="Z1612" t="n">
        <v>145</v>
      </c>
      <c r="AA1612" t="n">
        <v>150</v>
      </c>
      <c r="AB1612" t="n">
        <v>2</v>
      </c>
      <c r="AC1612" t="n">
        <v>2</v>
      </c>
      <c r="AD1612" t="n">
        <v>6</v>
      </c>
      <c r="AE1612" t="n">
        <v>6</v>
      </c>
      <c r="AF1612" t="n">
        <v>2</v>
      </c>
      <c r="AG1612" t="n">
        <v>2</v>
      </c>
      <c r="AH1612" t="n">
        <v>2</v>
      </c>
      <c r="AI1612" t="n">
        <v>2</v>
      </c>
      <c r="AJ1612" t="n">
        <v>4</v>
      </c>
      <c r="AK1612" t="n">
        <v>4</v>
      </c>
      <c r="AL1612" t="n">
        <v>1</v>
      </c>
      <c r="AM1612" t="n">
        <v>1</v>
      </c>
      <c r="AN1612" t="n">
        <v>0</v>
      </c>
      <c r="AO1612" t="n">
        <v>0</v>
      </c>
      <c r="AP1612" t="inlineStr">
        <is>
          <t>No</t>
        </is>
      </c>
      <c r="AQ1612" t="inlineStr">
        <is>
          <t>No</t>
        </is>
      </c>
      <c r="AS1612">
        <f>HYPERLINK("https://creighton-primo.hosted.exlibrisgroup.com/primo-explore/search?tab=default_tab&amp;search_scope=EVERYTHING&amp;vid=01CRU&amp;lang=en_US&amp;offset=0&amp;query=any,contains,991002181199702656","Catalog Record")</f>
        <v/>
      </c>
      <c r="AT1612">
        <f>HYPERLINK("http://www.worldcat.org/oclc/28067617","WorldCat Record")</f>
        <v/>
      </c>
      <c r="AU1612" t="inlineStr">
        <is>
          <t>30332132:eng</t>
        </is>
      </c>
      <c r="AV1612" t="inlineStr">
        <is>
          <t>28067617</t>
        </is>
      </c>
      <c r="AW1612" t="inlineStr">
        <is>
          <t>991002181199702656</t>
        </is>
      </c>
      <c r="AX1612" t="inlineStr">
        <is>
          <t>991002181199702656</t>
        </is>
      </c>
      <c r="AY1612" t="inlineStr">
        <is>
          <t>2259359860002656</t>
        </is>
      </c>
      <c r="AZ1612" t="inlineStr">
        <is>
          <t>BOOK</t>
        </is>
      </c>
      <c r="BB1612" t="inlineStr">
        <is>
          <t>9780850668223</t>
        </is>
      </c>
      <c r="BC1612" t="inlineStr">
        <is>
          <t>32285002151974</t>
        </is>
      </c>
      <c r="BD1612" t="inlineStr">
        <is>
          <t>893691300</t>
        </is>
      </c>
    </row>
    <row r="1613">
      <c r="A1613" t="inlineStr">
        <is>
          <t>No</t>
        </is>
      </c>
      <c r="B1613" t="inlineStr">
        <is>
          <t>RC965.V53 H37 1992</t>
        </is>
      </c>
      <c r="C1613" t="inlineStr">
        <is>
          <t>0                      RC 0965000V  53                 H  37          1992</t>
        </is>
      </c>
      <c r="D1613" t="inlineStr">
        <is>
          <t>Healthy computing : risks and remedies every computer-user needs to know / Ronald Harwin, Colin Haynes.</t>
        </is>
      </c>
      <c r="F1613" t="inlineStr">
        <is>
          <t>No</t>
        </is>
      </c>
      <c r="G1613" t="inlineStr">
        <is>
          <t>1</t>
        </is>
      </c>
      <c r="H1613" t="inlineStr">
        <is>
          <t>No</t>
        </is>
      </c>
      <c r="I1613" t="inlineStr">
        <is>
          <t>No</t>
        </is>
      </c>
      <c r="J1613" t="inlineStr">
        <is>
          <t>0</t>
        </is>
      </c>
      <c r="K1613" t="inlineStr">
        <is>
          <t>Harwin, Ronald.</t>
        </is>
      </c>
      <c r="L1613" t="inlineStr">
        <is>
          <t>New York, N.Y. : American Management Association, 1992.</t>
        </is>
      </c>
      <c r="M1613" t="inlineStr">
        <is>
          <t>1991</t>
        </is>
      </c>
      <c r="O1613" t="inlineStr">
        <is>
          <t>eng</t>
        </is>
      </c>
      <c r="P1613" t="inlineStr">
        <is>
          <t>nyu</t>
        </is>
      </c>
      <c r="R1613" t="inlineStr">
        <is>
          <t xml:space="preserve">RC </t>
        </is>
      </c>
      <c r="S1613" t="n">
        <v>3</v>
      </c>
      <c r="T1613" t="n">
        <v>3</v>
      </c>
      <c r="U1613" t="inlineStr">
        <is>
          <t>1994-04-06</t>
        </is>
      </c>
      <c r="V1613" t="inlineStr">
        <is>
          <t>1994-04-06</t>
        </is>
      </c>
      <c r="W1613" t="inlineStr">
        <is>
          <t>1991-11-18</t>
        </is>
      </c>
      <c r="X1613" t="inlineStr">
        <is>
          <t>1991-11-18</t>
        </is>
      </c>
      <c r="Y1613" t="n">
        <v>430</v>
      </c>
      <c r="Z1613" t="n">
        <v>378</v>
      </c>
      <c r="AA1613" t="n">
        <v>401</v>
      </c>
      <c r="AB1613" t="n">
        <v>3</v>
      </c>
      <c r="AC1613" t="n">
        <v>3</v>
      </c>
      <c r="AD1613" t="n">
        <v>8</v>
      </c>
      <c r="AE1613" t="n">
        <v>8</v>
      </c>
      <c r="AF1613" t="n">
        <v>2</v>
      </c>
      <c r="AG1613" t="n">
        <v>2</v>
      </c>
      <c r="AH1613" t="n">
        <v>1</v>
      </c>
      <c r="AI1613" t="n">
        <v>1</v>
      </c>
      <c r="AJ1613" t="n">
        <v>4</v>
      </c>
      <c r="AK1613" t="n">
        <v>4</v>
      </c>
      <c r="AL1613" t="n">
        <v>2</v>
      </c>
      <c r="AM1613" t="n">
        <v>2</v>
      </c>
      <c r="AN1613" t="n">
        <v>1</v>
      </c>
      <c r="AO1613" t="n">
        <v>1</v>
      </c>
      <c r="AP1613" t="inlineStr">
        <is>
          <t>No</t>
        </is>
      </c>
      <c r="AQ1613" t="inlineStr">
        <is>
          <t>Yes</t>
        </is>
      </c>
      <c r="AR1613">
        <f>HYPERLINK("http://catalog.hathitrust.org/Record/102763151","HathiTrust Record")</f>
        <v/>
      </c>
      <c r="AS1613">
        <f>HYPERLINK("https://creighton-primo.hosted.exlibrisgroup.com/primo-explore/search?tab=default_tab&amp;search_scope=EVERYTHING&amp;vid=01CRU&amp;lang=en_US&amp;offset=0&amp;query=any,contains,991001898889702656","Catalog Record")</f>
        <v/>
      </c>
      <c r="AT1613">
        <f>HYPERLINK("http://www.worldcat.org/oclc/23976942","WorldCat Record")</f>
        <v/>
      </c>
      <c r="AU1613" t="inlineStr">
        <is>
          <t>196513669:eng</t>
        </is>
      </c>
      <c r="AV1613" t="inlineStr">
        <is>
          <t>23976942</t>
        </is>
      </c>
      <c r="AW1613" t="inlineStr">
        <is>
          <t>991001898889702656</t>
        </is>
      </c>
      <c r="AX1613" t="inlineStr">
        <is>
          <t>991001898889702656</t>
        </is>
      </c>
      <c r="AY1613" t="inlineStr">
        <is>
          <t>2270078870002656</t>
        </is>
      </c>
      <c r="AZ1613" t="inlineStr">
        <is>
          <t>BOOK</t>
        </is>
      </c>
      <c r="BB1613" t="inlineStr">
        <is>
          <t>9780814477663</t>
        </is>
      </c>
      <c r="BC1613" t="inlineStr">
        <is>
          <t>32285000834407</t>
        </is>
      </c>
      <c r="BD1613" t="inlineStr">
        <is>
          <t>893602966</t>
        </is>
      </c>
    </row>
    <row r="1614">
      <c r="A1614" t="inlineStr">
        <is>
          <t>No</t>
        </is>
      </c>
      <c r="B1614" t="inlineStr">
        <is>
          <t>RC966 .L3</t>
        </is>
      </c>
      <c r="C1614" t="inlineStr">
        <is>
          <t>0                      RC 0966000L  3</t>
        </is>
      </c>
      <c r="D1614" t="inlineStr">
        <is>
          <t>New goals for old age / edited by George Lawton.</t>
        </is>
      </c>
      <c r="F1614" t="inlineStr">
        <is>
          <t>No</t>
        </is>
      </c>
      <c r="G1614" t="inlineStr">
        <is>
          <t>1</t>
        </is>
      </c>
      <c r="H1614" t="inlineStr">
        <is>
          <t>No</t>
        </is>
      </c>
      <c r="I1614" t="inlineStr">
        <is>
          <t>No</t>
        </is>
      </c>
      <c r="J1614" t="inlineStr">
        <is>
          <t>0</t>
        </is>
      </c>
      <c r="K1614" t="inlineStr">
        <is>
          <t>Lawton, George, 1900-1957.</t>
        </is>
      </c>
      <c r="L1614" t="inlineStr">
        <is>
          <t>New York : Columbia University Press, c1943.</t>
        </is>
      </c>
      <c r="M1614" t="inlineStr">
        <is>
          <t>1943</t>
        </is>
      </c>
      <c r="O1614" t="inlineStr">
        <is>
          <t>eng</t>
        </is>
      </c>
      <c r="P1614" t="inlineStr">
        <is>
          <t>nyu</t>
        </is>
      </c>
      <c r="R1614" t="inlineStr">
        <is>
          <t xml:space="preserve">RC </t>
        </is>
      </c>
      <c r="S1614" t="n">
        <v>2</v>
      </c>
      <c r="T1614" t="n">
        <v>2</v>
      </c>
      <c r="U1614" t="inlineStr">
        <is>
          <t>1997-04-08</t>
        </is>
      </c>
      <c r="V1614" t="inlineStr">
        <is>
          <t>1997-04-08</t>
        </is>
      </c>
      <c r="W1614" t="inlineStr">
        <is>
          <t>1994-12-08</t>
        </is>
      </c>
      <c r="X1614" t="inlineStr">
        <is>
          <t>1994-12-08</t>
        </is>
      </c>
      <c r="Y1614" t="n">
        <v>265</v>
      </c>
      <c r="Z1614" t="n">
        <v>244</v>
      </c>
      <c r="AA1614" t="n">
        <v>328</v>
      </c>
      <c r="AB1614" t="n">
        <v>1</v>
      </c>
      <c r="AC1614" t="n">
        <v>3</v>
      </c>
      <c r="AD1614" t="n">
        <v>7</v>
      </c>
      <c r="AE1614" t="n">
        <v>10</v>
      </c>
      <c r="AF1614" t="n">
        <v>2</v>
      </c>
      <c r="AG1614" t="n">
        <v>3</v>
      </c>
      <c r="AH1614" t="n">
        <v>2</v>
      </c>
      <c r="AI1614" t="n">
        <v>2</v>
      </c>
      <c r="AJ1614" t="n">
        <v>4</v>
      </c>
      <c r="AK1614" t="n">
        <v>5</v>
      </c>
      <c r="AL1614" t="n">
        <v>0</v>
      </c>
      <c r="AM1614" t="n">
        <v>1</v>
      </c>
      <c r="AN1614" t="n">
        <v>1</v>
      </c>
      <c r="AO1614" t="n">
        <v>1</v>
      </c>
      <c r="AP1614" t="inlineStr">
        <is>
          <t>No</t>
        </is>
      </c>
      <c r="AQ1614" t="inlineStr">
        <is>
          <t>No</t>
        </is>
      </c>
      <c r="AR1614">
        <f>HYPERLINK("http://catalog.hathitrust.org/Record/001580718","HathiTrust Record")</f>
        <v/>
      </c>
      <c r="AS1614">
        <f>HYPERLINK("https://creighton-primo.hosted.exlibrisgroup.com/primo-explore/search?tab=default_tab&amp;search_scope=EVERYTHING&amp;vid=01CRU&amp;lang=en_US&amp;offset=0&amp;query=any,contains,991003363279702656","Catalog Record")</f>
        <v/>
      </c>
      <c r="AT1614">
        <f>HYPERLINK("http://www.worldcat.org/oclc/899393","WorldCat Record")</f>
        <v/>
      </c>
      <c r="AU1614" t="inlineStr">
        <is>
          <t>1916186:eng</t>
        </is>
      </c>
      <c r="AV1614" t="inlineStr">
        <is>
          <t>899393</t>
        </is>
      </c>
      <c r="AW1614" t="inlineStr">
        <is>
          <t>991003363279702656</t>
        </is>
      </c>
      <c r="AX1614" t="inlineStr">
        <is>
          <t>991003363279702656</t>
        </is>
      </c>
      <c r="AY1614" t="inlineStr">
        <is>
          <t>2257657270002656</t>
        </is>
      </c>
      <c r="AZ1614" t="inlineStr">
        <is>
          <t>BOOK</t>
        </is>
      </c>
      <c r="BC1614" t="inlineStr">
        <is>
          <t>32285001980522</t>
        </is>
      </c>
      <c r="BD1614" t="inlineStr">
        <is>
          <t>893524744</t>
        </is>
      </c>
    </row>
    <row r="1615">
      <c r="A1615" t="inlineStr">
        <is>
          <t>No</t>
        </is>
      </c>
      <c r="B1615" t="inlineStr">
        <is>
          <t>RC967 .A75</t>
        </is>
      </c>
      <c r="C1615" t="inlineStr">
        <is>
          <t>0                      RC 0967000A  75</t>
        </is>
      </c>
      <c r="D1615" t="inlineStr">
        <is>
          <t>Occupational health and safety concepts : chemical and processing hazards / Gordon R. C. Atherley. --</t>
        </is>
      </c>
      <c r="F1615" t="inlineStr">
        <is>
          <t>No</t>
        </is>
      </c>
      <c r="G1615" t="inlineStr">
        <is>
          <t>1</t>
        </is>
      </c>
      <c r="H1615" t="inlineStr">
        <is>
          <t>No</t>
        </is>
      </c>
      <c r="I1615" t="inlineStr">
        <is>
          <t>No</t>
        </is>
      </c>
      <c r="J1615" t="inlineStr">
        <is>
          <t>0</t>
        </is>
      </c>
      <c r="K1615" t="inlineStr">
        <is>
          <t>Atherley, Gordon R. C.</t>
        </is>
      </c>
      <c r="L1615" t="inlineStr">
        <is>
          <t>London : Applied Science Publishers, 1978.</t>
        </is>
      </c>
      <c r="M1615" t="inlineStr">
        <is>
          <t>1978</t>
        </is>
      </c>
      <c r="O1615" t="inlineStr">
        <is>
          <t>eng</t>
        </is>
      </c>
      <c r="P1615" t="inlineStr">
        <is>
          <t>enk</t>
        </is>
      </c>
      <c r="R1615" t="inlineStr">
        <is>
          <t xml:space="preserve">RC </t>
        </is>
      </c>
      <c r="S1615" t="n">
        <v>2</v>
      </c>
      <c r="T1615" t="n">
        <v>2</v>
      </c>
      <c r="U1615" t="inlineStr">
        <is>
          <t>1995-04-06</t>
        </is>
      </c>
      <c r="V1615" t="inlineStr">
        <is>
          <t>1995-04-06</t>
        </is>
      </c>
      <c r="W1615" t="inlineStr">
        <is>
          <t>1993-03-24</t>
        </is>
      </c>
      <c r="X1615" t="inlineStr">
        <is>
          <t>1993-03-24</t>
        </is>
      </c>
      <c r="Y1615" t="n">
        <v>156</v>
      </c>
      <c r="Z1615" t="n">
        <v>70</v>
      </c>
      <c r="AA1615" t="n">
        <v>78</v>
      </c>
      <c r="AB1615" t="n">
        <v>1</v>
      </c>
      <c r="AC1615" t="n">
        <v>1</v>
      </c>
      <c r="AD1615" t="n">
        <v>0</v>
      </c>
      <c r="AE1615" t="n">
        <v>0</v>
      </c>
      <c r="AF1615" t="n">
        <v>0</v>
      </c>
      <c r="AG1615" t="n">
        <v>0</v>
      </c>
      <c r="AH1615" t="n">
        <v>0</v>
      </c>
      <c r="AI1615" t="n">
        <v>0</v>
      </c>
      <c r="AJ1615" t="n">
        <v>0</v>
      </c>
      <c r="AK1615" t="n">
        <v>0</v>
      </c>
      <c r="AL1615" t="n">
        <v>0</v>
      </c>
      <c r="AM1615" t="n">
        <v>0</v>
      </c>
      <c r="AN1615" t="n">
        <v>0</v>
      </c>
      <c r="AO1615" t="n">
        <v>0</v>
      </c>
      <c r="AP1615" t="inlineStr">
        <is>
          <t>No</t>
        </is>
      </c>
      <c r="AQ1615" t="inlineStr">
        <is>
          <t>Yes</t>
        </is>
      </c>
      <c r="AR1615">
        <f>HYPERLINK("http://catalog.hathitrust.org/Record/000699788","HathiTrust Record")</f>
        <v/>
      </c>
      <c r="AS1615">
        <f>HYPERLINK("https://creighton-primo.hosted.exlibrisgroup.com/primo-explore/search?tab=default_tab&amp;search_scope=EVERYTHING&amp;vid=01CRU&amp;lang=en_US&amp;offset=0&amp;query=any,contains,991004634569702656","Catalog Record")</f>
        <v/>
      </c>
      <c r="AT1615">
        <f>HYPERLINK("http://www.worldcat.org/oclc/4399239","WorldCat Record")</f>
        <v/>
      </c>
      <c r="AU1615" t="inlineStr">
        <is>
          <t>374696216:eng</t>
        </is>
      </c>
      <c r="AV1615" t="inlineStr">
        <is>
          <t>4399239</t>
        </is>
      </c>
      <c r="AW1615" t="inlineStr">
        <is>
          <t>991004634569702656</t>
        </is>
      </c>
      <c r="AX1615" t="inlineStr">
        <is>
          <t>991004634569702656</t>
        </is>
      </c>
      <c r="AY1615" t="inlineStr">
        <is>
          <t>2262177390002656</t>
        </is>
      </c>
      <c r="AZ1615" t="inlineStr">
        <is>
          <t>BOOK</t>
        </is>
      </c>
      <c r="BB1615" t="inlineStr">
        <is>
          <t>9780853347422</t>
        </is>
      </c>
      <c r="BC1615" t="inlineStr">
        <is>
          <t>32285001608214</t>
        </is>
      </c>
      <c r="BD1615" t="inlineStr">
        <is>
          <t>893876350</t>
        </is>
      </c>
    </row>
    <row r="1616">
      <c r="A1616" t="inlineStr">
        <is>
          <t>No</t>
        </is>
      </c>
      <c r="B1616" t="inlineStr">
        <is>
          <t>RC967 .C44 1987</t>
        </is>
      </c>
      <c r="C1616" t="inlineStr">
        <is>
          <t>0                      RC 0967000C  44          1987</t>
        </is>
      </c>
      <c r="D1616" t="inlineStr">
        <is>
          <t>Planning health promotion at the worksite / David H. Chenoweth.</t>
        </is>
      </c>
      <c r="F1616" t="inlineStr">
        <is>
          <t>No</t>
        </is>
      </c>
      <c r="G1616" t="inlineStr">
        <is>
          <t>1</t>
        </is>
      </c>
      <c r="H1616" t="inlineStr">
        <is>
          <t>No</t>
        </is>
      </c>
      <c r="I1616" t="inlineStr">
        <is>
          <t>No</t>
        </is>
      </c>
      <c r="J1616" t="inlineStr">
        <is>
          <t>0</t>
        </is>
      </c>
      <c r="K1616" t="inlineStr">
        <is>
          <t>Chenoweth, David H., 1952-</t>
        </is>
      </c>
      <c r="L1616" t="inlineStr">
        <is>
          <t>Indianapolis : Benchmark Press, 1987.</t>
        </is>
      </c>
      <c r="M1616" t="inlineStr">
        <is>
          <t>1987</t>
        </is>
      </c>
      <c r="O1616" t="inlineStr">
        <is>
          <t>eng</t>
        </is>
      </c>
      <c r="P1616" t="inlineStr">
        <is>
          <t>inu</t>
        </is>
      </c>
      <c r="R1616" t="inlineStr">
        <is>
          <t xml:space="preserve">RC </t>
        </is>
      </c>
      <c r="S1616" t="n">
        <v>12</v>
      </c>
      <c r="T1616" t="n">
        <v>12</v>
      </c>
      <c r="U1616" t="inlineStr">
        <is>
          <t>2000-02-20</t>
        </is>
      </c>
      <c r="V1616" t="inlineStr">
        <is>
          <t>2000-02-20</t>
        </is>
      </c>
      <c r="W1616" t="inlineStr">
        <is>
          <t>1990-03-29</t>
        </is>
      </c>
      <c r="X1616" t="inlineStr">
        <is>
          <t>1990-03-29</t>
        </is>
      </c>
      <c r="Y1616" t="n">
        <v>200</v>
      </c>
      <c r="Z1616" t="n">
        <v>187</v>
      </c>
      <c r="AA1616" t="n">
        <v>223</v>
      </c>
      <c r="AB1616" t="n">
        <v>3</v>
      </c>
      <c r="AC1616" t="n">
        <v>4</v>
      </c>
      <c r="AD1616" t="n">
        <v>5</v>
      </c>
      <c r="AE1616" t="n">
        <v>5</v>
      </c>
      <c r="AF1616" t="n">
        <v>2</v>
      </c>
      <c r="AG1616" t="n">
        <v>2</v>
      </c>
      <c r="AH1616" t="n">
        <v>1</v>
      </c>
      <c r="AI1616" t="n">
        <v>1</v>
      </c>
      <c r="AJ1616" t="n">
        <v>0</v>
      </c>
      <c r="AK1616" t="n">
        <v>0</v>
      </c>
      <c r="AL1616" t="n">
        <v>2</v>
      </c>
      <c r="AM1616" t="n">
        <v>2</v>
      </c>
      <c r="AN1616" t="n">
        <v>0</v>
      </c>
      <c r="AO1616" t="n">
        <v>0</v>
      </c>
      <c r="AP1616" t="inlineStr">
        <is>
          <t>No</t>
        </is>
      </c>
      <c r="AQ1616" t="inlineStr">
        <is>
          <t>No</t>
        </is>
      </c>
      <c r="AS1616">
        <f>HYPERLINK("https://creighton-primo.hosted.exlibrisgroup.com/primo-explore/search?tab=default_tab&amp;search_scope=EVERYTHING&amp;vid=01CRU&amp;lang=en_US&amp;offset=0&amp;query=any,contains,991001039139702656","Catalog Record")</f>
        <v/>
      </c>
      <c r="AT1616">
        <f>HYPERLINK("http://www.worldcat.org/oclc/15560597","WorldCat Record")</f>
        <v/>
      </c>
      <c r="AU1616" t="inlineStr">
        <is>
          <t>9982649:eng</t>
        </is>
      </c>
      <c r="AV1616" t="inlineStr">
        <is>
          <t>15560597</t>
        </is>
      </c>
      <c r="AW1616" t="inlineStr">
        <is>
          <t>991001039139702656</t>
        </is>
      </c>
      <c r="AX1616" t="inlineStr">
        <is>
          <t>991001039139702656</t>
        </is>
      </c>
      <c r="AY1616" t="inlineStr">
        <is>
          <t>2257059710002656</t>
        </is>
      </c>
      <c r="AZ1616" t="inlineStr">
        <is>
          <t>BOOK</t>
        </is>
      </c>
      <c r="BB1616" t="inlineStr">
        <is>
          <t>9780936157160</t>
        </is>
      </c>
      <c r="BC1616" t="inlineStr">
        <is>
          <t>32285000106533</t>
        </is>
      </c>
      <c r="BD1616" t="inlineStr">
        <is>
          <t>893231648</t>
        </is>
      </c>
    </row>
    <row r="1617">
      <c r="A1617" t="inlineStr">
        <is>
          <t>No</t>
        </is>
      </c>
      <c r="B1617" t="inlineStr">
        <is>
          <t>RC967 .O28 1985</t>
        </is>
      </c>
      <c r="C1617" t="inlineStr">
        <is>
          <t>0                      RC 0967000O  28          1985</t>
        </is>
      </c>
      <c r="D1617" t="inlineStr">
        <is>
          <t>Occupational health promotion : health behavior in the workplace / George S. Everly, Jr., Robert H.L. Feldman, and associates ; with a foreword by Stephen M. Weiss.</t>
        </is>
      </c>
      <c r="F1617" t="inlineStr">
        <is>
          <t>No</t>
        </is>
      </c>
      <c r="G1617" t="inlineStr">
        <is>
          <t>1</t>
        </is>
      </c>
      <c r="H1617" t="inlineStr">
        <is>
          <t>No</t>
        </is>
      </c>
      <c r="I1617" t="inlineStr">
        <is>
          <t>No</t>
        </is>
      </c>
      <c r="J1617" t="inlineStr">
        <is>
          <t>0</t>
        </is>
      </c>
      <c r="L1617" t="inlineStr">
        <is>
          <t>New York : Wiley, c1985.</t>
        </is>
      </c>
      <c r="M1617" t="inlineStr">
        <is>
          <t>1985</t>
        </is>
      </c>
      <c r="O1617" t="inlineStr">
        <is>
          <t>eng</t>
        </is>
      </c>
      <c r="P1617" t="inlineStr">
        <is>
          <t>nyu</t>
        </is>
      </c>
      <c r="R1617" t="inlineStr">
        <is>
          <t xml:space="preserve">RC </t>
        </is>
      </c>
      <c r="S1617" t="n">
        <v>3</v>
      </c>
      <c r="T1617" t="n">
        <v>3</v>
      </c>
      <c r="U1617" t="inlineStr">
        <is>
          <t>2000-02-20</t>
        </is>
      </c>
      <c r="V1617" t="inlineStr">
        <is>
          <t>2000-02-20</t>
        </is>
      </c>
      <c r="W1617" t="inlineStr">
        <is>
          <t>1992-04-14</t>
        </is>
      </c>
      <c r="X1617" t="inlineStr">
        <is>
          <t>1992-04-14</t>
        </is>
      </c>
      <c r="Y1617" t="n">
        <v>170</v>
      </c>
      <c r="Z1617" t="n">
        <v>139</v>
      </c>
      <c r="AA1617" t="n">
        <v>140</v>
      </c>
      <c r="AB1617" t="n">
        <v>2</v>
      </c>
      <c r="AC1617" t="n">
        <v>2</v>
      </c>
      <c r="AD1617" t="n">
        <v>6</v>
      </c>
      <c r="AE1617" t="n">
        <v>6</v>
      </c>
      <c r="AF1617" t="n">
        <v>2</v>
      </c>
      <c r="AG1617" t="n">
        <v>2</v>
      </c>
      <c r="AH1617" t="n">
        <v>3</v>
      </c>
      <c r="AI1617" t="n">
        <v>3</v>
      </c>
      <c r="AJ1617" t="n">
        <v>2</v>
      </c>
      <c r="AK1617" t="n">
        <v>2</v>
      </c>
      <c r="AL1617" t="n">
        <v>1</v>
      </c>
      <c r="AM1617" t="n">
        <v>1</v>
      </c>
      <c r="AN1617" t="n">
        <v>0</v>
      </c>
      <c r="AO1617" t="n">
        <v>0</v>
      </c>
      <c r="AP1617" t="inlineStr">
        <is>
          <t>No</t>
        </is>
      </c>
      <c r="AQ1617" t="inlineStr">
        <is>
          <t>Yes</t>
        </is>
      </c>
      <c r="AR1617">
        <f>HYPERLINK("http://catalog.hathitrust.org/Record/000414280","HathiTrust Record")</f>
        <v/>
      </c>
      <c r="AS1617">
        <f>HYPERLINK("https://creighton-primo.hosted.exlibrisgroup.com/primo-explore/search?tab=default_tab&amp;search_scope=EVERYTHING&amp;vid=01CRU&amp;lang=en_US&amp;offset=0&amp;query=any,contains,991000506489702656","Catalog Record")</f>
        <v/>
      </c>
      <c r="AT1617">
        <f>HYPERLINK("http://www.worldcat.org/oclc/11211422","WorldCat Record")</f>
        <v/>
      </c>
      <c r="AU1617" t="inlineStr">
        <is>
          <t>3827073:eng</t>
        </is>
      </c>
      <c r="AV1617" t="inlineStr">
        <is>
          <t>11211422</t>
        </is>
      </c>
      <c r="AW1617" t="inlineStr">
        <is>
          <t>991000506489702656</t>
        </is>
      </c>
      <c r="AX1617" t="inlineStr">
        <is>
          <t>991000506489702656</t>
        </is>
      </c>
      <c r="AY1617" t="inlineStr">
        <is>
          <t>2255436680002656</t>
        </is>
      </c>
      <c r="AZ1617" t="inlineStr">
        <is>
          <t>BOOK</t>
        </is>
      </c>
      <c r="BB1617" t="inlineStr">
        <is>
          <t>9780471895336</t>
        </is>
      </c>
      <c r="BC1617" t="inlineStr">
        <is>
          <t>32285001059608</t>
        </is>
      </c>
      <c r="BD1617" t="inlineStr">
        <is>
          <t>893255483</t>
        </is>
      </c>
    </row>
    <row r="1618">
      <c r="A1618" t="inlineStr">
        <is>
          <t>No</t>
        </is>
      </c>
      <c r="B1618" t="inlineStr">
        <is>
          <t>RC967.5 .B76</t>
        </is>
      </c>
      <c r="C1618" t="inlineStr">
        <is>
          <t>0                      RC 0967500B  76</t>
        </is>
      </c>
      <c r="D1618" t="inlineStr">
        <is>
          <t>The harassed worker / Carroll M. Brodsky. --</t>
        </is>
      </c>
      <c r="F1618" t="inlineStr">
        <is>
          <t>No</t>
        </is>
      </c>
      <c r="G1618" t="inlineStr">
        <is>
          <t>1</t>
        </is>
      </c>
      <c r="H1618" t="inlineStr">
        <is>
          <t>No</t>
        </is>
      </c>
      <c r="I1618" t="inlineStr">
        <is>
          <t>No</t>
        </is>
      </c>
      <c r="J1618" t="inlineStr">
        <is>
          <t>0</t>
        </is>
      </c>
      <c r="K1618" t="inlineStr">
        <is>
          <t>Brodsky, Carroll M.</t>
        </is>
      </c>
      <c r="L1618" t="inlineStr">
        <is>
          <t>Lexington, Mass. : Lexington Books, c1976.</t>
        </is>
      </c>
      <c r="M1618" t="inlineStr">
        <is>
          <t>1976</t>
        </is>
      </c>
      <c r="O1618" t="inlineStr">
        <is>
          <t>eng</t>
        </is>
      </c>
      <c r="P1618" t="inlineStr">
        <is>
          <t>mau</t>
        </is>
      </c>
      <c r="R1618" t="inlineStr">
        <is>
          <t xml:space="preserve">RC </t>
        </is>
      </c>
      <c r="S1618" t="n">
        <v>1</v>
      </c>
      <c r="T1618" t="n">
        <v>1</v>
      </c>
      <c r="U1618" t="inlineStr">
        <is>
          <t>2000-11-08</t>
        </is>
      </c>
      <c r="V1618" t="inlineStr">
        <is>
          <t>2000-11-08</t>
        </is>
      </c>
      <c r="W1618" t="inlineStr">
        <is>
          <t>1992-05-28</t>
        </is>
      </c>
      <c r="X1618" t="inlineStr">
        <is>
          <t>1992-05-28</t>
        </is>
      </c>
      <c r="Y1618" t="n">
        <v>356</v>
      </c>
      <c r="Z1618" t="n">
        <v>286</v>
      </c>
      <c r="AA1618" t="n">
        <v>286</v>
      </c>
      <c r="AB1618" t="n">
        <v>2</v>
      </c>
      <c r="AC1618" t="n">
        <v>2</v>
      </c>
      <c r="AD1618" t="n">
        <v>14</v>
      </c>
      <c r="AE1618" t="n">
        <v>14</v>
      </c>
      <c r="AF1618" t="n">
        <v>3</v>
      </c>
      <c r="AG1618" t="n">
        <v>3</v>
      </c>
      <c r="AH1618" t="n">
        <v>5</v>
      </c>
      <c r="AI1618" t="n">
        <v>5</v>
      </c>
      <c r="AJ1618" t="n">
        <v>8</v>
      </c>
      <c r="AK1618" t="n">
        <v>8</v>
      </c>
      <c r="AL1618" t="n">
        <v>1</v>
      </c>
      <c r="AM1618" t="n">
        <v>1</v>
      </c>
      <c r="AN1618" t="n">
        <v>0</v>
      </c>
      <c r="AO1618" t="n">
        <v>0</v>
      </c>
      <c r="AP1618" t="inlineStr">
        <is>
          <t>No</t>
        </is>
      </c>
      <c r="AQ1618" t="inlineStr">
        <is>
          <t>No</t>
        </is>
      </c>
      <c r="AS1618">
        <f>HYPERLINK("https://creighton-primo.hosted.exlibrisgroup.com/primo-explore/search?tab=default_tab&amp;search_scope=EVERYTHING&amp;vid=01CRU&amp;lang=en_US&amp;offset=0&amp;query=any,contains,991004157429702656","Catalog Record")</f>
        <v/>
      </c>
      <c r="AT1618">
        <f>HYPERLINK("http://www.worldcat.org/oclc/2542428","WorldCat Record")</f>
        <v/>
      </c>
      <c r="AU1618" t="inlineStr">
        <is>
          <t>5629253:eng</t>
        </is>
      </c>
      <c r="AV1618" t="inlineStr">
        <is>
          <t>2542428</t>
        </is>
      </c>
      <c r="AW1618" t="inlineStr">
        <is>
          <t>991004157429702656</t>
        </is>
      </c>
      <c r="AX1618" t="inlineStr">
        <is>
          <t>991004157429702656</t>
        </is>
      </c>
      <c r="AY1618" t="inlineStr">
        <is>
          <t>2272130770002656</t>
        </is>
      </c>
      <c r="AZ1618" t="inlineStr">
        <is>
          <t>BOOK</t>
        </is>
      </c>
      <c r="BB1618" t="inlineStr">
        <is>
          <t>9780669010411</t>
        </is>
      </c>
      <c r="BC1618" t="inlineStr">
        <is>
          <t>32285001113249</t>
        </is>
      </c>
      <c r="BD1618" t="inlineStr">
        <is>
          <t>893605695</t>
        </is>
      </c>
    </row>
    <row r="1619">
      <c r="A1619" t="inlineStr">
        <is>
          <t>No</t>
        </is>
      </c>
      <c r="B1619" t="inlineStr">
        <is>
          <t>RC967.5 .L68 1993</t>
        </is>
      </c>
      <c r="C1619" t="inlineStr">
        <is>
          <t>0                      RC 0967500L  68          1993</t>
        </is>
      </c>
      <c r="D1619" t="inlineStr">
        <is>
          <t>Counseling and psychotherapy of work dysfunctions / Rodney L. Lowman.</t>
        </is>
      </c>
      <c r="F1619" t="inlineStr">
        <is>
          <t>No</t>
        </is>
      </c>
      <c r="G1619" t="inlineStr">
        <is>
          <t>1</t>
        </is>
      </c>
      <c r="H1619" t="inlineStr">
        <is>
          <t>No</t>
        </is>
      </c>
      <c r="I1619" t="inlineStr">
        <is>
          <t>No</t>
        </is>
      </c>
      <c r="J1619" t="inlineStr">
        <is>
          <t>0</t>
        </is>
      </c>
      <c r="K1619" t="inlineStr">
        <is>
          <t>Lowman, Rodney L.</t>
        </is>
      </c>
      <c r="L1619" t="inlineStr">
        <is>
          <t>Washington, DC : American Psychological Association, c1993.</t>
        </is>
      </c>
      <c r="M1619" t="inlineStr">
        <is>
          <t>1993</t>
        </is>
      </c>
      <c r="N1619" t="inlineStr">
        <is>
          <t>1st ed.</t>
        </is>
      </c>
      <c r="O1619" t="inlineStr">
        <is>
          <t>eng</t>
        </is>
      </c>
      <c r="P1619" t="inlineStr">
        <is>
          <t>dcu</t>
        </is>
      </c>
      <c r="R1619" t="inlineStr">
        <is>
          <t xml:space="preserve">RC </t>
        </is>
      </c>
      <c r="S1619" t="n">
        <v>5</v>
      </c>
      <c r="T1619" t="n">
        <v>5</v>
      </c>
      <c r="U1619" t="inlineStr">
        <is>
          <t>2005-10-25</t>
        </is>
      </c>
      <c r="V1619" t="inlineStr">
        <is>
          <t>2005-10-25</t>
        </is>
      </c>
      <c r="W1619" t="inlineStr">
        <is>
          <t>1993-12-10</t>
        </is>
      </c>
      <c r="X1619" t="inlineStr">
        <is>
          <t>1993-12-10</t>
        </is>
      </c>
      <c r="Y1619" t="n">
        <v>312</v>
      </c>
      <c r="Z1619" t="n">
        <v>256</v>
      </c>
      <c r="AA1619" t="n">
        <v>340</v>
      </c>
      <c r="AB1619" t="n">
        <v>1</v>
      </c>
      <c r="AC1619" t="n">
        <v>2</v>
      </c>
      <c r="AD1619" t="n">
        <v>14</v>
      </c>
      <c r="AE1619" t="n">
        <v>20</v>
      </c>
      <c r="AF1619" t="n">
        <v>3</v>
      </c>
      <c r="AG1619" t="n">
        <v>5</v>
      </c>
      <c r="AH1619" t="n">
        <v>6</v>
      </c>
      <c r="AI1619" t="n">
        <v>7</v>
      </c>
      <c r="AJ1619" t="n">
        <v>9</v>
      </c>
      <c r="AK1619" t="n">
        <v>11</v>
      </c>
      <c r="AL1619" t="n">
        <v>0</v>
      </c>
      <c r="AM1619" t="n">
        <v>1</v>
      </c>
      <c r="AN1619" t="n">
        <v>0</v>
      </c>
      <c r="AO1619" t="n">
        <v>0</v>
      </c>
      <c r="AP1619" t="inlineStr">
        <is>
          <t>No</t>
        </is>
      </c>
      <c r="AQ1619" t="inlineStr">
        <is>
          <t>No</t>
        </is>
      </c>
      <c r="AS1619">
        <f>HYPERLINK("https://creighton-primo.hosted.exlibrisgroup.com/primo-explore/search?tab=default_tab&amp;search_scope=EVERYTHING&amp;vid=01CRU&amp;lang=en_US&amp;offset=0&amp;query=any,contains,991002159739702656","Catalog Record")</f>
        <v/>
      </c>
      <c r="AT1619">
        <f>HYPERLINK("http://www.worldcat.org/oclc/27812757","WorldCat Record")</f>
        <v/>
      </c>
      <c r="AU1619" t="inlineStr">
        <is>
          <t>387096:eng</t>
        </is>
      </c>
      <c r="AV1619" t="inlineStr">
        <is>
          <t>27812757</t>
        </is>
      </c>
      <c r="AW1619" t="inlineStr">
        <is>
          <t>991002159739702656</t>
        </is>
      </c>
      <c r="AX1619" t="inlineStr">
        <is>
          <t>991002159739702656</t>
        </is>
      </c>
      <c r="AY1619" t="inlineStr">
        <is>
          <t>2258128230002656</t>
        </is>
      </c>
      <c r="AZ1619" t="inlineStr">
        <is>
          <t>BOOK</t>
        </is>
      </c>
      <c r="BB1619" t="inlineStr">
        <is>
          <t>9781557982049</t>
        </is>
      </c>
      <c r="BC1619" t="inlineStr">
        <is>
          <t>32285001815124</t>
        </is>
      </c>
      <c r="BD1619" t="inlineStr">
        <is>
          <t>893347178</t>
        </is>
      </c>
    </row>
    <row r="1620">
      <c r="A1620" t="inlineStr">
        <is>
          <t>No</t>
        </is>
      </c>
      <c r="B1620" t="inlineStr">
        <is>
          <t>RC967.5 .W67 1992</t>
        </is>
      </c>
      <c r="C1620" t="inlineStr">
        <is>
          <t>0                      RC 0967500W  67          1992</t>
        </is>
      </c>
      <c r="D1620" t="inlineStr">
        <is>
          <t>Work and well-being : an agenda for the 1990s / edited by Gwendolyn Puryear Keita and Steven L. Sauter.</t>
        </is>
      </c>
      <c r="F1620" t="inlineStr">
        <is>
          <t>No</t>
        </is>
      </c>
      <c r="G1620" t="inlineStr">
        <is>
          <t>1</t>
        </is>
      </c>
      <c r="H1620" t="inlineStr">
        <is>
          <t>No</t>
        </is>
      </c>
      <c r="I1620" t="inlineStr">
        <is>
          <t>No</t>
        </is>
      </c>
      <c r="J1620" t="inlineStr">
        <is>
          <t>0</t>
        </is>
      </c>
      <c r="L1620" t="inlineStr">
        <is>
          <t>Washington, DC : American Psychological Association, c1992.</t>
        </is>
      </c>
      <c r="M1620" t="inlineStr">
        <is>
          <t>1992</t>
        </is>
      </c>
      <c r="O1620" t="inlineStr">
        <is>
          <t>eng</t>
        </is>
      </c>
      <c r="P1620" t="inlineStr">
        <is>
          <t>dcu</t>
        </is>
      </c>
      <c r="R1620" t="inlineStr">
        <is>
          <t xml:space="preserve">RC </t>
        </is>
      </c>
      <c r="S1620" t="n">
        <v>19</v>
      </c>
      <c r="T1620" t="n">
        <v>19</v>
      </c>
      <c r="U1620" t="inlineStr">
        <is>
          <t>2005-10-25</t>
        </is>
      </c>
      <c r="V1620" t="inlineStr">
        <is>
          <t>2005-10-25</t>
        </is>
      </c>
      <c r="W1620" t="inlineStr">
        <is>
          <t>1992-10-19</t>
        </is>
      </c>
      <c r="X1620" t="inlineStr">
        <is>
          <t>1992-10-19</t>
        </is>
      </c>
      <c r="Y1620" t="n">
        <v>276</v>
      </c>
      <c r="Z1620" t="n">
        <v>236</v>
      </c>
      <c r="AA1620" t="n">
        <v>328</v>
      </c>
      <c r="AB1620" t="n">
        <v>1</v>
      </c>
      <c r="AC1620" t="n">
        <v>2</v>
      </c>
      <c r="AD1620" t="n">
        <v>10</v>
      </c>
      <c r="AE1620" t="n">
        <v>15</v>
      </c>
      <c r="AF1620" t="n">
        <v>3</v>
      </c>
      <c r="AG1620" t="n">
        <v>5</v>
      </c>
      <c r="AH1620" t="n">
        <v>4</v>
      </c>
      <c r="AI1620" t="n">
        <v>4</v>
      </c>
      <c r="AJ1620" t="n">
        <v>7</v>
      </c>
      <c r="AK1620" t="n">
        <v>9</v>
      </c>
      <c r="AL1620" t="n">
        <v>0</v>
      </c>
      <c r="AM1620" t="n">
        <v>1</v>
      </c>
      <c r="AN1620" t="n">
        <v>0</v>
      </c>
      <c r="AO1620" t="n">
        <v>0</v>
      </c>
      <c r="AP1620" t="inlineStr">
        <is>
          <t>No</t>
        </is>
      </c>
      <c r="AQ1620" t="inlineStr">
        <is>
          <t>No</t>
        </is>
      </c>
      <c r="AS1620">
        <f>HYPERLINK("https://creighton-primo.hosted.exlibrisgroup.com/primo-explore/search?tab=default_tab&amp;search_scope=EVERYTHING&amp;vid=01CRU&amp;lang=en_US&amp;offset=0&amp;query=any,contains,991001966619702656","Catalog Record")</f>
        <v/>
      </c>
      <c r="AT1620">
        <f>HYPERLINK("http://www.worldcat.org/oclc/24912969","WorldCat Record")</f>
        <v/>
      </c>
      <c r="AU1620" t="inlineStr">
        <is>
          <t>933425026:eng</t>
        </is>
      </c>
      <c r="AV1620" t="inlineStr">
        <is>
          <t>24912969</t>
        </is>
      </c>
      <c r="AW1620" t="inlineStr">
        <is>
          <t>991001966619702656</t>
        </is>
      </c>
      <c r="AX1620" t="inlineStr">
        <is>
          <t>991001966619702656</t>
        </is>
      </c>
      <c r="AY1620" t="inlineStr">
        <is>
          <t>2265061610002656</t>
        </is>
      </c>
      <c r="AZ1620" t="inlineStr">
        <is>
          <t>BOOK</t>
        </is>
      </c>
      <c r="BB1620" t="inlineStr">
        <is>
          <t>9781557981530</t>
        </is>
      </c>
      <c r="BC1620" t="inlineStr">
        <is>
          <t>32285001318798</t>
        </is>
      </c>
      <c r="BD1620" t="inlineStr">
        <is>
          <t>893433332</t>
        </is>
      </c>
    </row>
    <row r="1621">
      <c r="A1621" t="inlineStr">
        <is>
          <t>No</t>
        </is>
      </c>
      <c r="B1621" t="inlineStr">
        <is>
          <t>RC967.5 .W68 1992</t>
        </is>
      </c>
      <c r="C1621" t="inlineStr">
        <is>
          <t>0                      RC 0967500W  68          1992</t>
        </is>
      </c>
      <c r="D1621" t="inlineStr">
        <is>
          <t>Stress &amp; well-being at work : assessments and interventions for occupational mental health / edited by James Campbell Quick, Lawrence R. Murphy, Joseph J. Hurrell, Jr.</t>
        </is>
      </c>
      <c r="F1621" t="inlineStr">
        <is>
          <t>No</t>
        </is>
      </c>
      <c r="G1621" t="inlineStr">
        <is>
          <t>1</t>
        </is>
      </c>
      <c r="H1621" t="inlineStr">
        <is>
          <t>No</t>
        </is>
      </c>
      <c r="I1621" t="inlineStr">
        <is>
          <t>No</t>
        </is>
      </c>
      <c r="J1621" t="inlineStr">
        <is>
          <t>0</t>
        </is>
      </c>
      <c r="L1621" t="inlineStr">
        <is>
          <t>Washington, DC : American Psychological Association, 1992.</t>
        </is>
      </c>
      <c r="M1621" t="inlineStr">
        <is>
          <t>1992</t>
        </is>
      </c>
      <c r="O1621" t="inlineStr">
        <is>
          <t>eng</t>
        </is>
      </c>
      <c r="P1621" t="inlineStr">
        <is>
          <t>dcu</t>
        </is>
      </c>
      <c r="R1621" t="inlineStr">
        <is>
          <t xml:space="preserve">RC </t>
        </is>
      </c>
      <c r="S1621" t="n">
        <v>16</v>
      </c>
      <c r="T1621" t="n">
        <v>16</v>
      </c>
      <c r="U1621" t="inlineStr">
        <is>
          <t>2008-12-15</t>
        </is>
      </c>
      <c r="V1621" t="inlineStr">
        <is>
          <t>2008-12-15</t>
        </is>
      </c>
      <c r="W1621" t="inlineStr">
        <is>
          <t>1992-10-19</t>
        </is>
      </c>
      <c r="X1621" t="inlineStr">
        <is>
          <t>1992-10-19</t>
        </is>
      </c>
      <c r="Y1621" t="n">
        <v>469</v>
      </c>
      <c r="Z1621" t="n">
        <v>367</v>
      </c>
      <c r="AA1621" t="n">
        <v>438</v>
      </c>
      <c r="AB1621" t="n">
        <v>2</v>
      </c>
      <c r="AC1621" t="n">
        <v>3</v>
      </c>
      <c r="AD1621" t="n">
        <v>17</v>
      </c>
      <c r="AE1621" t="n">
        <v>22</v>
      </c>
      <c r="AF1621" t="n">
        <v>6</v>
      </c>
      <c r="AG1621" t="n">
        <v>8</v>
      </c>
      <c r="AH1621" t="n">
        <v>5</v>
      </c>
      <c r="AI1621" t="n">
        <v>5</v>
      </c>
      <c r="AJ1621" t="n">
        <v>10</v>
      </c>
      <c r="AK1621" t="n">
        <v>12</v>
      </c>
      <c r="AL1621" t="n">
        <v>1</v>
      </c>
      <c r="AM1621" t="n">
        <v>2</v>
      </c>
      <c r="AN1621" t="n">
        <v>0</v>
      </c>
      <c r="AO1621" t="n">
        <v>0</v>
      </c>
      <c r="AP1621" t="inlineStr">
        <is>
          <t>No</t>
        </is>
      </c>
      <c r="AQ1621" t="inlineStr">
        <is>
          <t>No</t>
        </is>
      </c>
      <c r="AS1621">
        <f>HYPERLINK("https://creighton-primo.hosted.exlibrisgroup.com/primo-explore/search?tab=default_tab&amp;search_scope=EVERYTHING&amp;vid=01CRU&amp;lang=en_US&amp;offset=0&amp;query=any,contains,991002008549702656","Catalog Record")</f>
        <v/>
      </c>
      <c r="AT1621">
        <f>HYPERLINK("http://www.worldcat.org/oclc/25546212","WorldCat Record")</f>
        <v/>
      </c>
      <c r="AU1621" t="inlineStr">
        <is>
          <t>1078121381:eng</t>
        </is>
      </c>
      <c r="AV1621" t="inlineStr">
        <is>
          <t>25546212</t>
        </is>
      </c>
      <c r="AW1621" t="inlineStr">
        <is>
          <t>991002008549702656</t>
        </is>
      </c>
      <c r="AX1621" t="inlineStr">
        <is>
          <t>991002008549702656</t>
        </is>
      </c>
      <c r="AY1621" t="inlineStr">
        <is>
          <t>2260998160002656</t>
        </is>
      </c>
      <c r="AZ1621" t="inlineStr">
        <is>
          <t>BOOK</t>
        </is>
      </c>
      <c r="BB1621" t="inlineStr">
        <is>
          <t>9781557981752</t>
        </is>
      </c>
      <c r="BC1621" t="inlineStr">
        <is>
          <t>32285001318707</t>
        </is>
      </c>
      <c r="BD1621" t="inlineStr">
        <is>
          <t>893798052</t>
        </is>
      </c>
    </row>
    <row r="1622">
      <c r="A1622" t="inlineStr">
        <is>
          <t>No</t>
        </is>
      </c>
      <c r="B1622" t="inlineStr">
        <is>
          <t>RC968 .H43 1986</t>
        </is>
      </c>
      <c r="C1622" t="inlineStr">
        <is>
          <t>0                      RC 0968000H  43          1986</t>
        </is>
      </c>
      <c r="D1622" t="inlineStr">
        <is>
          <t>Health and industry : a behavioral medicine perspective / edited by Michael F. Cataldo, Thomas J. Coates.</t>
        </is>
      </c>
      <c r="F1622" t="inlineStr">
        <is>
          <t>No</t>
        </is>
      </c>
      <c r="G1622" t="inlineStr">
        <is>
          <t>1</t>
        </is>
      </c>
      <c r="H1622" t="inlineStr">
        <is>
          <t>Yes</t>
        </is>
      </c>
      <c r="I1622" t="inlineStr">
        <is>
          <t>No</t>
        </is>
      </c>
      <c r="J1622" t="inlineStr">
        <is>
          <t>0</t>
        </is>
      </c>
      <c r="L1622" t="inlineStr">
        <is>
          <t>New York : Wiley, c1986.</t>
        </is>
      </c>
      <c r="M1622" t="inlineStr">
        <is>
          <t>1986</t>
        </is>
      </c>
      <c r="O1622" t="inlineStr">
        <is>
          <t>eng</t>
        </is>
      </c>
      <c r="P1622" t="inlineStr">
        <is>
          <t>nyu</t>
        </is>
      </c>
      <c r="Q1622" t="inlineStr">
        <is>
          <t>Wiley series on health psychology/behavioral medicine</t>
        </is>
      </c>
      <c r="R1622" t="inlineStr">
        <is>
          <t xml:space="preserve">RC </t>
        </is>
      </c>
      <c r="S1622" t="n">
        <v>5</v>
      </c>
      <c r="T1622" t="n">
        <v>5</v>
      </c>
      <c r="U1622" t="inlineStr">
        <is>
          <t>2005-10-25</t>
        </is>
      </c>
      <c r="V1622" t="inlineStr">
        <is>
          <t>2005-10-25</t>
        </is>
      </c>
      <c r="W1622" t="inlineStr">
        <is>
          <t>1992-03-26</t>
        </is>
      </c>
      <c r="X1622" t="inlineStr">
        <is>
          <t>1992-03-26</t>
        </is>
      </c>
      <c r="Y1622" t="n">
        <v>405</v>
      </c>
      <c r="Z1622" t="n">
        <v>333</v>
      </c>
      <c r="AA1622" t="n">
        <v>335</v>
      </c>
      <c r="AB1622" t="n">
        <v>5</v>
      </c>
      <c r="AC1622" t="n">
        <v>5</v>
      </c>
      <c r="AD1622" t="n">
        <v>17</v>
      </c>
      <c r="AE1622" t="n">
        <v>17</v>
      </c>
      <c r="AF1622" t="n">
        <v>3</v>
      </c>
      <c r="AG1622" t="n">
        <v>3</v>
      </c>
      <c r="AH1622" t="n">
        <v>6</v>
      </c>
      <c r="AI1622" t="n">
        <v>6</v>
      </c>
      <c r="AJ1622" t="n">
        <v>9</v>
      </c>
      <c r="AK1622" t="n">
        <v>9</v>
      </c>
      <c r="AL1622" t="n">
        <v>3</v>
      </c>
      <c r="AM1622" t="n">
        <v>3</v>
      </c>
      <c r="AN1622" t="n">
        <v>0</v>
      </c>
      <c r="AO1622" t="n">
        <v>0</v>
      </c>
      <c r="AP1622" t="inlineStr">
        <is>
          <t>No</t>
        </is>
      </c>
      <c r="AQ1622" t="inlineStr">
        <is>
          <t>Yes</t>
        </is>
      </c>
      <c r="AR1622">
        <f>HYPERLINK("http://catalog.hathitrust.org/Record/000477004","HathiTrust Record")</f>
        <v/>
      </c>
      <c r="AS1622">
        <f>HYPERLINK("https://creighton-primo.hosted.exlibrisgroup.com/primo-explore/search?tab=default_tab&amp;search_scope=EVERYTHING&amp;vid=01CRU&amp;lang=en_US&amp;offset=0&amp;query=any,contains,991000688039702656","Catalog Record")</f>
        <v/>
      </c>
      <c r="AT1622">
        <f>HYPERLINK("http://www.worldcat.org/oclc/12422136","WorldCat Record")</f>
        <v/>
      </c>
      <c r="AU1622" t="inlineStr">
        <is>
          <t>836726653:eng</t>
        </is>
      </c>
      <c r="AV1622" t="inlineStr">
        <is>
          <t>12422136</t>
        </is>
      </c>
      <c r="AW1622" t="inlineStr">
        <is>
          <t>991000688039702656</t>
        </is>
      </c>
      <c r="AX1622" t="inlineStr">
        <is>
          <t>991000688039702656</t>
        </is>
      </c>
      <c r="AY1622" t="inlineStr">
        <is>
          <t>2255951720002656</t>
        </is>
      </c>
      <c r="AZ1622" t="inlineStr">
        <is>
          <t>BOOK</t>
        </is>
      </c>
      <c r="BB1622" t="inlineStr">
        <is>
          <t>9780471809210</t>
        </is>
      </c>
      <c r="BC1622" t="inlineStr">
        <is>
          <t>32285001045029</t>
        </is>
      </c>
      <c r="BD1622" t="inlineStr">
        <is>
          <t>893865586</t>
        </is>
      </c>
    </row>
    <row r="1623">
      <c r="A1623" t="inlineStr">
        <is>
          <t>No</t>
        </is>
      </c>
      <c r="B1623" t="inlineStr">
        <is>
          <t>RC968 .K58 1987</t>
        </is>
      </c>
      <c r="C1623" t="inlineStr">
        <is>
          <t>0                      RC 0968000K  58          1987</t>
        </is>
      </c>
      <c r="D1623" t="inlineStr">
        <is>
          <t>The healthy workplace : a blueprint for corporate action / William M. Kizer.</t>
        </is>
      </c>
      <c r="F1623" t="inlineStr">
        <is>
          <t>No</t>
        </is>
      </c>
      <c r="G1623" t="inlineStr">
        <is>
          <t>1</t>
        </is>
      </c>
      <c r="H1623" t="inlineStr">
        <is>
          <t>Yes</t>
        </is>
      </c>
      <c r="I1623" t="inlineStr">
        <is>
          <t>No</t>
        </is>
      </c>
      <c r="J1623" t="inlineStr">
        <is>
          <t>0</t>
        </is>
      </c>
      <c r="K1623" t="inlineStr">
        <is>
          <t>Kizer, William M.</t>
        </is>
      </c>
      <c r="L1623" t="inlineStr">
        <is>
          <t>New York : Wiley, c1987.</t>
        </is>
      </c>
      <c r="M1623" t="inlineStr">
        <is>
          <t>1987</t>
        </is>
      </c>
      <c r="O1623" t="inlineStr">
        <is>
          <t>eng</t>
        </is>
      </c>
      <c r="P1623" t="inlineStr">
        <is>
          <t>nyu</t>
        </is>
      </c>
      <c r="R1623" t="inlineStr">
        <is>
          <t xml:space="preserve">RC </t>
        </is>
      </c>
      <c r="S1623" t="n">
        <v>10</v>
      </c>
      <c r="T1623" t="n">
        <v>10</v>
      </c>
      <c r="U1623" t="inlineStr">
        <is>
          <t>2000-02-20</t>
        </is>
      </c>
      <c r="V1623" t="inlineStr">
        <is>
          <t>2000-02-20</t>
        </is>
      </c>
      <c r="W1623" t="inlineStr">
        <is>
          <t>1992-03-26</t>
        </is>
      </c>
      <c r="X1623" t="inlineStr">
        <is>
          <t>1992-03-26</t>
        </is>
      </c>
      <c r="Y1623" t="n">
        <v>420</v>
      </c>
      <c r="Z1623" t="n">
        <v>345</v>
      </c>
      <c r="AA1623" t="n">
        <v>347</v>
      </c>
      <c r="AB1623" t="n">
        <v>5</v>
      </c>
      <c r="AC1623" t="n">
        <v>5</v>
      </c>
      <c r="AD1623" t="n">
        <v>16</v>
      </c>
      <c r="AE1623" t="n">
        <v>16</v>
      </c>
      <c r="AF1623" t="n">
        <v>3</v>
      </c>
      <c r="AG1623" t="n">
        <v>3</v>
      </c>
      <c r="AH1623" t="n">
        <v>4</v>
      </c>
      <c r="AI1623" t="n">
        <v>4</v>
      </c>
      <c r="AJ1623" t="n">
        <v>8</v>
      </c>
      <c r="AK1623" t="n">
        <v>8</v>
      </c>
      <c r="AL1623" t="n">
        <v>3</v>
      </c>
      <c r="AM1623" t="n">
        <v>3</v>
      </c>
      <c r="AN1623" t="n">
        <v>0</v>
      </c>
      <c r="AO1623" t="n">
        <v>0</v>
      </c>
      <c r="AP1623" t="inlineStr">
        <is>
          <t>No</t>
        </is>
      </c>
      <c r="AQ1623" t="inlineStr">
        <is>
          <t>Yes</t>
        </is>
      </c>
      <c r="AR1623">
        <f>HYPERLINK("http://catalog.hathitrust.org/Record/000595453","HathiTrust Record")</f>
        <v/>
      </c>
      <c r="AS1623">
        <f>HYPERLINK("https://creighton-primo.hosted.exlibrisgroup.com/primo-explore/search?tab=default_tab&amp;search_scope=EVERYTHING&amp;vid=01CRU&amp;lang=en_US&amp;offset=0&amp;query=any,contains,991000905849702656","Catalog Record")</f>
        <v/>
      </c>
      <c r="AT1623">
        <f>HYPERLINK("http://www.worldcat.org/oclc/14098310","WorldCat Record")</f>
        <v/>
      </c>
      <c r="AU1623" t="inlineStr">
        <is>
          <t>836664617:eng</t>
        </is>
      </c>
      <c r="AV1623" t="inlineStr">
        <is>
          <t>14098310</t>
        </is>
      </c>
      <c r="AW1623" t="inlineStr">
        <is>
          <t>991000905849702656</t>
        </is>
      </c>
      <c r="AX1623" t="inlineStr">
        <is>
          <t>991000905849702656</t>
        </is>
      </c>
      <c r="AY1623" t="inlineStr">
        <is>
          <t>2264878750002656</t>
        </is>
      </c>
      <c r="AZ1623" t="inlineStr">
        <is>
          <t>BOOK</t>
        </is>
      </c>
      <c r="BB1623" t="inlineStr">
        <is>
          <t>9780471845317</t>
        </is>
      </c>
      <c r="BC1623" t="inlineStr">
        <is>
          <t>32285001045037</t>
        </is>
      </c>
      <c r="BD1623" t="inlineStr">
        <is>
          <t>893522118</t>
        </is>
      </c>
    </row>
    <row r="1624">
      <c r="A1624" t="inlineStr">
        <is>
          <t>No</t>
        </is>
      </c>
      <c r="B1624" t="inlineStr">
        <is>
          <t>RC968 .W67 1982</t>
        </is>
      </c>
      <c r="C1624" t="inlineStr">
        <is>
          <t>0                      RC 0968000W  67          1982</t>
        </is>
      </c>
      <c r="D1624" t="inlineStr">
        <is>
          <t>Worksite health promotion : a special issue of Health education quarterly / Andrew J.J. Brennan, guest editor.</t>
        </is>
      </c>
      <c r="F1624" t="inlineStr">
        <is>
          <t>No</t>
        </is>
      </c>
      <c r="G1624" t="inlineStr">
        <is>
          <t>1</t>
        </is>
      </c>
      <c r="H1624" t="inlineStr">
        <is>
          <t>No</t>
        </is>
      </c>
      <c r="I1624" t="inlineStr">
        <is>
          <t>No</t>
        </is>
      </c>
      <c r="J1624" t="inlineStr">
        <is>
          <t>0</t>
        </is>
      </c>
      <c r="L1624" t="inlineStr">
        <is>
          <t>New York : Human Sciences Press, 1982.</t>
        </is>
      </c>
      <c r="M1624" t="inlineStr">
        <is>
          <t>1982</t>
        </is>
      </c>
      <c r="O1624" t="inlineStr">
        <is>
          <t>eng</t>
        </is>
      </c>
      <c r="P1624" t="inlineStr">
        <is>
          <t>nyu</t>
        </is>
      </c>
      <c r="R1624" t="inlineStr">
        <is>
          <t xml:space="preserve">RC </t>
        </is>
      </c>
      <c r="S1624" t="n">
        <v>1</v>
      </c>
      <c r="T1624" t="n">
        <v>1</v>
      </c>
      <c r="U1624" t="inlineStr">
        <is>
          <t>1994-11-03</t>
        </is>
      </c>
      <c r="V1624" t="inlineStr">
        <is>
          <t>1994-11-03</t>
        </is>
      </c>
      <c r="W1624" t="inlineStr">
        <is>
          <t>1992-03-26</t>
        </is>
      </c>
      <c r="X1624" t="inlineStr">
        <is>
          <t>1992-03-26</t>
        </is>
      </c>
      <c r="Y1624" t="n">
        <v>37</v>
      </c>
      <c r="Z1624" t="n">
        <v>34</v>
      </c>
      <c r="AA1624" t="n">
        <v>34</v>
      </c>
      <c r="AB1624" t="n">
        <v>1</v>
      </c>
      <c r="AC1624" t="n">
        <v>1</v>
      </c>
      <c r="AD1624" t="n">
        <v>0</v>
      </c>
      <c r="AE1624" t="n">
        <v>0</v>
      </c>
      <c r="AF1624" t="n">
        <v>0</v>
      </c>
      <c r="AG1624" t="n">
        <v>0</v>
      </c>
      <c r="AH1624" t="n">
        <v>0</v>
      </c>
      <c r="AI1624" t="n">
        <v>0</v>
      </c>
      <c r="AJ1624" t="n">
        <v>0</v>
      </c>
      <c r="AK1624" t="n">
        <v>0</v>
      </c>
      <c r="AL1624" t="n">
        <v>0</v>
      </c>
      <c r="AM1624" t="n">
        <v>0</v>
      </c>
      <c r="AN1624" t="n">
        <v>0</v>
      </c>
      <c r="AO1624" t="n">
        <v>0</v>
      </c>
      <c r="AP1624" t="inlineStr">
        <is>
          <t>No</t>
        </is>
      </c>
      <c r="AQ1624" t="inlineStr">
        <is>
          <t>No</t>
        </is>
      </c>
      <c r="AS1624">
        <f>HYPERLINK("https://creighton-primo.hosted.exlibrisgroup.com/primo-explore/search?tab=default_tab&amp;search_scope=EVERYTHING&amp;vid=01CRU&amp;lang=en_US&amp;offset=0&amp;query=any,contains,991000128689702656","Catalog Record")</f>
        <v/>
      </c>
      <c r="AT1624">
        <f>HYPERLINK("http://www.worldcat.org/oclc/9104377","WorldCat Record")</f>
        <v/>
      </c>
      <c r="AU1624" t="inlineStr">
        <is>
          <t>9593987561:eng</t>
        </is>
      </c>
      <c r="AV1624" t="inlineStr">
        <is>
          <t>9104377</t>
        </is>
      </c>
      <c r="AW1624" t="inlineStr">
        <is>
          <t>991000128689702656</t>
        </is>
      </c>
      <c r="AX1624" t="inlineStr">
        <is>
          <t>991000128689702656</t>
        </is>
      </c>
      <c r="AY1624" t="inlineStr">
        <is>
          <t>2262277870002656</t>
        </is>
      </c>
      <c r="AZ1624" t="inlineStr">
        <is>
          <t>BOOK</t>
        </is>
      </c>
      <c r="BC1624" t="inlineStr">
        <is>
          <t>32285001045045</t>
        </is>
      </c>
      <c r="BD1624" t="inlineStr">
        <is>
          <t>893790264</t>
        </is>
      </c>
    </row>
    <row r="1625">
      <c r="A1625" t="inlineStr">
        <is>
          <t>No</t>
        </is>
      </c>
      <c r="B1625" t="inlineStr">
        <is>
          <t>RC969.H43 A825 2003</t>
        </is>
      </c>
      <c r="C1625" t="inlineStr">
        <is>
          <t>0                      RC 0969000H  43                 A  825         2003</t>
        </is>
      </c>
      <c r="D1625" t="inlineStr">
        <is>
          <t>ACSM's worksite health promotion manual : a guide to building and sustaining healthy worksites / American College of Sports Medicine ; [Carolyn Cox, editor].</t>
        </is>
      </c>
      <c r="F1625" t="inlineStr">
        <is>
          <t>No</t>
        </is>
      </c>
      <c r="G1625" t="inlineStr">
        <is>
          <t>1</t>
        </is>
      </c>
      <c r="H1625" t="inlineStr">
        <is>
          <t>Yes</t>
        </is>
      </c>
      <c r="I1625" t="inlineStr">
        <is>
          <t>No</t>
        </is>
      </c>
      <c r="J1625" t="inlineStr">
        <is>
          <t>0</t>
        </is>
      </c>
      <c r="L1625" t="inlineStr">
        <is>
          <t>Champaign, Ill. : Human Kinetics, c2003.</t>
        </is>
      </c>
      <c r="M1625" t="inlineStr">
        <is>
          <t>2003</t>
        </is>
      </c>
      <c r="O1625" t="inlineStr">
        <is>
          <t>eng</t>
        </is>
      </c>
      <c r="P1625" t="inlineStr">
        <is>
          <t>ilu</t>
        </is>
      </c>
      <c r="R1625" t="inlineStr">
        <is>
          <t xml:space="preserve">RC </t>
        </is>
      </c>
      <c r="S1625" t="n">
        <v>2</v>
      </c>
      <c r="T1625" t="n">
        <v>4</v>
      </c>
      <c r="U1625" t="inlineStr">
        <is>
          <t>2004-11-02</t>
        </is>
      </c>
      <c r="V1625" t="inlineStr">
        <is>
          <t>2004-11-19</t>
        </is>
      </c>
      <c r="W1625" t="inlineStr">
        <is>
          <t>2004-01-20</t>
        </is>
      </c>
      <c r="X1625" t="inlineStr">
        <is>
          <t>2004-06-06</t>
        </is>
      </c>
      <c r="Y1625" t="n">
        <v>250</v>
      </c>
      <c r="Z1625" t="n">
        <v>183</v>
      </c>
      <c r="AA1625" t="n">
        <v>187</v>
      </c>
      <c r="AB1625" t="n">
        <v>4</v>
      </c>
      <c r="AC1625" t="n">
        <v>4</v>
      </c>
      <c r="AD1625" t="n">
        <v>6</v>
      </c>
      <c r="AE1625" t="n">
        <v>6</v>
      </c>
      <c r="AF1625" t="n">
        <v>2</v>
      </c>
      <c r="AG1625" t="n">
        <v>2</v>
      </c>
      <c r="AH1625" t="n">
        <v>1</v>
      </c>
      <c r="AI1625" t="n">
        <v>1</v>
      </c>
      <c r="AJ1625" t="n">
        <v>4</v>
      </c>
      <c r="AK1625" t="n">
        <v>4</v>
      </c>
      <c r="AL1625" t="n">
        <v>2</v>
      </c>
      <c r="AM1625" t="n">
        <v>2</v>
      </c>
      <c r="AN1625" t="n">
        <v>0</v>
      </c>
      <c r="AO1625" t="n">
        <v>0</v>
      </c>
      <c r="AP1625" t="inlineStr">
        <is>
          <t>No</t>
        </is>
      </c>
      <c r="AQ1625" t="inlineStr">
        <is>
          <t>No</t>
        </is>
      </c>
      <c r="AS1625">
        <f>HYPERLINK("https://creighton-primo.hosted.exlibrisgroup.com/primo-explore/search?tab=default_tab&amp;search_scope=EVERYTHING&amp;vid=01CRU&amp;lang=en_US&amp;offset=0&amp;query=any,contains,991001724599702656","Catalog Record")</f>
        <v/>
      </c>
      <c r="AT1625">
        <f>HYPERLINK("http://www.worldcat.org/oclc/50510840","WorldCat Record")</f>
        <v/>
      </c>
      <c r="AU1625" t="inlineStr">
        <is>
          <t>838127308:eng</t>
        </is>
      </c>
      <c r="AV1625" t="inlineStr">
        <is>
          <t>50510840</t>
        </is>
      </c>
      <c r="AW1625" t="inlineStr">
        <is>
          <t>991001724599702656</t>
        </is>
      </c>
      <c r="AX1625" t="inlineStr">
        <is>
          <t>991001724599702656</t>
        </is>
      </c>
      <c r="AY1625" t="inlineStr">
        <is>
          <t>2259411340002656</t>
        </is>
      </c>
      <c r="AZ1625" t="inlineStr">
        <is>
          <t>BOOK</t>
        </is>
      </c>
      <c r="BB1625" t="inlineStr">
        <is>
          <t>9780736046572</t>
        </is>
      </c>
      <c r="BC1625" t="inlineStr">
        <is>
          <t>32285004635396</t>
        </is>
      </c>
      <c r="BD1625" t="inlineStr">
        <is>
          <t>893866424</t>
        </is>
      </c>
    </row>
    <row r="1626">
      <c r="A1626" t="inlineStr">
        <is>
          <t>No</t>
        </is>
      </c>
      <c r="B1626" t="inlineStr">
        <is>
          <t>RC969.H43 C75 1995</t>
        </is>
      </c>
      <c r="C1626" t="inlineStr">
        <is>
          <t>0                      RC 0969000H  43                 C  75          1995</t>
        </is>
      </c>
      <c r="D1626" t="inlineStr">
        <is>
          <t>Critical issues in worksite health promotion / [edited by] David M. DeJoy, Mark G. Wilson.</t>
        </is>
      </c>
      <c r="F1626" t="inlineStr">
        <is>
          <t>No</t>
        </is>
      </c>
      <c r="G1626" t="inlineStr">
        <is>
          <t>1</t>
        </is>
      </c>
      <c r="H1626" t="inlineStr">
        <is>
          <t>No</t>
        </is>
      </c>
      <c r="I1626" t="inlineStr">
        <is>
          <t>No</t>
        </is>
      </c>
      <c r="J1626" t="inlineStr">
        <is>
          <t>0</t>
        </is>
      </c>
      <c r="L1626" t="inlineStr">
        <is>
          <t>Boston : Allyn and Bacon, c1995.</t>
        </is>
      </c>
      <c r="M1626" t="inlineStr">
        <is>
          <t>1995</t>
        </is>
      </c>
      <c r="O1626" t="inlineStr">
        <is>
          <t>eng</t>
        </is>
      </c>
      <c r="P1626" t="inlineStr">
        <is>
          <t>mau</t>
        </is>
      </c>
      <c r="R1626" t="inlineStr">
        <is>
          <t xml:space="preserve">RC </t>
        </is>
      </c>
      <c r="S1626" t="n">
        <v>6</v>
      </c>
      <c r="T1626" t="n">
        <v>6</v>
      </c>
      <c r="U1626" t="inlineStr">
        <is>
          <t>2004-11-02</t>
        </is>
      </c>
      <c r="V1626" t="inlineStr">
        <is>
          <t>2004-11-02</t>
        </is>
      </c>
      <c r="W1626" t="inlineStr">
        <is>
          <t>1995-04-24</t>
        </is>
      </c>
      <c r="X1626" t="inlineStr">
        <is>
          <t>1995-04-24</t>
        </is>
      </c>
      <c r="Y1626" t="n">
        <v>91</v>
      </c>
      <c r="Z1626" t="n">
        <v>71</v>
      </c>
      <c r="AA1626" t="n">
        <v>73</v>
      </c>
      <c r="AB1626" t="n">
        <v>1</v>
      </c>
      <c r="AC1626" t="n">
        <v>1</v>
      </c>
      <c r="AD1626" t="n">
        <v>4</v>
      </c>
      <c r="AE1626" t="n">
        <v>4</v>
      </c>
      <c r="AF1626" t="n">
        <v>3</v>
      </c>
      <c r="AG1626" t="n">
        <v>3</v>
      </c>
      <c r="AH1626" t="n">
        <v>0</v>
      </c>
      <c r="AI1626" t="n">
        <v>0</v>
      </c>
      <c r="AJ1626" t="n">
        <v>2</v>
      </c>
      <c r="AK1626" t="n">
        <v>2</v>
      </c>
      <c r="AL1626" t="n">
        <v>0</v>
      </c>
      <c r="AM1626" t="n">
        <v>0</v>
      </c>
      <c r="AN1626" t="n">
        <v>0</v>
      </c>
      <c r="AO1626" t="n">
        <v>0</v>
      </c>
      <c r="AP1626" t="inlineStr">
        <is>
          <t>No</t>
        </is>
      </c>
      <c r="AQ1626" t="inlineStr">
        <is>
          <t>Yes</t>
        </is>
      </c>
      <c r="AR1626">
        <f>HYPERLINK("http://catalog.hathitrust.org/Record/008852295","HathiTrust Record")</f>
        <v/>
      </c>
      <c r="AS1626">
        <f>HYPERLINK("https://creighton-primo.hosted.exlibrisgroup.com/primo-explore/search?tab=default_tab&amp;search_scope=EVERYTHING&amp;vid=01CRU&amp;lang=en_US&amp;offset=0&amp;query=any,contains,991002280219702656","Catalog Record")</f>
        <v/>
      </c>
      <c r="AT1626">
        <f>HYPERLINK("http://www.worldcat.org/oclc/29564830","WorldCat Record")</f>
        <v/>
      </c>
      <c r="AU1626" t="inlineStr">
        <is>
          <t>31376685:eng</t>
        </is>
      </c>
      <c r="AV1626" t="inlineStr">
        <is>
          <t>29564830</t>
        </is>
      </c>
      <c r="AW1626" t="inlineStr">
        <is>
          <t>991002280219702656</t>
        </is>
      </c>
      <c r="AX1626" t="inlineStr">
        <is>
          <t>991002280219702656</t>
        </is>
      </c>
      <c r="AY1626" t="inlineStr">
        <is>
          <t>2257198350002656</t>
        </is>
      </c>
      <c r="AZ1626" t="inlineStr">
        <is>
          <t>BOOK</t>
        </is>
      </c>
      <c r="BB1626" t="inlineStr">
        <is>
          <t>9780023282928</t>
        </is>
      </c>
      <c r="BC1626" t="inlineStr">
        <is>
          <t>32285002035375</t>
        </is>
      </c>
      <c r="BD1626" t="inlineStr">
        <is>
          <t>893316616</t>
        </is>
      </c>
    </row>
    <row r="1627">
      <c r="A1627" t="inlineStr">
        <is>
          <t>No</t>
        </is>
      </c>
      <c r="B1627" t="inlineStr">
        <is>
          <t>RC969.H43 G85 1992</t>
        </is>
      </c>
      <c r="C1627" t="inlineStr">
        <is>
          <t>0                      RC 0969000H  43                 G  85          1992</t>
        </is>
      </c>
      <c r="D1627" t="inlineStr">
        <is>
          <t>Guidelines for employee health promotion programs / Association for Fitness in Business.</t>
        </is>
      </c>
      <c r="F1627" t="inlineStr">
        <is>
          <t>No</t>
        </is>
      </c>
      <c r="G1627" t="inlineStr">
        <is>
          <t>1</t>
        </is>
      </c>
      <c r="H1627" t="inlineStr">
        <is>
          <t>No</t>
        </is>
      </c>
      <c r="I1627" t="inlineStr">
        <is>
          <t>No</t>
        </is>
      </c>
      <c r="J1627" t="inlineStr">
        <is>
          <t>0</t>
        </is>
      </c>
      <c r="L1627" t="inlineStr">
        <is>
          <t>Champaign, IL : Human Kinetics Books, c1992.</t>
        </is>
      </c>
      <c r="M1627" t="inlineStr">
        <is>
          <t>1992</t>
        </is>
      </c>
      <c r="O1627" t="inlineStr">
        <is>
          <t>eng</t>
        </is>
      </c>
      <c r="P1627" t="inlineStr">
        <is>
          <t>ilu</t>
        </is>
      </c>
      <c r="R1627" t="inlineStr">
        <is>
          <t xml:space="preserve">RC </t>
        </is>
      </c>
      <c r="S1627" t="n">
        <v>15</v>
      </c>
      <c r="T1627" t="n">
        <v>15</v>
      </c>
      <c r="U1627" t="inlineStr">
        <is>
          <t>2004-11-02</t>
        </is>
      </c>
      <c r="V1627" t="inlineStr">
        <is>
          <t>2004-11-02</t>
        </is>
      </c>
      <c r="W1627" t="inlineStr">
        <is>
          <t>1992-04-20</t>
        </is>
      </c>
      <c r="X1627" t="inlineStr">
        <is>
          <t>1992-04-20</t>
        </is>
      </c>
      <c r="Y1627" t="n">
        <v>270</v>
      </c>
      <c r="Z1627" t="n">
        <v>212</v>
      </c>
      <c r="AA1627" t="n">
        <v>259</v>
      </c>
      <c r="AB1627" t="n">
        <v>3</v>
      </c>
      <c r="AC1627" t="n">
        <v>4</v>
      </c>
      <c r="AD1627" t="n">
        <v>3</v>
      </c>
      <c r="AE1627" t="n">
        <v>6</v>
      </c>
      <c r="AF1627" t="n">
        <v>0</v>
      </c>
      <c r="AG1627" t="n">
        <v>1</v>
      </c>
      <c r="AH1627" t="n">
        <v>1</v>
      </c>
      <c r="AI1627" t="n">
        <v>2</v>
      </c>
      <c r="AJ1627" t="n">
        <v>1</v>
      </c>
      <c r="AK1627" t="n">
        <v>1</v>
      </c>
      <c r="AL1627" t="n">
        <v>2</v>
      </c>
      <c r="AM1627" t="n">
        <v>3</v>
      </c>
      <c r="AN1627" t="n">
        <v>0</v>
      </c>
      <c r="AO1627" t="n">
        <v>0</v>
      </c>
      <c r="AP1627" t="inlineStr">
        <is>
          <t>No</t>
        </is>
      </c>
      <c r="AQ1627" t="inlineStr">
        <is>
          <t>No</t>
        </is>
      </c>
      <c r="AS1627">
        <f>HYPERLINK("https://creighton-primo.hosted.exlibrisgroup.com/primo-explore/search?tab=default_tab&amp;search_scope=EVERYTHING&amp;vid=01CRU&amp;lang=en_US&amp;offset=0&amp;query=any,contains,991001916839702656","Catalog Record")</f>
        <v/>
      </c>
      <c r="AT1627">
        <f>HYPERLINK("http://www.worldcat.org/oclc/24212935","WorldCat Record")</f>
        <v/>
      </c>
      <c r="AU1627" t="inlineStr">
        <is>
          <t>26062293:eng</t>
        </is>
      </c>
      <c r="AV1627" t="inlineStr">
        <is>
          <t>24212935</t>
        </is>
      </c>
      <c r="AW1627" t="inlineStr">
        <is>
          <t>991001916839702656</t>
        </is>
      </c>
      <c r="AX1627" t="inlineStr">
        <is>
          <t>991001916839702656</t>
        </is>
      </c>
      <c r="AY1627" t="inlineStr">
        <is>
          <t>2254840570002656</t>
        </is>
      </c>
      <c r="AZ1627" t="inlineStr">
        <is>
          <t>BOOK</t>
        </is>
      </c>
      <c r="BB1627" t="inlineStr">
        <is>
          <t>9780873223515</t>
        </is>
      </c>
      <c r="BC1627" t="inlineStr">
        <is>
          <t>32285001035798</t>
        </is>
      </c>
      <c r="BD1627" t="inlineStr">
        <is>
          <t>893872888</t>
        </is>
      </c>
    </row>
    <row r="1628">
      <c r="A1628" t="inlineStr">
        <is>
          <t>No</t>
        </is>
      </c>
      <c r="B1628" t="inlineStr">
        <is>
          <t>RC969.H43 H433 1991</t>
        </is>
      </c>
      <c r="C1628" t="inlineStr">
        <is>
          <t>0                      RC 0969000H  43                 H  433         1991</t>
        </is>
      </c>
      <c r="D1628" t="inlineStr">
        <is>
          <t>Health at work / edited by Stephen M. Weiss, Jonathan E. Fielding, Andrew Baum.</t>
        </is>
      </c>
      <c r="F1628" t="inlineStr">
        <is>
          <t>No</t>
        </is>
      </c>
      <c r="G1628" t="inlineStr">
        <is>
          <t>1</t>
        </is>
      </c>
      <c r="H1628" t="inlineStr">
        <is>
          <t>No</t>
        </is>
      </c>
      <c r="I1628" t="inlineStr">
        <is>
          <t>No</t>
        </is>
      </c>
      <c r="J1628" t="inlineStr">
        <is>
          <t>0</t>
        </is>
      </c>
      <c r="L1628" t="inlineStr">
        <is>
          <t>Hillsdale, N.J. : Lawrence Erlbaum Associates, c1991.</t>
        </is>
      </c>
      <c r="M1628" t="inlineStr">
        <is>
          <t>1991</t>
        </is>
      </c>
      <c r="O1628" t="inlineStr">
        <is>
          <t>eng</t>
        </is>
      </c>
      <c r="P1628" t="inlineStr">
        <is>
          <t>nju</t>
        </is>
      </c>
      <c r="Q1628" t="inlineStr">
        <is>
          <t>Perspectives in behavioral medicine</t>
        </is>
      </c>
      <c r="R1628" t="inlineStr">
        <is>
          <t xml:space="preserve">RC </t>
        </is>
      </c>
      <c r="S1628" t="n">
        <v>5</v>
      </c>
      <c r="T1628" t="n">
        <v>5</v>
      </c>
      <c r="U1628" t="inlineStr">
        <is>
          <t>2004-11-02</t>
        </is>
      </c>
      <c r="V1628" t="inlineStr">
        <is>
          <t>2004-11-02</t>
        </is>
      </c>
      <c r="W1628" t="inlineStr">
        <is>
          <t>1992-07-28</t>
        </is>
      </c>
      <c r="X1628" t="inlineStr">
        <is>
          <t>1992-07-28</t>
        </is>
      </c>
      <c r="Y1628" t="n">
        <v>224</v>
      </c>
      <c r="Z1628" t="n">
        <v>183</v>
      </c>
      <c r="AA1628" t="n">
        <v>217</v>
      </c>
      <c r="AB1628" t="n">
        <v>1</v>
      </c>
      <c r="AC1628" t="n">
        <v>1</v>
      </c>
      <c r="AD1628" t="n">
        <v>6</v>
      </c>
      <c r="AE1628" t="n">
        <v>6</v>
      </c>
      <c r="AF1628" t="n">
        <v>0</v>
      </c>
      <c r="AG1628" t="n">
        <v>0</v>
      </c>
      <c r="AH1628" t="n">
        <v>3</v>
      </c>
      <c r="AI1628" t="n">
        <v>3</v>
      </c>
      <c r="AJ1628" t="n">
        <v>3</v>
      </c>
      <c r="AK1628" t="n">
        <v>3</v>
      </c>
      <c r="AL1628" t="n">
        <v>0</v>
      </c>
      <c r="AM1628" t="n">
        <v>0</v>
      </c>
      <c r="AN1628" t="n">
        <v>0</v>
      </c>
      <c r="AO1628" t="n">
        <v>0</v>
      </c>
      <c r="AP1628" t="inlineStr">
        <is>
          <t>No</t>
        </is>
      </c>
      <c r="AQ1628" t="inlineStr">
        <is>
          <t>No</t>
        </is>
      </c>
      <c r="AS1628">
        <f>HYPERLINK("https://creighton-primo.hosted.exlibrisgroup.com/primo-explore/search?tab=default_tab&amp;search_scope=EVERYTHING&amp;vid=01CRU&amp;lang=en_US&amp;offset=0&amp;query=any,contains,991001760849702656","Catalog Record")</f>
        <v/>
      </c>
      <c r="AT1628">
        <f>HYPERLINK("http://www.worldcat.org/oclc/22273890","WorldCat Record")</f>
        <v/>
      </c>
      <c r="AU1628" t="inlineStr">
        <is>
          <t>353763152:eng</t>
        </is>
      </c>
      <c r="AV1628" t="inlineStr">
        <is>
          <t>22273890</t>
        </is>
      </c>
      <c r="AW1628" t="inlineStr">
        <is>
          <t>991001760849702656</t>
        </is>
      </c>
      <c r="AX1628" t="inlineStr">
        <is>
          <t>991001760849702656</t>
        </is>
      </c>
      <c r="AY1628" t="inlineStr">
        <is>
          <t>2264436890002656</t>
        </is>
      </c>
      <c r="AZ1628" t="inlineStr">
        <is>
          <t>BOOK</t>
        </is>
      </c>
      <c r="BB1628" t="inlineStr">
        <is>
          <t>9780805807707</t>
        </is>
      </c>
      <c r="BC1628" t="inlineStr">
        <is>
          <t>32285001195725</t>
        </is>
      </c>
      <c r="BD1628" t="inlineStr">
        <is>
          <t>893715695</t>
        </is>
      </c>
    </row>
    <row r="1629">
      <c r="A1629" t="inlineStr">
        <is>
          <t>No</t>
        </is>
      </c>
      <c r="B1629" t="inlineStr">
        <is>
          <t>RC969.H43 W67 1996</t>
        </is>
      </c>
      <c r="C1629" t="inlineStr">
        <is>
          <t>0                      RC 0969000H  43                 W  67          1996</t>
        </is>
      </c>
      <c r="D1629" t="inlineStr">
        <is>
          <t>Workplace health, employee fitness and exercise / edited by John Kerr, Amanda Griffiths and Tom Cox.</t>
        </is>
      </c>
      <c r="F1629" t="inlineStr">
        <is>
          <t>No</t>
        </is>
      </c>
      <c r="G1629" t="inlineStr">
        <is>
          <t>1</t>
        </is>
      </c>
      <c r="H1629" t="inlineStr">
        <is>
          <t>No</t>
        </is>
      </c>
      <c r="I1629" t="inlineStr">
        <is>
          <t>No</t>
        </is>
      </c>
      <c r="J1629" t="inlineStr">
        <is>
          <t>0</t>
        </is>
      </c>
      <c r="L1629" t="inlineStr">
        <is>
          <t>London : Taylor and Francis, 1996.</t>
        </is>
      </c>
      <c r="M1629" t="inlineStr">
        <is>
          <t>1996</t>
        </is>
      </c>
      <c r="O1629" t="inlineStr">
        <is>
          <t>eng</t>
        </is>
      </c>
      <c r="P1629" t="inlineStr">
        <is>
          <t>enk</t>
        </is>
      </c>
      <c r="Q1629" t="inlineStr">
        <is>
          <t>Issues in occupational health</t>
        </is>
      </c>
      <c r="R1629" t="inlineStr">
        <is>
          <t xml:space="preserve">RC </t>
        </is>
      </c>
      <c r="S1629" t="n">
        <v>1</v>
      </c>
      <c r="T1629" t="n">
        <v>1</v>
      </c>
      <c r="U1629" t="inlineStr">
        <is>
          <t>1999-09-13</t>
        </is>
      </c>
      <c r="V1629" t="inlineStr">
        <is>
          <t>1999-09-13</t>
        </is>
      </c>
      <c r="W1629" t="inlineStr">
        <is>
          <t>1997-01-23</t>
        </is>
      </c>
      <c r="X1629" t="inlineStr">
        <is>
          <t>1997-01-23</t>
        </is>
      </c>
      <c r="Y1629" t="n">
        <v>165</v>
      </c>
      <c r="Z1629" t="n">
        <v>82</v>
      </c>
      <c r="AA1629" t="n">
        <v>82</v>
      </c>
      <c r="AB1629" t="n">
        <v>1</v>
      </c>
      <c r="AC1629" t="n">
        <v>1</v>
      </c>
      <c r="AD1629" t="n">
        <v>2</v>
      </c>
      <c r="AE1629" t="n">
        <v>2</v>
      </c>
      <c r="AF1629" t="n">
        <v>0</v>
      </c>
      <c r="AG1629" t="n">
        <v>0</v>
      </c>
      <c r="AH1629" t="n">
        <v>2</v>
      </c>
      <c r="AI1629" t="n">
        <v>2</v>
      </c>
      <c r="AJ1629" t="n">
        <v>1</v>
      </c>
      <c r="AK1629" t="n">
        <v>1</v>
      </c>
      <c r="AL1629" t="n">
        <v>0</v>
      </c>
      <c r="AM1629" t="n">
        <v>0</v>
      </c>
      <c r="AN1629" t="n">
        <v>0</v>
      </c>
      <c r="AO1629" t="n">
        <v>0</v>
      </c>
      <c r="AP1629" t="inlineStr">
        <is>
          <t>No</t>
        </is>
      </c>
      <c r="AQ1629" t="inlineStr">
        <is>
          <t>No</t>
        </is>
      </c>
      <c r="AS1629">
        <f>HYPERLINK("https://creighton-primo.hosted.exlibrisgroup.com/primo-explore/search?tab=default_tab&amp;search_scope=EVERYTHING&amp;vid=01CRU&amp;lang=en_US&amp;offset=0&amp;query=any,contains,991002750339702656","Catalog Record")</f>
        <v/>
      </c>
      <c r="AT1629">
        <f>HYPERLINK("http://www.worldcat.org/oclc/36622037","WorldCat Record")</f>
        <v/>
      </c>
      <c r="AU1629" t="inlineStr">
        <is>
          <t>896045:eng</t>
        </is>
      </c>
      <c r="AV1629" t="inlineStr">
        <is>
          <t>36622037</t>
        </is>
      </c>
      <c r="AW1629" t="inlineStr">
        <is>
          <t>991002750339702656</t>
        </is>
      </c>
      <c r="AX1629" t="inlineStr">
        <is>
          <t>991002750339702656</t>
        </is>
      </c>
      <c r="AY1629" t="inlineStr">
        <is>
          <t>2262597230002656</t>
        </is>
      </c>
      <c r="AZ1629" t="inlineStr">
        <is>
          <t>BOOK</t>
        </is>
      </c>
      <c r="BB1629" t="inlineStr">
        <is>
          <t>9780748401420</t>
        </is>
      </c>
      <c r="BC1629" t="inlineStr">
        <is>
          <t>32285002347028</t>
        </is>
      </c>
      <c r="BD1629" t="inlineStr">
        <is>
          <t>893880353</t>
        </is>
      </c>
    </row>
    <row r="1630">
      <c r="A1630" t="inlineStr">
        <is>
          <t>No</t>
        </is>
      </c>
      <c r="B1630" t="inlineStr">
        <is>
          <t>RC971 .C87 1998</t>
        </is>
      </c>
      <c r="C1630" t="inlineStr">
        <is>
          <t>0                      RC 0971000C  87          1998</t>
        </is>
      </c>
      <c r="D1630" t="inlineStr">
        <is>
          <t>Disease and empire : the health of European troops in the conquest of Africa / Philip D. Curtin.</t>
        </is>
      </c>
      <c r="F1630" t="inlineStr">
        <is>
          <t>No</t>
        </is>
      </c>
      <c r="G1630" t="inlineStr">
        <is>
          <t>1</t>
        </is>
      </c>
      <c r="H1630" t="inlineStr">
        <is>
          <t>No</t>
        </is>
      </c>
      <c r="I1630" t="inlineStr">
        <is>
          <t>No</t>
        </is>
      </c>
      <c r="J1630" t="inlineStr">
        <is>
          <t>0</t>
        </is>
      </c>
      <c r="K1630" t="inlineStr">
        <is>
          <t>Curtin, Philip D.</t>
        </is>
      </c>
      <c r="L1630" t="inlineStr">
        <is>
          <t>Cambridge, U.K. ; New York : Cambridge University Press, 1998.</t>
        </is>
      </c>
      <c r="M1630" t="inlineStr">
        <is>
          <t>1998</t>
        </is>
      </c>
      <c r="O1630" t="inlineStr">
        <is>
          <t>eng</t>
        </is>
      </c>
      <c r="P1630" t="inlineStr">
        <is>
          <t>nyu</t>
        </is>
      </c>
      <c r="R1630" t="inlineStr">
        <is>
          <t xml:space="preserve">RC </t>
        </is>
      </c>
      <c r="S1630" t="n">
        <v>1</v>
      </c>
      <c r="T1630" t="n">
        <v>1</v>
      </c>
      <c r="U1630" t="inlineStr">
        <is>
          <t>2002-02-05</t>
        </is>
      </c>
      <c r="V1630" t="inlineStr">
        <is>
          <t>2002-02-05</t>
        </is>
      </c>
      <c r="W1630" t="inlineStr">
        <is>
          <t>2002-02-05</t>
        </is>
      </c>
      <c r="X1630" t="inlineStr">
        <is>
          <t>2002-02-05</t>
        </is>
      </c>
      <c r="Y1630" t="n">
        <v>407</v>
      </c>
      <c r="Z1630" t="n">
        <v>295</v>
      </c>
      <c r="AA1630" t="n">
        <v>295</v>
      </c>
      <c r="AB1630" t="n">
        <v>2</v>
      </c>
      <c r="AC1630" t="n">
        <v>2</v>
      </c>
      <c r="AD1630" t="n">
        <v>16</v>
      </c>
      <c r="AE1630" t="n">
        <v>16</v>
      </c>
      <c r="AF1630" t="n">
        <v>4</v>
      </c>
      <c r="AG1630" t="n">
        <v>4</v>
      </c>
      <c r="AH1630" t="n">
        <v>5</v>
      </c>
      <c r="AI1630" t="n">
        <v>5</v>
      </c>
      <c r="AJ1630" t="n">
        <v>10</v>
      </c>
      <c r="AK1630" t="n">
        <v>10</v>
      </c>
      <c r="AL1630" t="n">
        <v>1</v>
      </c>
      <c r="AM1630" t="n">
        <v>1</v>
      </c>
      <c r="AN1630" t="n">
        <v>0</v>
      </c>
      <c r="AO1630" t="n">
        <v>0</v>
      </c>
      <c r="AP1630" t="inlineStr">
        <is>
          <t>No</t>
        </is>
      </c>
      <c r="AQ1630" t="inlineStr">
        <is>
          <t>No</t>
        </is>
      </c>
      <c r="AS1630">
        <f>HYPERLINK("https://creighton-primo.hosted.exlibrisgroup.com/primo-explore/search?tab=default_tab&amp;search_scope=EVERYTHING&amp;vid=01CRU&amp;lang=en_US&amp;offset=0&amp;query=any,contains,991003697309702656","Catalog Record")</f>
        <v/>
      </c>
      <c r="AT1630">
        <f>HYPERLINK("http://www.worldcat.org/oclc/39169947","WorldCat Record")</f>
        <v/>
      </c>
      <c r="AU1630" t="inlineStr">
        <is>
          <t>836933407:eng</t>
        </is>
      </c>
      <c r="AV1630" t="inlineStr">
        <is>
          <t>39169947</t>
        </is>
      </c>
      <c r="AW1630" t="inlineStr">
        <is>
          <t>991003697309702656</t>
        </is>
      </c>
      <c r="AX1630" t="inlineStr">
        <is>
          <t>991003697309702656</t>
        </is>
      </c>
      <c r="AY1630" t="inlineStr">
        <is>
          <t>2265999100002656</t>
        </is>
      </c>
      <c r="AZ1630" t="inlineStr">
        <is>
          <t>BOOK</t>
        </is>
      </c>
      <c r="BB1630" t="inlineStr">
        <is>
          <t>9780521591690</t>
        </is>
      </c>
      <c r="BC1630" t="inlineStr">
        <is>
          <t>32285004451927</t>
        </is>
      </c>
      <c r="BD1630" t="inlineStr">
        <is>
          <t>893525118</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