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CUHSL</t>
        </is>
      </c>
      <c r="C2" t="inlineStr">
        <is>
          <t>SHELVES</t>
        </is>
      </c>
      <c r="D2" t="inlineStr">
        <is>
          <t>WA 11 AA1 M643 2006</t>
        </is>
      </c>
      <c r="E2" t="inlineStr">
        <is>
          <t>0                      WA 0011000AA 1                  M  643         2006</t>
        </is>
      </c>
      <c r="F2" t="inlineStr">
        <is>
          <t>Mile stones in public health : accomplishments in public health over the last 100 years.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New York : Pfizer Inc., c2006.</t>
        </is>
      </c>
      <c r="O2" t="inlineStr">
        <is>
          <t>2006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WA </t>
        </is>
      </c>
      <c r="U2" t="n">
        <v>0</v>
      </c>
      <c r="V2" t="n">
        <v>0</v>
      </c>
      <c r="W2" t="inlineStr">
        <is>
          <t>2009-06-24</t>
        </is>
      </c>
      <c r="X2" t="inlineStr">
        <is>
          <t>2009-06-24</t>
        </is>
      </c>
      <c r="Y2" t="inlineStr">
        <is>
          <t>2009-06-22</t>
        </is>
      </c>
      <c r="Z2" t="inlineStr">
        <is>
          <t>2009-06-22</t>
        </is>
      </c>
      <c r="AA2" t="n">
        <v>128</v>
      </c>
      <c r="AB2" t="n">
        <v>122</v>
      </c>
      <c r="AC2" t="n">
        <v>127</v>
      </c>
      <c r="AD2" t="n">
        <v>4</v>
      </c>
      <c r="AE2" t="n">
        <v>4</v>
      </c>
      <c r="AF2" t="n">
        <v>4</v>
      </c>
      <c r="AG2" t="n">
        <v>4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3</v>
      </c>
      <c r="AO2" t="n">
        <v>3</v>
      </c>
      <c r="AP2" t="n">
        <v>1</v>
      </c>
      <c r="AQ2" t="n">
        <v>1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HYPERLINK("https://creighton-primo.hosted.exlibrisgroup.com/primo-explore/search?tab=default_tab&amp;search_scope=EVERYTHING&amp;vid=01CRU&amp;lang=en_US&amp;offset=0&amp;query=any,contains,991001470929702656","Catalog Record")</f>
        <v/>
      </c>
      <c r="AV2">
        <f>HYPERLINK("http://www.worldcat.org/oclc/63529145","WorldCat Record")</f>
        <v/>
      </c>
      <c r="AW2" t="inlineStr">
        <is>
          <t>51074571:eng</t>
        </is>
      </c>
      <c r="AX2" t="inlineStr">
        <is>
          <t>63529145</t>
        </is>
      </c>
      <c r="AY2" t="inlineStr">
        <is>
          <t>991001470929702656</t>
        </is>
      </c>
      <c r="AZ2" t="inlineStr">
        <is>
          <t>991001470929702656</t>
        </is>
      </c>
      <c r="BA2" t="inlineStr">
        <is>
          <t>2259883310002656</t>
        </is>
      </c>
      <c r="BB2" t="inlineStr">
        <is>
          <t>BOOK</t>
        </is>
      </c>
      <c r="BD2" t="inlineStr">
        <is>
          <t>9780976181514</t>
        </is>
      </c>
      <c r="BE2" t="inlineStr">
        <is>
          <t>30001004917490</t>
        </is>
      </c>
      <c r="BF2" t="inlineStr">
        <is>
          <t>893821241</t>
        </is>
      </c>
    </row>
    <row r="3">
      <c r="A3" t="inlineStr">
        <is>
          <t>No</t>
        </is>
      </c>
      <c r="B3" t="inlineStr">
        <is>
          <t>CUHSL</t>
        </is>
      </c>
      <c r="C3" t="inlineStr">
        <is>
          <t>SHELVES</t>
        </is>
      </c>
      <c r="D3" t="inlineStr">
        <is>
          <t>WA 11 AA1 M9p 1989</t>
        </is>
      </c>
      <c r="E3" t="inlineStr">
        <is>
          <t>0                      WA 0011000AA 1                  M  9p          1989</t>
        </is>
      </c>
      <c r="F3" t="inlineStr">
        <is>
          <t>Plagues and politics : the story of the United States Public Health Service / Fitzhugh Mullan.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Mullan, Fitzhugh.</t>
        </is>
      </c>
      <c r="N3" t="inlineStr">
        <is>
          <t>New York : Basic Books, c1989.</t>
        </is>
      </c>
      <c r="O3" t="inlineStr">
        <is>
          <t>1989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WA </t>
        </is>
      </c>
      <c r="U3" t="n">
        <v>9</v>
      </c>
      <c r="V3" t="n">
        <v>9</v>
      </c>
      <c r="W3" t="inlineStr">
        <is>
          <t>1993-10-28</t>
        </is>
      </c>
      <c r="X3" t="inlineStr">
        <is>
          <t>1993-10-28</t>
        </is>
      </c>
      <c r="Y3" t="inlineStr">
        <is>
          <t>1991-05-23</t>
        </is>
      </c>
      <c r="Z3" t="inlineStr">
        <is>
          <t>1991-05-23</t>
        </is>
      </c>
      <c r="AA3" t="n">
        <v>837</v>
      </c>
      <c r="AB3" t="n">
        <v>785</v>
      </c>
      <c r="AC3" t="n">
        <v>785</v>
      </c>
      <c r="AD3" t="n">
        <v>2</v>
      </c>
      <c r="AE3" t="n">
        <v>2</v>
      </c>
      <c r="AF3" t="n">
        <v>22</v>
      </c>
      <c r="AG3" t="n">
        <v>22</v>
      </c>
      <c r="AH3" t="n">
        <v>10</v>
      </c>
      <c r="AI3" t="n">
        <v>10</v>
      </c>
      <c r="AJ3" t="n">
        <v>3</v>
      </c>
      <c r="AK3" t="n">
        <v>3</v>
      </c>
      <c r="AL3" t="n">
        <v>11</v>
      </c>
      <c r="AM3" t="n">
        <v>11</v>
      </c>
      <c r="AN3" t="n">
        <v>1</v>
      </c>
      <c r="AO3" t="n">
        <v>1</v>
      </c>
      <c r="AP3" t="n">
        <v>1</v>
      </c>
      <c r="AQ3" t="n">
        <v>1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HYPERLINK("https://creighton-primo.hosted.exlibrisgroup.com/primo-explore/search?tab=default_tab&amp;search_scope=EVERYTHING&amp;vid=01CRU&amp;lang=en_US&amp;offset=0&amp;query=any,contains,991000937349702656","Catalog Record")</f>
        <v/>
      </c>
      <c r="AV3">
        <f>HYPERLINK("http://www.worldcat.org/oclc/20014513","WorldCat Record")</f>
        <v/>
      </c>
      <c r="AW3" t="inlineStr">
        <is>
          <t>368523223:eng</t>
        </is>
      </c>
      <c r="AX3" t="inlineStr">
        <is>
          <t>20014513</t>
        </is>
      </c>
      <c r="AY3" t="inlineStr">
        <is>
          <t>991000937349702656</t>
        </is>
      </c>
      <c r="AZ3" t="inlineStr">
        <is>
          <t>991000937349702656</t>
        </is>
      </c>
      <c r="BA3" t="inlineStr">
        <is>
          <t>2260265620002656</t>
        </is>
      </c>
      <c r="BB3" t="inlineStr">
        <is>
          <t>BOOK</t>
        </is>
      </c>
      <c r="BD3" t="inlineStr">
        <is>
          <t>9780465057795</t>
        </is>
      </c>
      <c r="BE3" t="inlineStr">
        <is>
          <t>30001002191403</t>
        </is>
      </c>
      <c r="BF3" t="inlineStr">
        <is>
          <t>893740593</t>
        </is>
      </c>
    </row>
    <row r="4">
      <c r="A4" t="inlineStr">
        <is>
          <t>No</t>
        </is>
      </c>
      <c r="B4" t="inlineStr">
        <is>
          <t>CUHSL</t>
        </is>
      </c>
      <c r="C4" t="inlineStr">
        <is>
          <t>SHELVES</t>
        </is>
      </c>
      <c r="D4" t="inlineStr">
        <is>
          <t>WA11 AA1 S845p 2007</t>
        </is>
      </c>
      <c r="E4" t="inlineStr">
        <is>
          <t>0                      WA 0011000AA 1                  S  845p        2007</t>
        </is>
      </c>
      <c r="F4" t="inlineStr">
        <is>
          <t>The public-private health care state : essays on the history of American health care policy / Rosemary Stevens.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Stevens, Rosemary, 1935-</t>
        </is>
      </c>
      <c r="N4" t="inlineStr">
        <is>
          <t>New Brunswick : Transaction Publishers, c2007.</t>
        </is>
      </c>
      <c r="O4" t="inlineStr">
        <is>
          <t>2007</t>
        </is>
      </c>
      <c r="Q4" t="inlineStr">
        <is>
          <t>eng</t>
        </is>
      </c>
      <c r="R4" t="inlineStr">
        <is>
          <t>nju</t>
        </is>
      </c>
      <c r="T4" t="inlineStr">
        <is>
          <t xml:space="preserve">WA </t>
        </is>
      </c>
      <c r="U4" t="n">
        <v>6</v>
      </c>
      <c r="V4" t="n">
        <v>6</v>
      </c>
      <c r="W4" t="inlineStr">
        <is>
          <t>2009-11-20</t>
        </is>
      </c>
      <c r="X4" t="inlineStr">
        <is>
          <t>2009-11-20</t>
        </is>
      </c>
      <c r="Y4" t="inlineStr">
        <is>
          <t>2008-02-12</t>
        </is>
      </c>
      <c r="Z4" t="inlineStr">
        <is>
          <t>2008-02-12</t>
        </is>
      </c>
      <c r="AA4" t="n">
        <v>178</v>
      </c>
      <c r="AB4" t="n">
        <v>154</v>
      </c>
      <c r="AC4" t="n">
        <v>182</v>
      </c>
      <c r="AD4" t="n">
        <v>2</v>
      </c>
      <c r="AE4" t="n">
        <v>2</v>
      </c>
      <c r="AF4" t="n">
        <v>6</v>
      </c>
      <c r="AG4" t="n">
        <v>6</v>
      </c>
      <c r="AH4" t="n">
        <v>2</v>
      </c>
      <c r="AI4" t="n">
        <v>2</v>
      </c>
      <c r="AJ4" t="n">
        <v>3</v>
      </c>
      <c r="AK4" t="n">
        <v>3</v>
      </c>
      <c r="AL4" t="n">
        <v>2</v>
      </c>
      <c r="AM4" t="n">
        <v>2</v>
      </c>
      <c r="AN4" t="n">
        <v>1</v>
      </c>
      <c r="AO4" t="n">
        <v>1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HYPERLINK("https://creighton-primo.hosted.exlibrisgroup.com/primo-explore/search?tab=default_tab&amp;search_scope=EVERYTHING&amp;vid=01CRU&amp;lang=en_US&amp;offset=0&amp;query=any,contains,991000678479702656","Catalog Record")</f>
        <v/>
      </c>
      <c r="AV4">
        <f>HYPERLINK("http://www.worldcat.org/oclc/64771131","WorldCat Record")</f>
        <v/>
      </c>
      <c r="AW4" t="inlineStr">
        <is>
          <t>48673864:eng</t>
        </is>
      </c>
      <c r="AX4" t="inlineStr">
        <is>
          <t>64771131</t>
        </is>
      </c>
      <c r="AY4" t="inlineStr">
        <is>
          <t>991000678479702656</t>
        </is>
      </c>
      <c r="AZ4" t="inlineStr">
        <is>
          <t>991000678479702656</t>
        </is>
      </c>
      <c r="BA4" t="inlineStr">
        <is>
          <t>2260899270002656</t>
        </is>
      </c>
      <c r="BB4" t="inlineStr">
        <is>
          <t>BOOK</t>
        </is>
      </c>
      <c r="BD4" t="inlineStr">
        <is>
          <t>9780765803498</t>
        </is>
      </c>
      <c r="BE4" t="inlineStr">
        <is>
          <t>30001005270618</t>
        </is>
      </c>
      <c r="BF4" t="inlineStr">
        <is>
          <t>893642320</t>
        </is>
      </c>
    </row>
    <row r="5">
      <c r="A5" t="inlineStr">
        <is>
          <t>No</t>
        </is>
      </c>
      <c r="B5" t="inlineStr">
        <is>
          <t>CUHSL</t>
        </is>
      </c>
      <c r="C5" t="inlineStr">
        <is>
          <t>SHELVES</t>
        </is>
      </c>
      <c r="D5" t="inlineStr">
        <is>
          <t>WA11 AA1 T843w 2004</t>
        </is>
      </c>
      <c r="E5" t="inlineStr">
        <is>
          <t>0                      WA 0011000AA 1                  T  843w        2004</t>
        </is>
      </c>
      <c r="F5" t="inlineStr">
        <is>
          <t>Water, race, and disease / Werner Troesken.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1</t>
        </is>
      </c>
      <c r="M5" t="inlineStr">
        <is>
          <t>Troesken, Werner, 1963-</t>
        </is>
      </c>
      <c r="N5" t="inlineStr">
        <is>
          <t>Cambridge, Mass. : MIT Press, c2004.</t>
        </is>
      </c>
      <c r="O5" t="inlineStr">
        <is>
          <t>2004</t>
        </is>
      </c>
      <c r="Q5" t="inlineStr">
        <is>
          <t>eng</t>
        </is>
      </c>
      <c r="R5" t="inlineStr">
        <is>
          <t>mau</t>
        </is>
      </c>
      <c r="S5" t="inlineStr">
        <is>
          <t>NBER series on long-term factors in economic development</t>
        </is>
      </c>
      <c r="T5" t="inlineStr">
        <is>
          <t xml:space="preserve">WA </t>
        </is>
      </c>
      <c r="U5" t="n">
        <v>1</v>
      </c>
      <c r="V5" t="n">
        <v>1</v>
      </c>
      <c r="W5" t="inlineStr">
        <is>
          <t>2010-09-16</t>
        </is>
      </c>
      <c r="X5" t="inlineStr">
        <is>
          <t>2010-09-16</t>
        </is>
      </c>
      <c r="Y5" t="inlineStr">
        <is>
          <t>2006-04-20</t>
        </is>
      </c>
      <c r="Z5" t="inlineStr">
        <is>
          <t>2006-04-20</t>
        </is>
      </c>
      <c r="AA5" t="n">
        <v>361</v>
      </c>
      <c r="AB5" t="n">
        <v>301</v>
      </c>
      <c r="AC5" t="n">
        <v>1363</v>
      </c>
      <c r="AD5" t="n">
        <v>2</v>
      </c>
      <c r="AE5" t="n">
        <v>35</v>
      </c>
      <c r="AF5" t="n">
        <v>13</v>
      </c>
      <c r="AG5" t="n">
        <v>46</v>
      </c>
      <c r="AH5" t="n">
        <v>3</v>
      </c>
      <c r="AI5" t="n">
        <v>13</v>
      </c>
      <c r="AJ5" t="n">
        <v>4</v>
      </c>
      <c r="AK5" t="n">
        <v>9</v>
      </c>
      <c r="AL5" t="n">
        <v>7</v>
      </c>
      <c r="AM5" t="n">
        <v>14</v>
      </c>
      <c r="AN5" t="n">
        <v>1</v>
      </c>
      <c r="AO5" t="n">
        <v>15</v>
      </c>
      <c r="AP5" t="n">
        <v>0</v>
      </c>
      <c r="AQ5" t="n">
        <v>1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HYPERLINK("https://creighton-primo.hosted.exlibrisgroup.com/primo-explore/search?tab=default_tab&amp;search_scope=EVERYTHING&amp;vid=01CRU&amp;lang=en_US&amp;offset=0&amp;query=any,contains,991000475849702656","Catalog Record")</f>
        <v/>
      </c>
      <c r="AV5">
        <f>HYPERLINK("http://www.worldcat.org/oclc/53132443","WorldCat Record")</f>
        <v/>
      </c>
      <c r="AW5" t="inlineStr">
        <is>
          <t>668871:eng</t>
        </is>
      </c>
      <c r="AX5" t="inlineStr">
        <is>
          <t>53132443</t>
        </is>
      </c>
      <c r="AY5" t="inlineStr">
        <is>
          <t>991000475849702656</t>
        </is>
      </c>
      <c r="AZ5" t="inlineStr">
        <is>
          <t>991000475849702656</t>
        </is>
      </c>
      <c r="BA5" t="inlineStr">
        <is>
          <t>2267005550002656</t>
        </is>
      </c>
      <c r="BB5" t="inlineStr">
        <is>
          <t>BOOK</t>
        </is>
      </c>
      <c r="BD5" t="inlineStr">
        <is>
          <t>9780262201483</t>
        </is>
      </c>
      <c r="BE5" t="inlineStr">
        <is>
          <t>30001004914513</t>
        </is>
      </c>
      <c r="BF5" t="inlineStr">
        <is>
          <t>893741826</t>
        </is>
      </c>
    </row>
    <row r="6">
      <c r="A6" t="inlineStr">
        <is>
          <t>No</t>
        </is>
      </c>
      <c r="B6" t="inlineStr">
        <is>
          <t>CUHSL</t>
        </is>
      </c>
      <c r="C6" t="inlineStr">
        <is>
          <t>SHELVES</t>
        </is>
      </c>
      <c r="D6" t="inlineStr">
        <is>
          <t>WA11 FE5 B627w 2006</t>
        </is>
      </c>
      <c r="E6" t="inlineStr">
        <is>
          <t>0                      WA 0011000FE 5                  B  627w        2006</t>
        </is>
      </c>
      <c r="F6" t="inlineStr">
        <is>
          <t>Walking London's medical history / Nick Black ; [foreword by Peter Ackroyd].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Black, Nick.</t>
        </is>
      </c>
      <c r="N6" t="inlineStr">
        <is>
          <t>London : Royal Society of Medicine Press, c2006.</t>
        </is>
      </c>
      <c r="O6" t="inlineStr">
        <is>
          <t>2006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WA </t>
        </is>
      </c>
      <c r="U6" t="n">
        <v>3</v>
      </c>
      <c r="V6" t="n">
        <v>3</v>
      </c>
      <c r="W6" t="inlineStr">
        <is>
          <t>2009-02-10</t>
        </is>
      </c>
      <c r="X6" t="inlineStr">
        <is>
          <t>2009-02-10</t>
        </is>
      </c>
      <c r="Y6" t="inlineStr">
        <is>
          <t>2008-04-29</t>
        </is>
      </c>
      <c r="Z6" t="inlineStr">
        <is>
          <t>2008-04-29</t>
        </is>
      </c>
      <c r="AA6" t="n">
        <v>58</v>
      </c>
      <c r="AB6" t="n">
        <v>31</v>
      </c>
      <c r="AC6" t="n">
        <v>34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HYPERLINK("https://creighton-primo.hosted.exlibrisgroup.com/primo-explore/search?tab=default_tab&amp;search_scope=EVERYTHING&amp;vid=01CRU&amp;lang=en_US&amp;offset=0&amp;query=any,contains,991000695859702656","Catalog Record")</f>
        <v/>
      </c>
      <c r="AV6">
        <f>HYPERLINK("http://www.worldcat.org/oclc/76817853","WorldCat Record")</f>
        <v/>
      </c>
      <c r="AW6" t="inlineStr">
        <is>
          <t>62590026:eng</t>
        </is>
      </c>
      <c r="AX6" t="inlineStr">
        <is>
          <t>76817853</t>
        </is>
      </c>
      <c r="AY6" t="inlineStr">
        <is>
          <t>991000695859702656</t>
        </is>
      </c>
      <c r="AZ6" t="inlineStr">
        <is>
          <t>991000695859702656</t>
        </is>
      </c>
      <c r="BA6" t="inlineStr">
        <is>
          <t>2272454460002656</t>
        </is>
      </c>
      <c r="BB6" t="inlineStr">
        <is>
          <t>BOOK</t>
        </is>
      </c>
      <c r="BD6" t="inlineStr">
        <is>
          <t>9781853156199</t>
        </is>
      </c>
      <c r="BE6" t="inlineStr">
        <is>
          <t>30001005192788</t>
        </is>
      </c>
      <c r="BF6" t="inlineStr">
        <is>
          <t>893467534</t>
        </is>
      </c>
    </row>
    <row r="7">
      <c r="A7" t="inlineStr">
        <is>
          <t>No</t>
        </is>
      </c>
      <c r="B7" t="inlineStr">
        <is>
          <t>CUHSL</t>
        </is>
      </c>
      <c r="C7" t="inlineStr">
        <is>
          <t>SHELVES</t>
        </is>
      </c>
      <c r="D7" t="inlineStr">
        <is>
          <t>WA11 FE5 L665b 2004</t>
        </is>
      </c>
      <c r="E7" t="inlineStr">
        <is>
          <t>0                      WA 0011000FE 5                  L  665b        2004</t>
        </is>
      </c>
      <c r="F7" t="inlineStr">
        <is>
          <t>Beyond the reproductive body : the politics of women's health and work in early Victorian England / Marjorie Levine-Clark.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No</t>
        </is>
      </c>
      <c r="L7" t="inlineStr">
        <is>
          <t>0</t>
        </is>
      </c>
      <c r="M7" t="inlineStr">
        <is>
          <t>Levine-Clark, Marjorie.</t>
        </is>
      </c>
      <c r="N7" t="inlineStr">
        <is>
          <t>Columbus : Ohio State University Press, c2004.</t>
        </is>
      </c>
      <c r="O7" t="inlineStr">
        <is>
          <t>2004</t>
        </is>
      </c>
      <c r="Q7" t="inlineStr">
        <is>
          <t>eng</t>
        </is>
      </c>
      <c r="R7" t="inlineStr">
        <is>
          <t>ohu</t>
        </is>
      </c>
      <c r="S7" t="inlineStr">
        <is>
          <t>Women and health</t>
        </is>
      </c>
      <c r="T7" t="inlineStr">
        <is>
          <t xml:space="preserve">WA </t>
        </is>
      </c>
      <c r="U7" t="n">
        <v>0</v>
      </c>
      <c r="V7" t="n">
        <v>2</v>
      </c>
      <c r="X7" t="inlineStr">
        <is>
          <t>2009-09-10</t>
        </is>
      </c>
      <c r="Y7" t="inlineStr">
        <is>
          <t>2005-04-07</t>
        </is>
      </c>
      <c r="Z7" t="inlineStr">
        <is>
          <t>2009-09-10</t>
        </is>
      </c>
      <c r="AA7" t="n">
        <v>287</v>
      </c>
      <c r="AB7" t="n">
        <v>226</v>
      </c>
      <c r="AC7" t="n">
        <v>254</v>
      </c>
      <c r="AD7" t="n">
        <v>3</v>
      </c>
      <c r="AE7" t="n">
        <v>3</v>
      </c>
      <c r="AF7" t="n">
        <v>11</v>
      </c>
      <c r="AG7" t="n">
        <v>11</v>
      </c>
      <c r="AH7" t="n">
        <v>3</v>
      </c>
      <c r="AI7" t="n">
        <v>3</v>
      </c>
      <c r="AJ7" t="n">
        <v>4</v>
      </c>
      <c r="AK7" t="n">
        <v>4</v>
      </c>
      <c r="AL7" t="n">
        <v>6</v>
      </c>
      <c r="AM7" t="n">
        <v>6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HYPERLINK("https://creighton-primo.hosted.exlibrisgroup.com/primo-explore/search?tab=default_tab&amp;search_scope=EVERYTHING&amp;vid=01CRU&amp;lang=en_US&amp;offset=0&amp;query=any,contains,991001732879702656","Catalog Record")</f>
        <v/>
      </c>
      <c r="AV7">
        <f>HYPERLINK("http://www.worldcat.org/oclc/53145276","WorldCat Record")</f>
        <v/>
      </c>
      <c r="AW7" t="inlineStr">
        <is>
          <t>891492257:eng</t>
        </is>
      </c>
      <c r="AX7" t="inlineStr">
        <is>
          <t>53145276</t>
        </is>
      </c>
      <c r="AY7" t="inlineStr">
        <is>
          <t>991001732879702656</t>
        </is>
      </c>
      <c r="AZ7" t="inlineStr">
        <is>
          <t>991001732879702656</t>
        </is>
      </c>
      <c r="BA7" t="inlineStr">
        <is>
          <t>2269164730002656</t>
        </is>
      </c>
      <c r="BB7" t="inlineStr">
        <is>
          <t>BOOK</t>
        </is>
      </c>
      <c r="BD7" t="inlineStr">
        <is>
          <t>9780814209561</t>
        </is>
      </c>
      <c r="BE7" t="inlineStr">
        <is>
          <t>30001004929123</t>
        </is>
      </c>
      <c r="BF7" t="inlineStr">
        <is>
          <t>893369837</t>
        </is>
      </c>
    </row>
    <row r="8">
      <c r="A8" t="inlineStr">
        <is>
          <t>No</t>
        </is>
      </c>
      <c r="B8" t="inlineStr">
        <is>
          <t>CUHSL</t>
        </is>
      </c>
      <c r="C8" t="inlineStr">
        <is>
          <t>SHELVES</t>
        </is>
      </c>
      <c r="D8" t="inlineStr">
        <is>
          <t>WA 11 JK2 M621c 2003</t>
        </is>
      </c>
      <c r="E8" t="inlineStr">
        <is>
          <t>0                      WA 0011000JK 2                  M  621c        2003</t>
        </is>
      </c>
      <c r="F8" t="inlineStr">
        <is>
          <t>Curative powers : medicine and empire in Stalin's Central Asia / Paula A. Michaels.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Michaels, Paula A., 1966-</t>
        </is>
      </c>
      <c r="N8" t="inlineStr">
        <is>
          <t>Pittsburgh, Pa. : University of Pittsburgh Press, c2003.</t>
        </is>
      </c>
      <c r="O8" t="inlineStr">
        <is>
          <t>2003</t>
        </is>
      </c>
      <c r="Q8" t="inlineStr">
        <is>
          <t>eng</t>
        </is>
      </c>
      <c r="R8" t="inlineStr">
        <is>
          <t>pau</t>
        </is>
      </c>
      <c r="S8" t="inlineStr">
        <is>
          <t>Pitt series in Russian and East European studies</t>
        </is>
      </c>
      <c r="T8" t="inlineStr">
        <is>
          <t xml:space="preserve">WA </t>
        </is>
      </c>
      <c r="U8" t="n">
        <v>0</v>
      </c>
      <c r="V8" t="n">
        <v>0</v>
      </c>
      <c r="W8" t="inlineStr">
        <is>
          <t>2005-07-17</t>
        </is>
      </c>
      <c r="X8" t="inlineStr">
        <is>
          <t>2005-07-17</t>
        </is>
      </c>
      <c r="Y8" t="inlineStr">
        <is>
          <t>2005-07-14</t>
        </is>
      </c>
      <c r="Z8" t="inlineStr">
        <is>
          <t>2005-07-14</t>
        </is>
      </c>
      <c r="AA8" t="n">
        <v>196</v>
      </c>
      <c r="AB8" t="n">
        <v>142</v>
      </c>
      <c r="AC8" t="n">
        <v>528</v>
      </c>
      <c r="AD8" t="n">
        <v>1</v>
      </c>
      <c r="AE8" t="n">
        <v>6</v>
      </c>
      <c r="AF8" t="n">
        <v>4</v>
      </c>
      <c r="AG8" t="n">
        <v>29</v>
      </c>
      <c r="AH8" t="n">
        <v>0</v>
      </c>
      <c r="AI8" t="n">
        <v>11</v>
      </c>
      <c r="AJ8" t="n">
        <v>2</v>
      </c>
      <c r="AK8" t="n">
        <v>8</v>
      </c>
      <c r="AL8" t="n">
        <v>3</v>
      </c>
      <c r="AM8" t="n">
        <v>13</v>
      </c>
      <c r="AN8" t="n">
        <v>0</v>
      </c>
      <c r="AO8" t="n">
        <v>4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HYPERLINK("https://creighton-primo.hosted.exlibrisgroup.com/primo-explore/search?tab=default_tab&amp;search_scope=EVERYTHING&amp;vid=01CRU&amp;lang=en_US&amp;offset=0&amp;query=any,contains,991000440729702656","Catalog Record")</f>
        <v/>
      </c>
      <c r="AV8">
        <f>HYPERLINK("http://www.worldcat.org/oclc/50604823","WorldCat Record")</f>
        <v/>
      </c>
      <c r="AW8" t="inlineStr">
        <is>
          <t>140992930:eng</t>
        </is>
      </c>
      <c r="AX8" t="inlineStr">
        <is>
          <t>50604823</t>
        </is>
      </c>
      <c r="AY8" t="inlineStr">
        <is>
          <t>991000440729702656</t>
        </is>
      </c>
      <c r="AZ8" t="inlineStr">
        <is>
          <t>991000440729702656</t>
        </is>
      </c>
      <c r="BA8" t="inlineStr">
        <is>
          <t>2263260950002656</t>
        </is>
      </c>
      <c r="BB8" t="inlineStr">
        <is>
          <t>BOOK</t>
        </is>
      </c>
      <c r="BD8" t="inlineStr">
        <is>
          <t>9780822941972</t>
        </is>
      </c>
      <c r="BE8" t="inlineStr">
        <is>
          <t>30001005000445</t>
        </is>
      </c>
      <c r="BF8" t="inlineStr">
        <is>
          <t>893269459</t>
        </is>
      </c>
    </row>
    <row r="9">
      <c r="A9" t="inlineStr">
        <is>
          <t>No</t>
        </is>
      </c>
      <c r="B9" t="inlineStr">
        <is>
          <t>CUHSL</t>
        </is>
      </c>
      <c r="C9" t="inlineStr">
        <is>
          <t>SHELVES</t>
        </is>
      </c>
      <c r="D9" t="inlineStr">
        <is>
          <t>WA 16 G561 1996</t>
        </is>
      </c>
      <c r="E9" t="inlineStr">
        <is>
          <t>0                      WA 0016000G  561         1996</t>
        </is>
      </c>
      <c r="F9" t="inlineStr">
        <is>
          <t>The global burden of disease : a comprehensive assessment of mortality and disability from diseases, injuries, and risk factors in 1990 and projected to 2020 / edited by Christopher J.L. Murray, Alan D. Lopez.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[Cambridge, Mass.] : Published by the Harvard School of Public Health on behalf of the World Health Organization and the World Bank ; Distributed by Harvard University Press, c1996.</t>
        </is>
      </c>
      <c r="O9" t="inlineStr">
        <is>
          <t>1996</t>
        </is>
      </c>
      <c r="Q9" t="inlineStr">
        <is>
          <t>eng</t>
        </is>
      </c>
      <c r="R9" t="inlineStr">
        <is>
          <t>mau</t>
        </is>
      </c>
      <c r="S9" t="inlineStr">
        <is>
          <t>Global burden of disease and injury series ; v. 1</t>
        </is>
      </c>
      <c r="T9" t="inlineStr">
        <is>
          <t xml:space="preserve">WA </t>
        </is>
      </c>
      <c r="U9" t="n">
        <v>8</v>
      </c>
      <c r="V9" t="n">
        <v>8</v>
      </c>
      <c r="W9" t="inlineStr">
        <is>
          <t>2006-10-26</t>
        </is>
      </c>
      <c r="X9" t="inlineStr">
        <is>
          <t>2006-10-26</t>
        </is>
      </c>
      <c r="Y9" t="inlineStr">
        <is>
          <t>1997-02-20</t>
        </is>
      </c>
      <c r="Z9" t="inlineStr">
        <is>
          <t>1997-02-20</t>
        </is>
      </c>
      <c r="AA9" t="n">
        <v>357</v>
      </c>
      <c r="AB9" t="n">
        <v>239</v>
      </c>
      <c r="AC9" t="n">
        <v>247</v>
      </c>
      <c r="AD9" t="n">
        <v>2</v>
      </c>
      <c r="AE9" t="n">
        <v>2</v>
      </c>
      <c r="AF9" t="n">
        <v>8</v>
      </c>
      <c r="AG9" t="n">
        <v>8</v>
      </c>
      <c r="AH9" t="n">
        <v>1</v>
      </c>
      <c r="AI9" t="n">
        <v>1</v>
      </c>
      <c r="AJ9" t="n">
        <v>3</v>
      </c>
      <c r="AK9" t="n">
        <v>3</v>
      </c>
      <c r="AL9" t="n">
        <v>4</v>
      </c>
      <c r="AM9" t="n">
        <v>4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HYPERLINK("http://catalog.hathitrust.org/Record/003137721","HathiTrust Record")</f>
        <v/>
      </c>
      <c r="AU9">
        <f>HYPERLINK("https://creighton-primo.hosted.exlibrisgroup.com/primo-explore/search?tab=default_tab&amp;search_scope=EVERYTHING&amp;vid=01CRU&amp;lang=en_US&amp;offset=0&amp;query=any,contains,991000837009702656","Catalog Record")</f>
        <v/>
      </c>
      <c r="AV9">
        <f>HYPERLINK("http://www.worldcat.org/oclc/35128060","WorldCat Record")</f>
        <v/>
      </c>
      <c r="AW9" t="inlineStr">
        <is>
          <t>3857284812:eng</t>
        </is>
      </c>
      <c r="AX9" t="inlineStr">
        <is>
          <t>35128060</t>
        </is>
      </c>
      <c r="AY9" t="inlineStr">
        <is>
          <t>991000837009702656</t>
        </is>
      </c>
      <c r="AZ9" t="inlineStr">
        <is>
          <t>991000837009702656</t>
        </is>
      </c>
      <c r="BA9" t="inlineStr">
        <is>
          <t>2271112570002656</t>
        </is>
      </c>
      <c r="BB9" t="inlineStr">
        <is>
          <t>BOOK</t>
        </is>
      </c>
      <c r="BD9" t="inlineStr">
        <is>
          <t>9780674354487</t>
        </is>
      </c>
      <c r="BE9" t="inlineStr">
        <is>
          <t>30001003442250</t>
        </is>
      </c>
      <c r="BF9" t="inlineStr">
        <is>
          <t>893287046</t>
        </is>
      </c>
    </row>
    <row r="10">
      <c r="A10" t="inlineStr">
        <is>
          <t>No</t>
        </is>
      </c>
      <c r="B10" t="inlineStr">
        <is>
          <t>CUHSL</t>
        </is>
      </c>
      <c r="C10" t="inlineStr">
        <is>
          <t>SHELVES</t>
        </is>
      </c>
      <c r="D10" t="inlineStr">
        <is>
          <t>WA 16 G696q 1986</t>
        </is>
      </c>
      <c r="E10" t="inlineStr">
        <is>
          <t>0                      WA 0016000G  696q        1986</t>
        </is>
      </c>
      <c r="F10" t="inlineStr">
        <is>
          <t>Quality of life in American neighborhoods : levels of affluence, toxic waste, and cancer mortality in residential zip code areas / Jay M. Gould ; edited by Alice Tepper Marlin.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Gould, Jay M.</t>
        </is>
      </c>
      <c r="N10" t="inlineStr">
        <is>
          <t>Boulder : Westview Press, c1986.</t>
        </is>
      </c>
      <c r="O10" t="inlineStr">
        <is>
          <t>1986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WA </t>
        </is>
      </c>
      <c r="U10" t="n">
        <v>2</v>
      </c>
      <c r="V10" t="n">
        <v>2</v>
      </c>
      <c r="W10" t="inlineStr">
        <is>
          <t>1990-04-17</t>
        </is>
      </c>
      <c r="X10" t="inlineStr">
        <is>
          <t>1990-04-17</t>
        </is>
      </c>
      <c r="Y10" t="inlineStr">
        <is>
          <t>1990-04-02</t>
        </is>
      </c>
      <c r="Z10" t="inlineStr">
        <is>
          <t>1990-04-02</t>
        </is>
      </c>
      <c r="AA10" t="n">
        <v>318</v>
      </c>
      <c r="AB10" t="n">
        <v>294</v>
      </c>
      <c r="AC10" t="n">
        <v>310</v>
      </c>
      <c r="AD10" t="n">
        <v>2</v>
      </c>
      <c r="AE10" t="n">
        <v>2</v>
      </c>
      <c r="AF10" t="n">
        <v>8</v>
      </c>
      <c r="AG10" t="n">
        <v>8</v>
      </c>
      <c r="AH10" t="n">
        <v>1</v>
      </c>
      <c r="AI10" t="n">
        <v>1</v>
      </c>
      <c r="AJ10" t="n">
        <v>3</v>
      </c>
      <c r="AK10" t="n">
        <v>3</v>
      </c>
      <c r="AL10" t="n">
        <v>4</v>
      </c>
      <c r="AM10" t="n">
        <v>4</v>
      </c>
      <c r="AN10" t="n">
        <v>1</v>
      </c>
      <c r="AO10" t="n">
        <v>1</v>
      </c>
      <c r="AP10" t="n">
        <v>1</v>
      </c>
      <c r="AQ10" t="n">
        <v>1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HYPERLINK("http://catalog.hathitrust.org/Record/000473091","HathiTrust Record")</f>
        <v/>
      </c>
      <c r="AU10">
        <f>HYPERLINK("https://creighton-primo.hosted.exlibrisgroup.com/primo-explore/search?tab=default_tab&amp;search_scope=EVERYTHING&amp;vid=01CRU&amp;lang=en_US&amp;offset=0&amp;query=any,contains,991001355279702656","Catalog Record")</f>
        <v/>
      </c>
      <c r="AV10">
        <f>HYPERLINK("http://www.worldcat.org/oclc/13123497","WorldCat Record")</f>
        <v/>
      </c>
      <c r="AW10" t="inlineStr">
        <is>
          <t>474666579:eng</t>
        </is>
      </c>
      <c r="AX10" t="inlineStr">
        <is>
          <t>13123497</t>
        </is>
      </c>
      <c r="AY10" t="inlineStr">
        <is>
          <t>991001355279702656</t>
        </is>
      </c>
      <c r="AZ10" t="inlineStr">
        <is>
          <t>991001355279702656</t>
        </is>
      </c>
      <c r="BA10" t="inlineStr">
        <is>
          <t>2266121430002656</t>
        </is>
      </c>
      <c r="BB10" t="inlineStr">
        <is>
          <t>BOOK</t>
        </is>
      </c>
      <c r="BD10" t="inlineStr">
        <is>
          <t>9780813371870</t>
        </is>
      </c>
      <c r="BE10" t="inlineStr">
        <is>
          <t>30001001795832</t>
        </is>
      </c>
      <c r="BF10" t="inlineStr">
        <is>
          <t>893834646</t>
        </is>
      </c>
    </row>
    <row r="11">
      <c r="A11" t="inlineStr">
        <is>
          <t>No</t>
        </is>
      </c>
      <c r="B11" t="inlineStr">
        <is>
          <t>CUHSL</t>
        </is>
      </c>
      <c r="C11" t="inlineStr">
        <is>
          <t>SHELVES</t>
        </is>
      </c>
      <c r="D11" t="inlineStr">
        <is>
          <t>WA 16 S795 1997</t>
        </is>
      </c>
      <c r="E11" t="inlineStr">
        <is>
          <t>0                      WA 0016000S  795         1997</t>
        </is>
      </c>
      <c r="F11" t="inlineStr">
        <is>
          <t>Statbook : statistics for monitoring maternal and infant health 1997 / March of Dimes Birth Defects Foundation.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N11" t="inlineStr">
        <is>
          <t>Wikes-Barre, PA : Perinatal Data Center, Office of the Medical Director, 1997.</t>
        </is>
      </c>
      <c r="O11" t="inlineStr">
        <is>
          <t>1997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WA </t>
        </is>
      </c>
      <c r="U11" t="n">
        <v>2</v>
      </c>
      <c r="V11" t="n">
        <v>2</v>
      </c>
      <c r="W11" t="inlineStr">
        <is>
          <t>2005-09-29</t>
        </is>
      </c>
      <c r="X11" t="inlineStr">
        <is>
          <t>2005-09-29</t>
        </is>
      </c>
      <c r="Y11" t="inlineStr">
        <is>
          <t>1998-05-06</t>
        </is>
      </c>
      <c r="Z11" t="inlineStr">
        <is>
          <t>1998-05-06</t>
        </is>
      </c>
      <c r="AA11" t="n">
        <v>32</v>
      </c>
      <c r="AB11" t="n">
        <v>32</v>
      </c>
      <c r="AC11" t="n">
        <v>32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HYPERLINK("https://creighton-primo.hosted.exlibrisgroup.com/primo-explore/search?tab=default_tab&amp;search_scope=EVERYTHING&amp;vid=01CRU&amp;lang=en_US&amp;offset=0&amp;query=any,contains,991000901229702656","Catalog Record")</f>
        <v/>
      </c>
      <c r="AV11">
        <f>HYPERLINK("http://www.worldcat.org/oclc/36916677","WorldCat Record")</f>
        <v/>
      </c>
      <c r="AW11" t="inlineStr">
        <is>
          <t>3901794053:eng</t>
        </is>
      </c>
      <c r="AX11" t="inlineStr">
        <is>
          <t>36916677</t>
        </is>
      </c>
      <c r="AY11" t="inlineStr">
        <is>
          <t>991000901229702656</t>
        </is>
      </c>
      <c r="AZ11" t="inlineStr">
        <is>
          <t>991000901229702656</t>
        </is>
      </c>
      <c r="BA11" t="inlineStr">
        <is>
          <t>2264453960002656</t>
        </is>
      </c>
      <c r="BB11" t="inlineStr">
        <is>
          <t>BOOK</t>
        </is>
      </c>
      <c r="BD11" t="inlineStr">
        <is>
          <t>9780865250789</t>
        </is>
      </c>
      <c r="BE11" t="inlineStr">
        <is>
          <t>30001004176444</t>
        </is>
      </c>
      <c r="BF11" t="inlineStr">
        <is>
          <t>893637777</t>
        </is>
      </c>
    </row>
    <row r="12">
      <c r="A12" t="inlineStr">
        <is>
          <t>No</t>
        </is>
      </c>
      <c r="B12" t="inlineStr">
        <is>
          <t>CUHSL</t>
        </is>
      </c>
      <c r="C12" t="inlineStr">
        <is>
          <t>SHELVES</t>
        </is>
      </c>
      <c r="D12" t="inlineStr">
        <is>
          <t>WA 16 S7973 1998</t>
        </is>
      </c>
      <c r="E12" t="inlineStr">
        <is>
          <t>0                      WA 0016000S  7973        1998</t>
        </is>
      </c>
      <c r="F12" t="inlineStr">
        <is>
          <t>Statistical record of health &amp; medicine / Arsen J. Darnay, editor.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N12" t="inlineStr">
        <is>
          <t>Detroit, Mich. : Gale Research Inc., c1998.</t>
        </is>
      </c>
      <c r="O12" t="inlineStr">
        <is>
          <t>1998</t>
        </is>
      </c>
      <c r="P12" t="inlineStr">
        <is>
          <t>2d ed.</t>
        </is>
      </c>
      <c r="Q12" t="inlineStr">
        <is>
          <t>eng</t>
        </is>
      </c>
      <c r="R12" t="inlineStr">
        <is>
          <t>miu</t>
        </is>
      </c>
      <c r="T12" t="inlineStr">
        <is>
          <t xml:space="preserve">WA </t>
        </is>
      </c>
      <c r="U12" t="n">
        <v>50</v>
      </c>
      <c r="V12" t="n">
        <v>50</v>
      </c>
      <c r="W12" t="inlineStr">
        <is>
          <t>1998-02-23</t>
        </is>
      </c>
      <c r="X12" t="inlineStr">
        <is>
          <t>1998-02-23</t>
        </is>
      </c>
      <c r="Y12" t="inlineStr">
        <is>
          <t>1998-02-23</t>
        </is>
      </c>
      <c r="Z12" t="inlineStr">
        <is>
          <t>1998-02-23</t>
        </is>
      </c>
      <c r="AA12" t="n">
        <v>103</v>
      </c>
      <c r="AB12" t="n">
        <v>87</v>
      </c>
      <c r="AC12" t="n">
        <v>87</v>
      </c>
      <c r="AD12" t="n">
        <v>1</v>
      </c>
      <c r="AE12" t="n">
        <v>1</v>
      </c>
      <c r="AF12" t="n">
        <v>2</v>
      </c>
      <c r="AG12" t="n">
        <v>2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HYPERLINK("https://creighton-primo.hosted.exlibrisgroup.com/primo-explore/search?tab=default_tab&amp;search_scope=EVERYTHING&amp;vid=01CRU&amp;lang=en_US&amp;offset=0&amp;query=any,contains,991001564309702656","Catalog Record")</f>
        <v/>
      </c>
      <c r="AV12">
        <f>HYPERLINK("http://www.worldcat.org/oclc/38027512","WorldCat Record")</f>
        <v/>
      </c>
      <c r="AW12" t="inlineStr">
        <is>
          <t>181263860:eng</t>
        </is>
      </c>
      <c r="AX12" t="inlineStr">
        <is>
          <t>38027512</t>
        </is>
      </c>
      <c r="AY12" t="inlineStr">
        <is>
          <t>991001564309702656</t>
        </is>
      </c>
      <c r="AZ12" t="inlineStr">
        <is>
          <t>991001564309702656</t>
        </is>
      </c>
      <c r="BA12" t="inlineStr">
        <is>
          <t>2266150260002656</t>
        </is>
      </c>
      <c r="BB12" t="inlineStr">
        <is>
          <t>BOOK</t>
        </is>
      </c>
      <c r="BD12" t="inlineStr">
        <is>
          <t>9780787600938</t>
        </is>
      </c>
      <c r="BE12" t="inlineStr">
        <is>
          <t>30001003669415</t>
        </is>
      </c>
      <c r="BF12" t="inlineStr">
        <is>
          <t>893741257</t>
        </is>
      </c>
    </row>
    <row r="13">
      <c r="A13" t="inlineStr">
        <is>
          <t>No</t>
        </is>
      </c>
      <c r="B13" t="inlineStr">
        <is>
          <t>CUHSL</t>
        </is>
      </c>
      <c r="C13" t="inlineStr">
        <is>
          <t>SHELVES</t>
        </is>
      </c>
      <c r="D13" t="inlineStr">
        <is>
          <t>WA 18 E61 1996</t>
        </is>
      </c>
      <c r="E13" t="inlineStr">
        <is>
          <t>0                      WA 0018000E  61          1996</t>
        </is>
      </c>
      <c r="F13" t="inlineStr">
        <is>
          <t>Environmental and occupational medical electives for medical students / Risa Pendroff, Editor.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Washington, DC : Association of Occupational and Environmental Clinics, 1996.</t>
        </is>
      </c>
      <c r="O13" t="inlineStr">
        <is>
          <t>1996</t>
        </is>
      </c>
      <c r="Q13" t="inlineStr">
        <is>
          <t>eng</t>
        </is>
      </c>
      <c r="R13" t="inlineStr">
        <is>
          <t>dcu</t>
        </is>
      </c>
      <c r="T13" t="inlineStr">
        <is>
          <t xml:space="preserve">WA </t>
        </is>
      </c>
      <c r="U13" t="n">
        <v>2</v>
      </c>
      <c r="V13" t="n">
        <v>2</v>
      </c>
      <c r="W13" t="inlineStr">
        <is>
          <t>2001-06-20</t>
        </is>
      </c>
      <c r="X13" t="inlineStr">
        <is>
          <t>2001-06-20</t>
        </is>
      </c>
      <c r="Y13" t="inlineStr">
        <is>
          <t>1996-06-03</t>
        </is>
      </c>
      <c r="Z13" t="inlineStr">
        <is>
          <t>1996-06-03</t>
        </is>
      </c>
      <c r="AA13" t="n">
        <v>2</v>
      </c>
      <c r="AB13" t="n">
        <v>2</v>
      </c>
      <c r="AC13" t="n">
        <v>2</v>
      </c>
      <c r="AD13" t="n">
        <v>1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HYPERLINK("https://creighton-primo.hosted.exlibrisgroup.com/primo-explore/search?tab=default_tab&amp;search_scope=EVERYTHING&amp;vid=01CRU&amp;lang=en_US&amp;offset=0&amp;query=any,contains,991001506149702656","Catalog Record")</f>
        <v/>
      </c>
      <c r="AV13">
        <f>HYPERLINK("http://www.worldcat.org/oclc/34786804","WorldCat Record")</f>
        <v/>
      </c>
      <c r="AW13" t="inlineStr">
        <is>
          <t>40604509:eng</t>
        </is>
      </c>
      <c r="AX13" t="inlineStr">
        <is>
          <t>34786804</t>
        </is>
      </c>
      <c r="AY13" t="inlineStr">
        <is>
          <t>991001506149702656</t>
        </is>
      </c>
      <c r="AZ13" t="inlineStr">
        <is>
          <t>991001506149702656</t>
        </is>
      </c>
      <c r="BA13" t="inlineStr">
        <is>
          <t>2261864310002656</t>
        </is>
      </c>
      <c r="BB13" t="inlineStr">
        <is>
          <t>BOOK</t>
        </is>
      </c>
      <c r="BE13" t="inlineStr">
        <is>
          <t>30001003264423</t>
        </is>
      </c>
      <c r="BF13" t="inlineStr">
        <is>
          <t>893816478</t>
        </is>
      </c>
    </row>
    <row r="14">
      <c r="A14" t="inlineStr">
        <is>
          <t>No</t>
        </is>
      </c>
      <c r="B14" t="inlineStr">
        <is>
          <t>CUHSL</t>
        </is>
      </c>
      <c r="C14" t="inlineStr">
        <is>
          <t>SHELVES</t>
        </is>
      </c>
      <c r="D14" t="inlineStr">
        <is>
          <t>WA 18 G481b 1985</t>
        </is>
      </c>
      <c r="E14" t="inlineStr">
        <is>
          <t>0                      WA 0018000G  481b        1985</t>
        </is>
      </c>
      <c r="F14" t="inlineStr">
        <is>
          <t>Biostats, a primer for health care professionals / Dennis B. Gillings, Chester W. Douglass.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Gillings, Dennis B., 1944-</t>
        </is>
      </c>
      <c r="N14" t="inlineStr">
        <is>
          <t>Chapel Hill, NC : CAVCO Publications, c1985.</t>
        </is>
      </c>
      <c r="O14" t="inlineStr">
        <is>
          <t>1985</t>
        </is>
      </c>
      <c r="Q14" t="inlineStr">
        <is>
          <t>eng</t>
        </is>
      </c>
      <c r="R14" t="inlineStr">
        <is>
          <t>ncu</t>
        </is>
      </c>
      <c r="T14" t="inlineStr">
        <is>
          <t xml:space="preserve">WA </t>
        </is>
      </c>
      <c r="U14" t="n">
        <v>16</v>
      </c>
      <c r="V14" t="n">
        <v>16</v>
      </c>
      <c r="W14" t="inlineStr">
        <is>
          <t>1996-09-30</t>
        </is>
      </c>
      <c r="X14" t="inlineStr">
        <is>
          <t>1996-09-30</t>
        </is>
      </c>
      <c r="Y14" t="inlineStr">
        <is>
          <t>1991-07-11</t>
        </is>
      </c>
      <c r="Z14" t="inlineStr">
        <is>
          <t>1991-07-11</t>
        </is>
      </c>
      <c r="AA14" t="n">
        <v>120</v>
      </c>
      <c r="AB14" t="n">
        <v>109</v>
      </c>
      <c r="AC14" t="n">
        <v>111</v>
      </c>
      <c r="AD14" t="n">
        <v>1</v>
      </c>
      <c r="AE14" t="n">
        <v>1</v>
      </c>
      <c r="AF14" t="n">
        <v>6</v>
      </c>
      <c r="AG14" t="n">
        <v>6</v>
      </c>
      <c r="AH14" t="n">
        <v>3</v>
      </c>
      <c r="AI14" t="n">
        <v>3</v>
      </c>
      <c r="AJ14" t="n">
        <v>1</v>
      </c>
      <c r="AK14" t="n">
        <v>1</v>
      </c>
      <c r="AL14" t="n">
        <v>3</v>
      </c>
      <c r="AM14" t="n">
        <v>3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HYPERLINK("http://catalog.hathitrust.org/Record/000377887","HathiTrust Record")</f>
        <v/>
      </c>
      <c r="AU14">
        <f>HYPERLINK("https://creighton-primo.hosted.exlibrisgroup.com/primo-explore/search?tab=default_tab&amp;search_scope=EVERYTHING&amp;vid=01CRU&amp;lang=en_US&amp;offset=0&amp;query=any,contains,991000941569702656","Catalog Record")</f>
        <v/>
      </c>
      <c r="AV14">
        <f>HYPERLINK("http://www.worldcat.org/oclc/12214296","WorldCat Record")</f>
        <v/>
      </c>
      <c r="AW14" t="inlineStr">
        <is>
          <t>4924920:eng</t>
        </is>
      </c>
      <c r="AX14" t="inlineStr">
        <is>
          <t>12214296</t>
        </is>
      </c>
      <c r="AY14" t="inlineStr">
        <is>
          <t>991000941569702656</t>
        </is>
      </c>
      <c r="AZ14" t="inlineStr">
        <is>
          <t>991000941569702656</t>
        </is>
      </c>
      <c r="BA14" t="inlineStr">
        <is>
          <t>2268421630002656</t>
        </is>
      </c>
      <c r="BB14" t="inlineStr">
        <is>
          <t>BOOK</t>
        </is>
      </c>
      <c r="BD14" t="inlineStr">
        <is>
          <t>9780932137029</t>
        </is>
      </c>
      <c r="BE14" t="inlineStr">
        <is>
          <t>30001002192690</t>
        </is>
      </c>
      <c r="BF14" t="inlineStr">
        <is>
          <t>893450626</t>
        </is>
      </c>
    </row>
    <row r="15">
      <c r="A15" t="inlineStr">
        <is>
          <t>No</t>
        </is>
      </c>
      <c r="B15" t="inlineStr">
        <is>
          <t>CUHSL</t>
        </is>
      </c>
      <c r="C15" t="inlineStr">
        <is>
          <t>SHELVES</t>
        </is>
      </c>
      <c r="D15" t="inlineStr">
        <is>
          <t>WA 18 P9445 1992</t>
        </is>
      </c>
      <c r="E15" t="inlineStr">
        <is>
          <t>0                      WA 0018000P  9445        1992</t>
        </is>
      </c>
      <c r="F15" t="inlineStr">
        <is>
          <t>Preventive medicine and public health : PreTest self-assessment and review.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New York : McGraw-Hill Inc., Health Professions Divisions, PreTest Series, c1991.</t>
        </is>
      </c>
      <c r="O15" t="inlineStr">
        <is>
          <t>1992</t>
        </is>
      </c>
      <c r="P15" t="inlineStr">
        <is>
          <t>6th ed. / edited by Thomas B. Newman, Warren S. Browner.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WA </t>
        </is>
      </c>
      <c r="U15" t="n">
        <v>13</v>
      </c>
      <c r="V15" t="n">
        <v>13</v>
      </c>
      <c r="W15" t="inlineStr">
        <is>
          <t>2004-07-23</t>
        </is>
      </c>
      <c r="X15" t="inlineStr">
        <is>
          <t>2004-07-23</t>
        </is>
      </c>
      <c r="Y15" t="inlineStr">
        <is>
          <t>1992-02-13</t>
        </is>
      </c>
      <c r="Z15" t="inlineStr">
        <is>
          <t>1992-02-13</t>
        </is>
      </c>
      <c r="AA15" t="n">
        <v>68</v>
      </c>
      <c r="AB15" t="n">
        <v>42</v>
      </c>
      <c r="AC15" t="n">
        <v>44</v>
      </c>
      <c r="AD15" t="n">
        <v>1</v>
      </c>
      <c r="AE15" t="n">
        <v>1</v>
      </c>
      <c r="AF15" t="n">
        <v>1</v>
      </c>
      <c r="AG15" t="n">
        <v>1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HYPERLINK("http://catalog.hathitrust.org/Record/007987749","HathiTrust Record")</f>
        <v/>
      </c>
      <c r="AU15">
        <f>HYPERLINK("https://creighton-primo.hosted.exlibrisgroup.com/primo-explore/search?tab=default_tab&amp;search_scope=EVERYTHING&amp;vid=01CRU&amp;lang=en_US&amp;offset=0&amp;query=any,contains,991001032719702656","Catalog Record")</f>
        <v/>
      </c>
      <c r="AV15">
        <f>HYPERLINK("http://www.worldcat.org/oclc/22910580","WorldCat Record")</f>
        <v/>
      </c>
      <c r="AW15" t="inlineStr">
        <is>
          <t>476085692:eng</t>
        </is>
      </c>
      <c r="AX15" t="inlineStr">
        <is>
          <t>22910580</t>
        </is>
      </c>
      <c r="AY15" t="inlineStr">
        <is>
          <t>991001032719702656</t>
        </is>
      </c>
      <c r="AZ15" t="inlineStr">
        <is>
          <t>991001032719702656</t>
        </is>
      </c>
      <c r="BA15" t="inlineStr">
        <is>
          <t>2270124290002656</t>
        </is>
      </c>
      <c r="BB15" t="inlineStr">
        <is>
          <t>BOOK</t>
        </is>
      </c>
      <c r="BD15" t="inlineStr">
        <is>
          <t>9780070519909</t>
        </is>
      </c>
      <c r="BE15" t="inlineStr">
        <is>
          <t>30001002244137</t>
        </is>
      </c>
      <c r="BF15" t="inlineStr">
        <is>
          <t>893168008</t>
        </is>
      </c>
    </row>
    <row r="16">
      <c r="A16" t="inlineStr">
        <is>
          <t>No</t>
        </is>
      </c>
      <c r="B16" t="inlineStr">
        <is>
          <t>CUHSL</t>
        </is>
      </c>
      <c r="C16" t="inlineStr">
        <is>
          <t>SHELVES</t>
        </is>
      </c>
      <c r="D16" t="inlineStr">
        <is>
          <t>WA 18 P976 1988</t>
        </is>
      </c>
      <c r="E16" t="inlineStr">
        <is>
          <t>0                      WA 0018000P  976         1988</t>
        </is>
      </c>
      <c r="F16" t="inlineStr">
        <is>
          <t>Public health &amp; community medicine : 660 multiple-choice questions with referenced, explanatory answers / revised and edited by Raymond O. West, with the assistance of Richard A. Stevens, Julie Carpenter.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New York, N.Y. : Medical Examination Pub. Co., c1988.</t>
        </is>
      </c>
      <c r="O16" t="inlineStr">
        <is>
          <t>1988</t>
        </is>
      </c>
      <c r="P16" t="inlineStr">
        <is>
          <t>9th ed.</t>
        </is>
      </c>
      <c r="Q16" t="inlineStr">
        <is>
          <t>eng</t>
        </is>
      </c>
      <c r="R16" t="inlineStr">
        <is>
          <t>xxu</t>
        </is>
      </c>
      <c r="S16" t="inlineStr">
        <is>
          <t>Medical examination review</t>
        </is>
      </c>
      <c r="T16" t="inlineStr">
        <is>
          <t xml:space="preserve">WA </t>
        </is>
      </c>
      <c r="U16" t="n">
        <v>8</v>
      </c>
      <c r="V16" t="n">
        <v>8</v>
      </c>
      <c r="W16" t="inlineStr">
        <is>
          <t>1999-03-07</t>
        </is>
      </c>
      <c r="X16" t="inlineStr">
        <is>
          <t>1999-03-07</t>
        </is>
      </c>
      <c r="Y16" t="inlineStr">
        <is>
          <t>1988-12-14</t>
        </is>
      </c>
      <c r="Z16" t="inlineStr">
        <is>
          <t>1988-12-14</t>
        </is>
      </c>
      <c r="AA16" t="n">
        <v>48</v>
      </c>
      <c r="AB16" t="n">
        <v>34</v>
      </c>
      <c r="AC16" t="n">
        <v>72</v>
      </c>
      <c r="AD16" t="n">
        <v>1</v>
      </c>
      <c r="AE16" t="n">
        <v>1</v>
      </c>
      <c r="AF16" t="n">
        <v>0</v>
      </c>
      <c r="AG16" t="n">
        <v>1</v>
      </c>
      <c r="AH16" t="n">
        <v>0</v>
      </c>
      <c r="AI16" t="n">
        <v>0</v>
      </c>
      <c r="AJ16" t="n">
        <v>0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HYPERLINK("https://creighton-primo.hosted.exlibrisgroup.com/primo-explore/search?tab=default_tab&amp;search_scope=EVERYTHING&amp;vid=01CRU&amp;lang=en_US&amp;offset=0&amp;query=any,contains,991001103479702656","Catalog Record")</f>
        <v/>
      </c>
      <c r="AV16">
        <f>HYPERLINK("http://www.worldcat.org/oclc/16758961","WorldCat Record")</f>
        <v/>
      </c>
      <c r="AW16" t="inlineStr">
        <is>
          <t>1100004811:eng</t>
        </is>
      </c>
      <c r="AX16" t="inlineStr">
        <is>
          <t>16758961</t>
        </is>
      </c>
      <c r="AY16" t="inlineStr">
        <is>
          <t>991001103479702656</t>
        </is>
      </c>
      <c r="AZ16" t="inlineStr">
        <is>
          <t>991001103479702656</t>
        </is>
      </c>
      <c r="BA16" t="inlineStr">
        <is>
          <t>2264213110002656</t>
        </is>
      </c>
      <c r="BB16" t="inlineStr">
        <is>
          <t>BOOK</t>
        </is>
      </c>
      <c r="BD16" t="inlineStr">
        <is>
          <t>9780444012579</t>
        </is>
      </c>
      <c r="BE16" t="inlineStr">
        <is>
          <t>30001001610205</t>
        </is>
      </c>
      <c r="BF16" t="inlineStr">
        <is>
          <t>893161679</t>
        </is>
      </c>
    </row>
    <row r="17">
      <c r="A17" t="inlineStr">
        <is>
          <t>No</t>
        </is>
      </c>
      <c r="B17" t="inlineStr">
        <is>
          <t>CUHSL</t>
        </is>
      </c>
      <c r="C17" t="inlineStr">
        <is>
          <t>SHELVES</t>
        </is>
      </c>
      <c r="D17" t="inlineStr">
        <is>
          <t>WA 18 T2525 1992</t>
        </is>
      </c>
      <c r="E17" t="inlineStr">
        <is>
          <t>0                      WA 0018000T  2525        1992</t>
        </is>
      </c>
      <c r="F17" t="inlineStr">
        <is>
          <t>Teaching epidemiology : What you should know and what you should do / edited by Jørn Olsen and Dimitrios Trichopoulos.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Oxford ; New York : Oxford University Press, c1992.</t>
        </is>
      </c>
      <c r="O17" t="inlineStr">
        <is>
          <t>1992</t>
        </is>
      </c>
      <c r="Q17" t="inlineStr">
        <is>
          <t>eng</t>
        </is>
      </c>
      <c r="R17" t="inlineStr">
        <is>
          <t>enk</t>
        </is>
      </c>
      <c r="S17" t="inlineStr">
        <is>
          <t>Commission of the European Communities health services research series ; no. 9</t>
        </is>
      </c>
      <c r="T17" t="inlineStr">
        <is>
          <t xml:space="preserve">WA </t>
        </is>
      </c>
      <c r="U17" t="n">
        <v>6</v>
      </c>
      <c r="V17" t="n">
        <v>6</v>
      </c>
      <c r="W17" t="inlineStr">
        <is>
          <t>1993-03-16</t>
        </is>
      </c>
      <c r="X17" t="inlineStr">
        <is>
          <t>1993-03-16</t>
        </is>
      </c>
      <c r="Y17" t="inlineStr">
        <is>
          <t>1993-01-21</t>
        </is>
      </c>
      <c r="Z17" t="inlineStr">
        <is>
          <t>1993-01-21</t>
        </is>
      </c>
      <c r="AA17" t="n">
        <v>143</v>
      </c>
      <c r="AB17" t="n">
        <v>87</v>
      </c>
      <c r="AC17" t="n">
        <v>87</v>
      </c>
      <c r="AD17" t="n">
        <v>1</v>
      </c>
      <c r="AE17" t="n">
        <v>1</v>
      </c>
      <c r="AF17" t="n">
        <v>3</v>
      </c>
      <c r="AG17" t="n">
        <v>3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HYPERLINK("https://creighton-primo.hosted.exlibrisgroup.com/primo-explore/search?tab=default_tab&amp;search_scope=EVERYTHING&amp;vid=01CRU&amp;lang=en_US&amp;offset=0&amp;query=any,contains,991001434709702656","Catalog Record")</f>
        <v/>
      </c>
      <c r="AV17">
        <f>HYPERLINK("http://www.worldcat.org/oclc/25163915","WorldCat Record")</f>
        <v/>
      </c>
      <c r="AW17" t="inlineStr">
        <is>
          <t>3943731574:eng</t>
        </is>
      </c>
      <c r="AX17" t="inlineStr">
        <is>
          <t>25163915</t>
        </is>
      </c>
      <c r="AY17" t="inlineStr">
        <is>
          <t>991001434709702656</t>
        </is>
      </c>
      <c r="AZ17" t="inlineStr">
        <is>
          <t>991001434709702656</t>
        </is>
      </c>
      <c r="BA17" t="inlineStr">
        <is>
          <t>2263598900002656</t>
        </is>
      </c>
      <c r="BB17" t="inlineStr">
        <is>
          <t>BOOK</t>
        </is>
      </c>
      <c r="BD17" t="inlineStr">
        <is>
          <t>9780192622051</t>
        </is>
      </c>
      <c r="BE17" t="inlineStr">
        <is>
          <t>30001002530634</t>
        </is>
      </c>
      <c r="BF17" t="inlineStr">
        <is>
          <t>893557985</t>
        </is>
      </c>
    </row>
    <row r="18">
      <c r="A18" t="inlineStr">
        <is>
          <t>No</t>
        </is>
      </c>
      <c r="B18" t="inlineStr">
        <is>
          <t>CUHSL</t>
        </is>
      </c>
      <c r="C18" t="inlineStr">
        <is>
          <t>SHELVES</t>
        </is>
      </c>
      <c r="D18" t="inlineStr">
        <is>
          <t>WA 18 W523t 1994</t>
        </is>
      </c>
      <c r="E18" t="inlineStr">
        <is>
          <t>0                      WA 0018000W  523t        1994</t>
        </is>
      </c>
      <c r="F18" t="inlineStr">
        <is>
          <t>Teaching creatively with video : fostering reflection, communication, and other clinical skills / Jane Westberg, Hilliard Jason.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Westberg, Jane.</t>
        </is>
      </c>
      <c r="N18" t="inlineStr">
        <is>
          <t>New York : Springer Pub. Co., c1994.</t>
        </is>
      </c>
      <c r="O18" t="inlineStr">
        <is>
          <t>1994</t>
        </is>
      </c>
      <c r="Q18" t="inlineStr">
        <is>
          <t>eng</t>
        </is>
      </c>
      <c r="R18" t="inlineStr">
        <is>
          <t>nyu</t>
        </is>
      </c>
      <c r="S18" t="inlineStr">
        <is>
          <t>Springer series on medical education ; v. 18</t>
        </is>
      </c>
      <c r="T18" t="inlineStr">
        <is>
          <t xml:space="preserve">WA </t>
        </is>
      </c>
      <c r="U18" t="n">
        <v>2</v>
      </c>
      <c r="V18" t="n">
        <v>2</v>
      </c>
      <c r="W18" t="inlineStr">
        <is>
          <t>1994-09-14</t>
        </is>
      </c>
      <c r="X18" t="inlineStr">
        <is>
          <t>1994-09-14</t>
        </is>
      </c>
      <c r="Y18" t="inlineStr">
        <is>
          <t>1994-09-13</t>
        </is>
      </c>
      <c r="Z18" t="inlineStr">
        <is>
          <t>1994-09-13</t>
        </is>
      </c>
      <c r="AA18" t="n">
        <v>157</v>
      </c>
      <c r="AB18" t="n">
        <v>126</v>
      </c>
      <c r="AC18" t="n">
        <v>128</v>
      </c>
      <c r="AD18" t="n">
        <v>1</v>
      </c>
      <c r="AE18" t="n">
        <v>1</v>
      </c>
      <c r="AF18" t="n">
        <v>6</v>
      </c>
      <c r="AG18" t="n">
        <v>6</v>
      </c>
      <c r="AH18" t="n">
        <v>1</v>
      </c>
      <c r="AI18" t="n">
        <v>1</v>
      </c>
      <c r="AJ18" t="n">
        <v>3</v>
      </c>
      <c r="AK18" t="n">
        <v>3</v>
      </c>
      <c r="AL18" t="n">
        <v>2</v>
      </c>
      <c r="AM18" t="n">
        <v>2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HYPERLINK("http://catalog.hathitrust.org/Record/003051921","HathiTrust Record")</f>
        <v/>
      </c>
      <c r="AU18">
        <f>HYPERLINK("https://creighton-primo.hosted.exlibrisgroup.com/primo-explore/search?tab=default_tab&amp;search_scope=EVERYTHING&amp;vid=01CRU&amp;lang=en_US&amp;offset=0&amp;query=any,contains,991000679559702656","Catalog Record")</f>
        <v/>
      </c>
      <c r="AV18">
        <f>HYPERLINK("http://www.worldcat.org/oclc/29466050","WorldCat Record")</f>
        <v/>
      </c>
      <c r="AW18" t="inlineStr">
        <is>
          <t>474729791:eng</t>
        </is>
      </c>
      <c r="AX18" t="inlineStr">
        <is>
          <t>29466050</t>
        </is>
      </c>
      <c r="AY18" t="inlineStr">
        <is>
          <t>991000679559702656</t>
        </is>
      </c>
      <c r="AZ18" t="inlineStr">
        <is>
          <t>991000679559702656</t>
        </is>
      </c>
      <c r="BA18" t="inlineStr">
        <is>
          <t>2260150750002656</t>
        </is>
      </c>
      <c r="BB18" t="inlineStr">
        <is>
          <t>BOOK</t>
        </is>
      </c>
      <c r="BD18" t="inlineStr">
        <is>
          <t>9780826183606</t>
        </is>
      </c>
      <c r="BE18" t="inlineStr">
        <is>
          <t>30001002697102</t>
        </is>
      </c>
      <c r="BF18" t="inlineStr">
        <is>
          <t>893160877</t>
        </is>
      </c>
    </row>
    <row r="19">
      <c r="A19" t="inlineStr">
        <is>
          <t>No</t>
        </is>
      </c>
      <c r="B19" t="inlineStr">
        <is>
          <t>CUHSL</t>
        </is>
      </c>
      <c r="C19" t="inlineStr">
        <is>
          <t>SHELVES</t>
        </is>
      </c>
      <c r="D19" t="inlineStr">
        <is>
          <t>WA 19 H673 1991</t>
        </is>
      </c>
      <c r="E19" t="inlineStr">
        <is>
          <t>0                      WA 0019000H  673         1991</t>
        </is>
      </c>
      <c r="F19" t="inlineStr">
        <is>
          <t>A History of education in public health : health that mocks the doctors' rules / editors, Elizabeth Fee and Roy M. Acheson.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Oxford ; New York : Oxford University Press, c1990.</t>
        </is>
      </c>
      <c r="O19" t="inlineStr">
        <is>
          <t>1991</t>
        </is>
      </c>
      <c r="Q19" t="inlineStr">
        <is>
          <t>eng</t>
        </is>
      </c>
      <c r="R19" t="inlineStr">
        <is>
          <t>enk</t>
        </is>
      </c>
      <c r="T19" t="inlineStr">
        <is>
          <t xml:space="preserve">WA </t>
        </is>
      </c>
      <c r="U19" t="n">
        <v>4</v>
      </c>
      <c r="V19" t="n">
        <v>4</v>
      </c>
      <c r="W19" t="inlineStr">
        <is>
          <t>1993-06-19</t>
        </is>
      </c>
      <c r="X19" t="inlineStr">
        <is>
          <t>1993-06-19</t>
        </is>
      </c>
      <c r="Y19" t="inlineStr">
        <is>
          <t>1991-07-24</t>
        </is>
      </c>
      <c r="Z19" t="inlineStr">
        <is>
          <t>1991-07-24</t>
        </is>
      </c>
      <c r="AA19" t="n">
        <v>318</v>
      </c>
      <c r="AB19" t="n">
        <v>221</v>
      </c>
      <c r="AC19" t="n">
        <v>228</v>
      </c>
      <c r="AD19" t="n">
        <v>2</v>
      </c>
      <c r="AE19" t="n">
        <v>2</v>
      </c>
      <c r="AF19" t="n">
        <v>9</v>
      </c>
      <c r="AG19" t="n">
        <v>9</v>
      </c>
      <c r="AH19" t="n">
        <v>2</v>
      </c>
      <c r="AI19" t="n">
        <v>2</v>
      </c>
      <c r="AJ19" t="n">
        <v>2</v>
      </c>
      <c r="AK19" t="n">
        <v>2</v>
      </c>
      <c r="AL19" t="n">
        <v>3</v>
      </c>
      <c r="AM19" t="n">
        <v>3</v>
      </c>
      <c r="AN19" t="n">
        <v>1</v>
      </c>
      <c r="AO19" t="n">
        <v>1</v>
      </c>
      <c r="AP19" t="n">
        <v>1</v>
      </c>
      <c r="AQ19" t="n">
        <v>1</v>
      </c>
      <c r="AR19" t="inlineStr">
        <is>
          <t>No</t>
        </is>
      </c>
      <c r="AS19" t="inlineStr">
        <is>
          <t>Yes</t>
        </is>
      </c>
      <c r="AT19">
        <f>HYPERLINK("http://catalog.hathitrust.org/Record/004512370","HathiTrust Record")</f>
        <v/>
      </c>
      <c r="AU19">
        <f>HYPERLINK("https://creighton-primo.hosted.exlibrisgroup.com/primo-explore/search?tab=default_tab&amp;search_scope=EVERYTHING&amp;vid=01CRU&amp;lang=en_US&amp;offset=0&amp;query=any,contains,991000942349702656","Catalog Record")</f>
        <v/>
      </c>
      <c r="AV19">
        <f>HYPERLINK("http://www.worldcat.org/oclc/21974847","WorldCat Record")</f>
        <v/>
      </c>
      <c r="AW19" t="inlineStr">
        <is>
          <t>836717157:eng</t>
        </is>
      </c>
      <c r="AX19" t="inlineStr">
        <is>
          <t>21974847</t>
        </is>
      </c>
      <c r="AY19" t="inlineStr">
        <is>
          <t>991000942349702656</t>
        </is>
      </c>
      <c r="AZ19" t="inlineStr">
        <is>
          <t>991000942349702656</t>
        </is>
      </c>
      <c r="BA19" t="inlineStr">
        <is>
          <t>2267487580002656</t>
        </is>
      </c>
      <c r="BB19" t="inlineStr">
        <is>
          <t>BOOK</t>
        </is>
      </c>
      <c r="BD19" t="inlineStr">
        <is>
          <t>9780192617576</t>
        </is>
      </c>
      <c r="BE19" t="inlineStr">
        <is>
          <t>30001002192898</t>
        </is>
      </c>
      <c r="BF19" t="inlineStr">
        <is>
          <t>893273515</t>
        </is>
      </c>
    </row>
    <row r="20">
      <c r="A20" t="inlineStr">
        <is>
          <t>No</t>
        </is>
      </c>
      <c r="B20" t="inlineStr">
        <is>
          <t>CUHSL</t>
        </is>
      </c>
      <c r="C20" t="inlineStr">
        <is>
          <t>SHELVES</t>
        </is>
      </c>
      <c r="D20" t="inlineStr">
        <is>
          <t>WA 20.5 F67 2000</t>
        </is>
      </c>
      <c r="E20" t="inlineStr">
        <is>
          <t>0                      WA 0020500F  67          2000</t>
        </is>
      </c>
      <c r="F20" t="inlineStr">
        <is>
          <t>Tomorrow's cures today? : how to reform the health research system / Donald R. Forsdyke.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Forsdyke, Donald R.</t>
        </is>
      </c>
      <c r="N20" t="inlineStr">
        <is>
          <t>Amsterdam : Harwood Academic ; Abingdon : Marston, 2000.</t>
        </is>
      </c>
      <c r="O20" t="inlineStr">
        <is>
          <t>1999</t>
        </is>
      </c>
      <c r="Q20" t="inlineStr">
        <is>
          <t>eng</t>
        </is>
      </c>
      <c r="R20" t="inlineStr">
        <is>
          <t xml:space="preserve">ne </t>
        </is>
      </c>
      <c r="T20" t="inlineStr">
        <is>
          <t xml:space="preserve">WA </t>
        </is>
      </c>
      <c r="U20" t="n">
        <v>0</v>
      </c>
      <c r="V20" t="n">
        <v>0</v>
      </c>
      <c r="W20" t="inlineStr">
        <is>
          <t>2003-10-28</t>
        </is>
      </c>
      <c r="X20" t="inlineStr">
        <is>
          <t>2003-10-28</t>
        </is>
      </c>
      <c r="Y20" t="inlineStr">
        <is>
          <t>2003-10-17</t>
        </is>
      </c>
      <c r="Z20" t="inlineStr">
        <is>
          <t>2003-10-17</t>
        </is>
      </c>
      <c r="AA20" t="n">
        <v>88</v>
      </c>
      <c r="AB20" t="n">
        <v>67</v>
      </c>
      <c r="AC20" t="n">
        <v>106</v>
      </c>
      <c r="AD20" t="n">
        <v>1</v>
      </c>
      <c r="AE20" t="n">
        <v>1</v>
      </c>
      <c r="AF20" t="n">
        <v>2</v>
      </c>
      <c r="AG20" t="n">
        <v>2</v>
      </c>
      <c r="AH20" t="n">
        <v>0</v>
      </c>
      <c r="AI20" t="n">
        <v>0</v>
      </c>
      <c r="AJ20" t="n">
        <v>1</v>
      </c>
      <c r="AK20" t="n">
        <v>1</v>
      </c>
      <c r="AL20" t="n">
        <v>1</v>
      </c>
      <c r="AM20" t="n">
        <v>1</v>
      </c>
      <c r="AN20" t="n">
        <v>0</v>
      </c>
      <c r="AO20" t="n">
        <v>0</v>
      </c>
      <c r="AP20" t="n">
        <v>1</v>
      </c>
      <c r="AQ20" t="n">
        <v>1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HYPERLINK("https://creighton-primo.hosted.exlibrisgroup.com/primo-explore/search?tab=default_tab&amp;search_scope=EVERYTHING&amp;vid=01CRU&amp;lang=en_US&amp;offset=0&amp;query=any,contains,991000359169702656","Catalog Record")</f>
        <v/>
      </c>
      <c r="AV20">
        <f>HYPERLINK("http://www.worldcat.org/oclc/47522115","WorldCat Record")</f>
        <v/>
      </c>
      <c r="AW20" t="inlineStr">
        <is>
          <t>800708779:eng</t>
        </is>
      </c>
      <c r="AX20" t="inlineStr">
        <is>
          <t>47522115</t>
        </is>
      </c>
      <c r="AY20" t="inlineStr">
        <is>
          <t>991000359169702656</t>
        </is>
      </c>
      <c r="AZ20" t="inlineStr">
        <is>
          <t>991000359169702656</t>
        </is>
      </c>
      <c r="BA20" t="inlineStr">
        <is>
          <t>2265706910002656</t>
        </is>
      </c>
      <c r="BB20" t="inlineStr">
        <is>
          <t>BOOK</t>
        </is>
      </c>
      <c r="BD20" t="inlineStr">
        <is>
          <t>9789057026034</t>
        </is>
      </c>
      <c r="BE20" t="inlineStr">
        <is>
          <t>30001004218121</t>
        </is>
      </c>
      <c r="BF20" t="inlineStr">
        <is>
          <t>893123015</t>
        </is>
      </c>
    </row>
    <row r="21">
      <c r="A21" t="inlineStr">
        <is>
          <t>No</t>
        </is>
      </c>
      <c r="B21" t="inlineStr">
        <is>
          <t>CUHSL</t>
        </is>
      </c>
      <c r="C21" t="inlineStr">
        <is>
          <t>SHELVES</t>
        </is>
      </c>
      <c r="D21" t="inlineStr">
        <is>
          <t>WA 20.5 H434 1991</t>
        </is>
      </c>
      <c r="E21" t="inlineStr">
        <is>
          <t>0                      WA 0020500H  434         1991</t>
        </is>
      </c>
      <c r="F21" t="inlineStr">
        <is>
          <t>Health promotion research : towards a new social epidemiology / edited by Bernhard Badura and Ilona Kickbusch.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Copenhagen : World Health Organization, Regional Office for Europe, c1991.</t>
        </is>
      </c>
      <c r="O21" t="inlineStr">
        <is>
          <t>1991</t>
        </is>
      </c>
      <c r="Q21" t="inlineStr">
        <is>
          <t>eng</t>
        </is>
      </c>
      <c r="R21" t="inlineStr">
        <is>
          <t xml:space="preserve">dk </t>
        </is>
      </c>
      <c r="S21" t="inlineStr">
        <is>
          <t>WHO regional publications. European series ; no. 37</t>
        </is>
      </c>
      <c r="T21" t="inlineStr">
        <is>
          <t xml:space="preserve">WA </t>
        </is>
      </c>
      <c r="U21" t="n">
        <v>10</v>
      </c>
      <c r="V21" t="n">
        <v>10</v>
      </c>
      <c r="W21" t="inlineStr">
        <is>
          <t>2000-03-30</t>
        </is>
      </c>
      <c r="X21" t="inlineStr">
        <is>
          <t>2000-03-30</t>
        </is>
      </c>
      <c r="Y21" t="inlineStr">
        <is>
          <t>1992-07-15</t>
        </is>
      </c>
      <c r="Z21" t="inlineStr">
        <is>
          <t>1992-07-15</t>
        </is>
      </c>
      <c r="AA21" t="n">
        <v>150</v>
      </c>
      <c r="AB21" t="n">
        <v>38</v>
      </c>
      <c r="AC21" t="n">
        <v>40</v>
      </c>
      <c r="AD21" t="n">
        <v>1</v>
      </c>
      <c r="AE21" t="n">
        <v>1</v>
      </c>
      <c r="AF21" t="n">
        <v>2</v>
      </c>
      <c r="AG21" t="n">
        <v>2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HYPERLINK("https://creighton-primo.hosted.exlibrisgroup.com/primo-explore/search?tab=default_tab&amp;search_scope=EVERYTHING&amp;vid=01CRU&amp;lang=en_US&amp;offset=0&amp;query=any,contains,991001305159702656","Catalog Record")</f>
        <v/>
      </c>
      <c r="AV21">
        <f>HYPERLINK("http://www.worldcat.org/oclc/25825774","WorldCat Record")</f>
        <v/>
      </c>
      <c r="AW21" t="inlineStr">
        <is>
          <t>806763101:eng</t>
        </is>
      </c>
      <c r="AX21" t="inlineStr">
        <is>
          <t>25825774</t>
        </is>
      </c>
      <c r="AY21" t="inlineStr">
        <is>
          <t>991001305159702656</t>
        </is>
      </c>
      <c r="AZ21" t="inlineStr">
        <is>
          <t>991001305159702656</t>
        </is>
      </c>
      <c r="BA21" t="inlineStr">
        <is>
          <t>2270170930002656</t>
        </is>
      </c>
      <c r="BB21" t="inlineStr">
        <is>
          <t>BOOK</t>
        </is>
      </c>
      <c r="BD21" t="inlineStr">
        <is>
          <t>9789289011280</t>
        </is>
      </c>
      <c r="BE21" t="inlineStr">
        <is>
          <t>30001002413518</t>
        </is>
      </c>
      <c r="BF21" t="inlineStr">
        <is>
          <t>893541241</t>
        </is>
      </c>
    </row>
    <row r="22">
      <c r="A22" t="inlineStr">
        <is>
          <t>No</t>
        </is>
      </c>
      <c r="B22" t="inlineStr">
        <is>
          <t>CUHSL</t>
        </is>
      </c>
      <c r="C22" t="inlineStr">
        <is>
          <t>SHELVES</t>
        </is>
      </c>
      <c r="D22" t="inlineStr">
        <is>
          <t>WA 20.5 H434 1993</t>
        </is>
      </c>
      <c r="E22" t="inlineStr">
        <is>
          <t>0                      WA 0020500H  434         1993</t>
        </is>
      </c>
      <c r="F22" t="inlineStr">
        <is>
          <t>Health research in practice : political, ethical, and methodological issues / edited by Derek Colquhoun, Allan Kellehear.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London ; New York : Chapman &amp; Hall ; San Diego, Calif. : Distributed in the USA and Canada by Singular Pub. Group, c1993.</t>
        </is>
      </c>
      <c r="O22" t="inlineStr">
        <is>
          <t>1993</t>
        </is>
      </c>
      <c r="P22" t="inlineStr">
        <is>
          <t>1st ed.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WA </t>
        </is>
      </c>
      <c r="U22" t="n">
        <v>3</v>
      </c>
      <c r="V22" t="n">
        <v>3</v>
      </c>
      <c r="W22" t="inlineStr">
        <is>
          <t>2005-03-01</t>
        </is>
      </c>
      <c r="X22" t="inlineStr">
        <is>
          <t>2005-03-01</t>
        </is>
      </c>
      <c r="Y22" t="inlineStr">
        <is>
          <t>1993-10-21</t>
        </is>
      </c>
      <c r="Z22" t="inlineStr">
        <is>
          <t>1993-10-21</t>
        </is>
      </c>
      <c r="AA22" t="n">
        <v>167</v>
      </c>
      <c r="AB22" t="n">
        <v>72</v>
      </c>
      <c r="AC22" t="n">
        <v>93</v>
      </c>
      <c r="AD22" t="n">
        <v>1</v>
      </c>
      <c r="AE22" t="n">
        <v>1</v>
      </c>
      <c r="AF22" t="n">
        <v>2</v>
      </c>
      <c r="AG22" t="n">
        <v>2</v>
      </c>
      <c r="AH22" t="n">
        <v>1</v>
      </c>
      <c r="AI22" t="n">
        <v>1</v>
      </c>
      <c r="AJ22" t="n">
        <v>1</v>
      </c>
      <c r="AK22" t="n">
        <v>1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HYPERLINK("https://creighton-primo.hosted.exlibrisgroup.com/primo-explore/search?tab=default_tab&amp;search_scope=EVERYTHING&amp;vid=01CRU&amp;lang=en_US&amp;offset=0&amp;query=any,contains,991001488219702656","Catalog Record")</f>
        <v/>
      </c>
      <c r="AV22">
        <f>HYPERLINK("http://www.worldcat.org/oclc/27727026","WorldCat Record")</f>
        <v/>
      </c>
      <c r="AW22" t="inlineStr">
        <is>
          <t>376224033:eng</t>
        </is>
      </c>
      <c r="AX22" t="inlineStr">
        <is>
          <t>27727026</t>
        </is>
      </c>
      <c r="AY22" t="inlineStr">
        <is>
          <t>991001488219702656</t>
        </is>
      </c>
      <c r="AZ22" t="inlineStr">
        <is>
          <t>991001488219702656</t>
        </is>
      </c>
      <c r="BA22" t="inlineStr">
        <is>
          <t>2264870000002656</t>
        </is>
      </c>
      <c r="BB22" t="inlineStr">
        <is>
          <t>BOOK</t>
        </is>
      </c>
      <c r="BD22" t="inlineStr">
        <is>
          <t>9780412474705</t>
        </is>
      </c>
      <c r="BE22" t="inlineStr">
        <is>
          <t>30001002579821</t>
        </is>
      </c>
      <c r="BF22" t="inlineStr">
        <is>
          <t>893287444</t>
        </is>
      </c>
    </row>
    <row r="23">
      <c r="A23" t="inlineStr">
        <is>
          <t>No</t>
        </is>
      </c>
      <c r="B23" t="inlineStr">
        <is>
          <t>CUHSL</t>
        </is>
      </c>
      <c r="C23" t="inlineStr">
        <is>
          <t>SHELVES</t>
        </is>
      </c>
      <c r="D23" t="inlineStr">
        <is>
          <t>WA20.5 L886g 1999</t>
        </is>
      </c>
      <c r="E23" t="inlineStr">
        <is>
          <t>0                      WA 0020500L  886g        1999</t>
        </is>
      </c>
      <c r="F23" t="inlineStr">
        <is>
          <t>Gender, ethnicity, and health research / Sana Loue.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Loue, Sana.</t>
        </is>
      </c>
      <c r="N23" t="inlineStr">
        <is>
          <t>New York : Kluwer Academic/Plenum Publishers, c1999.</t>
        </is>
      </c>
      <c r="O23" t="inlineStr">
        <is>
          <t>1999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WA </t>
        </is>
      </c>
      <c r="U23" t="n">
        <v>4</v>
      </c>
      <c r="V23" t="n">
        <v>4</v>
      </c>
      <c r="W23" t="inlineStr">
        <is>
          <t>2008-07-10</t>
        </is>
      </c>
      <c r="X23" t="inlineStr">
        <is>
          <t>2008-07-10</t>
        </is>
      </c>
      <c r="Y23" t="inlineStr">
        <is>
          <t>2004-06-03</t>
        </is>
      </c>
      <c r="Z23" t="inlineStr">
        <is>
          <t>2004-06-03</t>
        </is>
      </c>
      <c r="AA23" t="n">
        <v>424</v>
      </c>
      <c r="AB23" t="n">
        <v>349</v>
      </c>
      <c r="AC23" t="n">
        <v>466</v>
      </c>
      <c r="AD23" t="n">
        <v>1</v>
      </c>
      <c r="AE23" t="n">
        <v>1</v>
      </c>
      <c r="AF23" t="n">
        <v>15</v>
      </c>
      <c r="AG23" t="n">
        <v>19</v>
      </c>
      <c r="AH23" t="n">
        <v>3</v>
      </c>
      <c r="AI23" t="n">
        <v>5</v>
      </c>
      <c r="AJ23" t="n">
        <v>5</v>
      </c>
      <c r="AK23" t="n">
        <v>6</v>
      </c>
      <c r="AL23" t="n">
        <v>12</v>
      </c>
      <c r="AM23" t="n">
        <v>14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HYPERLINK("https://creighton-primo.hosted.exlibrisgroup.com/primo-explore/search?tab=default_tab&amp;search_scope=EVERYTHING&amp;vid=01CRU&amp;lang=en_US&amp;offset=0&amp;query=any,contains,991000371199702656","Catalog Record")</f>
        <v/>
      </c>
      <c r="AV23">
        <f>HYPERLINK("http://www.worldcat.org/oclc/41649617","WorldCat Record")</f>
        <v/>
      </c>
      <c r="AW23" t="inlineStr">
        <is>
          <t>9986167:eng</t>
        </is>
      </c>
      <c r="AX23" t="inlineStr">
        <is>
          <t>41649617</t>
        </is>
      </c>
      <c r="AY23" t="inlineStr">
        <is>
          <t>991000371199702656</t>
        </is>
      </c>
      <c r="AZ23" t="inlineStr">
        <is>
          <t>991000371199702656</t>
        </is>
      </c>
      <c r="BA23" t="inlineStr">
        <is>
          <t>2260046500002656</t>
        </is>
      </c>
      <c r="BB23" t="inlineStr">
        <is>
          <t>BOOK</t>
        </is>
      </c>
      <c r="BD23" t="inlineStr">
        <is>
          <t>9780306461729</t>
        </is>
      </c>
      <c r="BE23" t="inlineStr">
        <is>
          <t>30001004920338</t>
        </is>
      </c>
      <c r="BF23" t="inlineStr">
        <is>
          <t>893109459</t>
        </is>
      </c>
    </row>
    <row r="24">
      <c r="A24" t="inlineStr">
        <is>
          <t>No</t>
        </is>
      </c>
      <c r="B24" t="inlineStr">
        <is>
          <t>CUHSL</t>
        </is>
      </c>
      <c r="C24" t="inlineStr">
        <is>
          <t>SHELVES</t>
        </is>
      </c>
      <c r="D24" t="inlineStr">
        <is>
          <t>WA20.5 P484n 2001</t>
        </is>
      </c>
      <c r="E24" t="inlineStr">
        <is>
          <t>0                      WA 0020500P  484n        2001</t>
        </is>
      </c>
      <c r="F24" t="inlineStr">
        <is>
          <t>Needs assessment in public health : a practical guide for students and professionals / Donna J. Petersen and Greg R. Alexander.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Petersen, Donna J.</t>
        </is>
      </c>
      <c r="N24" t="inlineStr">
        <is>
          <t>New York : Kluwer Academic, c2001.</t>
        </is>
      </c>
      <c r="O24" t="inlineStr">
        <is>
          <t>2001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WA </t>
        </is>
      </c>
      <c r="U24" t="n">
        <v>4</v>
      </c>
      <c r="V24" t="n">
        <v>4</v>
      </c>
      <c r="W24" t="inlineStr">
        <is>
          <t>2003-08-19</t>
        </is>
      </c>
      <c r="X24" t="inlineStr">
        <is>
          <t>2003-08-19</t>
        </is>
      </c>
      <c r="Y24" t="inlineStr">
        <is>
          <t>2001-11-13</t>
        </is>
      </c>
      <c r="Z24" t="inlineStr">
        <is>
          <t>2001-11-13</t>
        </is>
      </c>
      <c r="AA24" t="n">
        <v>253</v>
      </c>
      <c r="AB24" t="n">
        <v>183</v>
      </c>
      <c r="AC24" t="n">
        <v>670</v>
      </c>
      <c r="AD24" t="n">
        <v>1</v>
      </c>
      <c r="AE24" t="n">
        <v>26</v>
      </c>
      <c r="AF24" t="n">
        <v>7</v>
      </c>
      <c r="AG24" t="n">
        <v>28</v>
      </c>
      <c r="AH24" t="n">
        <v>1</v>
      </c>
      <c r="AI24" t="n">
        <v>6</v>
      </c>
      <c r="AJ24" t="n">
        <v>3</v>
      </c>
      <c r="AK24" t="n">
        <v>5</v>
      </c>
      <c r="AL24" t="n">
        <v>4</v>
      </c>
      <c r="AM24" t="n">
        <v>9</v>
      </c>
      <c r="AN24" t="n">
        <v>0</v>
      </c>
      <c r="AO24" t="n">
        <v>11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HYPERLINK("https://creighton-primo.hosted.exlibrisgroup.com/primo-explore/search?tab=default_tab&amp;search_scope=EVERYTHING&amp;vid=01CRU&amp;lang=en_US&amp;offset=0&amp;query=any,contains,991000293059702656","Catalog Record")</f>
        <v/>
      </c>
      <c r="AV24">
        <f>HYPERLINK("http://www.worldcat.org/oclc/45363980","WorldCat Record")</f>
        <v/>
      </c>
      <c r="AW24" t="inlineStr">
        <is>
          <t>797180542:eng</t>
        </is>
      </c>
      <c r="AX24" t="inlineStr">
        <is>
          <t>45363980</t>
        </is>
      </c>
      <c r="AY24" t="inlineStr">
        <is>
          <t>991000293059702656</t>
        </is>
      </c>
      <c r="AZ24" t="inlineStr">
        <is>
          <t>991000293059702656</t>
        </is>
      </c>
      <c r="BA24" t="inlineStr">
        <is>
          <t>2256760500002656</t>
        </is>
      </c>
      <c r="BB24" t="inlineStr">
        <is>
          <t>BOOK</t>
        </is>
      </c>
      <c r="BD24" t="inlineStr">
        <is>
          <t>9780306465307</t>
        </is>
      </c>
      <c r="BE24" t="inlineStr">
        <is>
          <t>30001004235224</t>
        </is>
      </c>
      <c r="BF24" t="inlineStr">
        <is>
          <t>893375449</t>
        </is>
      </c>
    </row>
    <row r="25">
      <c r="A25" t="inlineStr">
        <is>
          <t>No</t>
        </is>
      </c>
      <c r="B25" t="inlineStr">
        <is>
          <t>CUHSL</t>
        </is>
      </c>
      <c r="C25" t="inlineStr">
        <is>
          <t>SHELVES</t>
        </is>
      </c>
      <c r="D25" t="inlineStr">
        <is>
          <t>WA30 C437 2001</t>
        </is>
      </c>
      <c r="E25" t="inlineStr">
        <is>
          <t>0                      WA 0030000C  437         2001</t>
        </is>
      </c>
      <c r="F25" t="inlineStr">
        <is>
          <t>Challenging inequities in health : from ethics to action / edited by Timothy Evans ... [et al.].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Oxford [England] ; New York : Oxford University Press, 2001.</t>
        </is>
      </c>
      <c r="O25" t="inlineStr">
        <is>
          <t>2001</t>
        </is>
      </c>
      <c r="Q25" t="inlineStr">
        <is>
          <t>eng</t>
        </is>
      </c>
      <c r="R25" t="inlineStr">
        <is>
          <t>nyu</t>
        </is>
      </c>
      <c r="T25" t="inlineStr">
        <is>
          <t xml:space="preserve">WA </t>
        </is>
      </c>
      <c r="U25" t="n">
        <v>7</v>
      </c>
      <c r="V25" t="n">
        <v>7</v>
      </c>
      <c r="W25" t="inlineStr">
        <is>
          <t>2005-03-13</t>
        </is>
      </c>
      <c r="X25" t="inlineStr">
        <is>
          <t>2005-03-13</t>
        </is>
      </c>
      <c r="Y25" t="inlineStr">
        <is>
          <t>2002-06-28</t>
        </is>
      </c>
      <c r="Z25" t="inlineStr">
        <is>
          <t>2002-06-28</t>
        </is>
      </c>
      <c r="AA25" t="n">
        <v>392</v>
      </c>
      <c r="AB25" t="n">
        <v>266</v>
      </c>
      <c r="AC25" t="n">
        <v>1058</v>
      </c>
      <c r="AD25" t="n">
        <v>1</v>
      </c>
      <c r="AE25" t="n">
        <v>19</v>
      </c>
      <c r="AF25" t="n">
        <v>16</v>
      </c>
      <c r="AG25" t="n">
        <v>43</v>
      </c>
      <c r="AH25" t="n">
        <v>2</v>
      </c>
      <c r="AI25" t="n">
        <v>12</v>
      </c>
      <c r="AJ25" t="n">
        <v>5</v>
      </c>
      <c r="AK25" t="n">
        <v>10</v>
      </c>
      <c r="AL25" t="n">
        <v>11</v>
      </c>
      <c r="AM25" t="n">
        <v>14</v>
      </c>
      <c r="AN25" t="n">
        <v>0</v>
      </c>
      <c r="AO25" t="n">
        <v>11</v>
      </c>
      <c r="AP25" t="n">
        <v>2</v>
      </c>
      <c r="AQ25" t="n">
        <v>3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HYPERLINK("https://creighton-primo.hosted.exlibrisgroup.com/primo-explore/search?tab=default_tab&amp;search_scope=EVERYTHING&amp;vid=01CRU&amp;lang=en_US&amp;offset=0&amp;query=any,contains,991000320499702656","Catalog Record")</f>
        <v/>
      </c>
      <c r="AV25">
        <f>HYPERLINK("http://www.worldcat.org/oclc/44775424","WorldCat Record")</f>
        <v/>
      </c>
      <c r="AW25" t="inlineStr">
        <is>
          <t>1038319041:eng</t>
        </is>
      </c>
      <c r="AX25" t="inlineStr">
        <is>
          <t>44775424</t>
        </is>
      </c>
      <c r="AY25" t="inlineStr">
        <is>
          <t>991000320499702656</t>
        </is>
      </c>
      <c r="AZ25" t="inlineStr">
        <is>
          <t>991000320499702656</t>
        </is>
      </c>
      <c r="BA25" t="inlineStr">
        <is>
          <t>2268475540002656</t>
        </is>
      </c>
      <c r="BB25" t="inlineStr">
        <is>
          <t>BOOK</t>
        </is>
      </c>
      <c r="BD25" t="inlineStr">
        <is>
          <t>9780195137392</t>
        </is>
      </c>
      <c r="BE25" t="inlineStr">
        <is>
          <t>30001004238442</t>
        </is>
      </c>
      <c r="BF25" t="inlineStr">
        <is>
          <t>893542253</t>
        </is>
      </c>
    </row>
    <row r="26">
      <c r="A26" t="inlineStr">
        <is>
          <t>No</t>
        </is>
      </c>
      <c r="B26" t="inlineStr">
        <is>
          <t>CUHSL</t>
        </is>
      </c>
      <c r="C26" t="inlineStr">
        <is>
          <t>SHELVES</t>
        </is>
      </c>
      <c r="D26" t="inlineStr">
        <is>
          <t>WA 30 C744 1986</t>
        </is>
      </c>
      <c r="E26" t="inlineStr">
        <is>
          <t>0                      WA 0030000C  744         1986</t>
        </is>
      </c>
      <c r="F26" t="inlineStr">
        <is>
          <t>Concepts of health, illness, and disease : a comparative perspective / edited by Caroline Currer and Meg Stacey.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Leamington Spa ; New York : Berg, c1986.</t>
        </is>
      </c>
      <c r="O26" t="inlineStr">
        <is>
          <t>1986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WA </t>
        </is>
      </c>
      <c r="U26" t="n">
        <v>4</v>
      </c>
      <c r="V26" t="n">
        <v>4</v>
      </c>
      <c r="W26" t="inlineStr">
        <is>
          <t>1998-10-09</t>
        </is>
      </c>
      <c r="X26" t="inlineStr">
        <is>
          <t>1998-10-09</t>
        </is>
      </c>
      <c r="Y26" t="inlineStr">
        <is>
          <t>1989-03-15</t>
        </is>
      </c>
      <c r="Z26" t="inlineStr">
        <is>
          <t>1989-03-15</t>
        </is>
      </c>
      <c r="AA26" t="n">
        <v>278</v>
      </c>
      <c r="AB26" t="n">
        <v>144</v>
      </c>
      <c r="AC26" t="n">
        <v>152</v>
      </c>
      <c r="AD26" t="n">
        <v>1</v>
      </c>
      <c r="AE26" t="n">
        <v>1</v>
      </c>
      <c r="AF26" t="n">
        <v>5</v>
      </c>
      <c r="AG26" t="n">
        <v>5</v>
      </c>
      <c r="AH26" t="n">
        <v>1</v>
      </c>
      <c r="AI26" t="n">
        <v>1</v>
      </c>
      <c r="AJ26" t="n">
        <v>2</v>
      </c>
      <c r="AK26" t="n">
        <v>2</v>
      </c>
      <c r="AL26" t="n">
        <v>4</v>
      </c>
      <c r="AM26" t="n">
        <v>4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HYPERLINK("https://creighton-primo.hosted.exlibrisgroup.com/primo-explore/search?tab=default_tab&amp;search_scope=EVERYTHING&amp;vid=01CRU&amp;lang=en_US&amp;offset=0&amp;query=any,contains,991001241839702656","Catalog Record")</f>
        <v/>
      </c>
      <c r="AV26">
        <f>HYPERLINK("http://www.worldcat.org/oclc/12669529","WorldCat Record")</f>
        <v/>
      </c>
      <c r="AW26" t="inlineStr">
        <is>
          <t>795382463:eng</t>
        </is>
      </c>
      <c r="AX26" t="inlineStr">
        <is>
          <t>12669529</t>
        </is>
      </c>
      <c r="AY26" t="inlineStr">
        <is>
          <t>991001241839702656</t>
        </is>
      </c>
      <c r="AZ26" t="inlineStr">
        <is>
          <t>991001241839702656</t>
        </is>
      </c>
      <c r="BA26" t="inlineStr">
        <is>
          <t>2271686280002656</t>
        </is>
      </c>
      <c r="BB26" t="inlineStr">
        <is>
          <t>BOOK</t>
        </is>
      </c>
      <c r="BD26" t="inlineStr">
        <is>
          <t>9780907582182</t>
        </is>
      </c>
      <c r="BE26" t="inlineStr">
        <is>
          <t>30001001675828</t>
        </is>
      </c>
      <c r="BF26" t="inlineStr">
        <is>
          <t>893450975</t>
        </is>
      </c>
    </row>
    <row r="27">
      <c r="A27" t="inlineStr">
        <is>
          <t>No</t>
        </is>
      </c>
      <c r="B27" t="inlineStr">
        <is>
          <t>CUHSL</t>
        </is>
      </c>
      <c r="C27" t="inlineStr">
        <is>
          <t>SHELVES</t>
        </is>
      </c>
      <c r="D27" t="inlineStr">
        <is>
          <t>WA30 C755 2002</t>
        </is>
      </c>
      <c r="E27" t="inlineStr">
        <is>
          <t>0                      WA 0030000C  755         2002</t>
        </is>
      </c>
      <c r="F27" t="inlineStr">
        <is>
          <t>Conservation medicine : ecological health in practice / edited by A. Alonso Aguirre ... [et al.].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1</t>
        </is>
      </c>
      <c r="N27" t="inlineStr">
        <is>
          <t>Oxford ; New York : Oxford University Press, 2002.</t>
        </is>
      </c>
      <c r="O27" t="inlineStr">
        <is>
          <t>2002</t>
        </is>
      </c>
      <c r="Q27" t="inlineStr">
        <is>
          <t>eng</t>
        </is>
      </c>
      <c r="R27" t="inlineStr">
        <is>
          <t>enk</t>
        </is>
      </c>
      <c r="T27" t="inlineStr">
        <is>
          <t xml:space="preserve">WA </t>
        </is>
      </c>
      <c r="U27" t="n">
        <v>0</v>
      </c>
      <c r="V27" t="n">
        <v>0</v>
      </c>
      <c r="W27" t="inlineStr">
        <is>
          <t>2004-04-01</t>
        </is>
      </c>
      <c r="X27" t="inlineStr">
        <is>
          <t>2004-04-01</t>
        </is>
      </c>
      <c r="Y27" t="inlineStr">
        <is>
          <t>2004-03-31</t>
        </is>
      </c>
      <c r="Z27" t="inlineStr">
        <is>
          <t>2004-03-31</t>
        </is>
      </c>
      <c r="AA27" t="n">
        <v>243</v>
      </c>
      <c r="AB27" t="n">
        <v>170</v>
      </c>
      <c r="AC27" t="n">
        <v>1048</v>
      </c>
      <c r="AD27" t="n">
        <v>2</v>
      </c>
      <c r="AE27" t="n">
        <v>15</v>
      </c>
      <c r="AF27" t="n">
        <v>4</v>
      </c>
      <c r="AG27" t="n">
        <v>42</v>
      </c>
      <c r="AH27" t="n">
        <v>2</v>
      </c>
      <c r="AI27" t="n">
        <v>13</v>
      </c>
      <c r="AJ27" t="n">
        <v>0</v>
      </c>
      <c r="AK27" t="n">
        <v>9</v>
      </c>
      <c r="AL27" t="n">
        <v>2</v>
      </c>
      <c r="AM27" t="n">
        <v>12</v>
      </c>
      <c r="AN27" t="n">
        <v>1</v>
      </c>
      <c r="AO27" t="n">
        <v>13</v>
      </c>
      <c r="AP27" t="n">
        <v>0</v>
      </c>
      <c r="AQ27" t="n">
        <v>2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HYPERLINK("https://creighton-primo.hosted.exlibrisgroup.com/primo-explore/search?tab=default_tab&amp;search_scope=EVERYTHING&amp;vid=01CRU&amp;lang=en_US&amp;offset=0&amp;query=any,contains,991000368929702656","Catalog Record")</f>
        <v/>
      </c>
      <c r="AV27">
        <f>HYPERLINK("http://www.worldcat.org/oclc/47705894","WorldCat Record")</f>
        <v/>
      </c>
      <c r="AW27" t="inlineStr">
        <is>
          <t>866295882:eng</t>
        </is>
      </c>
      <c r="AX27" t="inlineStr">
        <is>
          <t>47705894</t>
        </is>
      </c>
      <c r="AY27" t="inlineStr">
        <is>
          <t>991000368929702656</t>
        </is>
      </c>
      <c r="AZ27" t="inlineStr">
        <is>
          <t>991000368929702656</t>
        </is>
      </c>
      <c r="BA27" t="inlineStr">
        <is>
          <t>2255224670002656</t>
        </is>
      </c>
      <c r="BB27" t="inlineStr">
        <is>
          <t>BOOK</t>
        </is>
      </c>
      <c r="BD27" t="inlineStr">
        <is>
          <t>9780195150933</t>
        </is>
      </c>
      <c r="BE27" t="inlineStr">
        <is>
          <t>30001004507549</t>
        </is>
      </c>
      <c r="BF27" t="inlineStr">
        <is>
          <t>893822100</t>
        </is>
      </c>
    </row>
    <row r="28">
      <c r="A28" t="inlineStr">
        <is>
          <t>No</t>
        </is>
      </c>
      <c r="B28" t="inlineStr">
        <is>
          <t>CUHSL</t>
        </is>
      </c>
      <c r="C28" t="inlineStr">
        <is>
          <t>SHELVES</t>
        </is>
      </c>
      <c r="D28" t="inlineStr">
        <is>
          <t>WA30 D578c 2007</t>
        </is>
      </c>
      <c r="E28" t="inlineStr">
        <is>
          <t>0                      WA 0030000D  578c        2007</t>
        </is>
      </c>
      <c r="F28" t="inlineStr">
        <is>
          <t>Cultural diversity : a primer for the human services / Jerry V. Diller.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Diller, Jerry V.</t>
        </is>
      </c>
      <c r="N28" t="inlineStr">
        <is>
          <t>Belmont, CA : Thomson Brooks/Cole, c2007.</t>
        </is>
      </c>
      <c r="O28" t="inlineStr">
        <is>
          <t>2007</t>
        </is>
      </c>
      <c r="P28" t="inlineStr">
        <is>
          <t>3rd ed.</t>
        </is>
      </c>
      <c r="Q28" t="inlineStr">
        <is>
          <t>eng</t>
        </is>
      </c>
      <c r="R28" t="inlineStr">
        <is>
          <t>cau</t>
        </is>
      </c>
      <c r="T28" t="inlineStr">
        <is>
          <t xml:space="preserve">WA </t>
        </is>
      </c>
      <c r="U28" t="n">
        <v>3</v>
      </c>
      <c r="V28" t="n">
        <v>3</v>
      </c>
      <c r="W28" t="inlineStr">
        <is>
          <t>2010-09-15</t>
        </is>
      </c>
      <c r="X28" t="inlineStr">
        <is>
          <t>2010-09-15</t>
        </is>
      </c>
      <c r="Y28" t="inlineStr">
        <is>
          <t>2008-04-17</t>
        </is>
      </c>
      <c r="Z28" t="inlineStr">
        <is>
          <t>2008-04-17</t>
        </is>
      </c>
      <c r="AA28" t="n">
        <v>229</v>
      </c>
      <c r="AB28" t="n">
        <v>158</v>
      </c>
      <c r="AC28" t="n">
        <v>566</v>
      </c>
      <c r="AD28" t="n">
        <v>1</v>
      </c>
      <c r="AE28" t="n">
        <v>6</v>
      </c>
      <c r="AF28" t="n">
        <v>5</v>
      </c>
      <c r="AG28" t="n">
        <v>24</v>
      </c>
      <c r="AH28" t="n">
        <v>1</v>
      </c>
      <c r="AI28" t="n">
        <v>7</v>
      </c>
      <c r="AJ28" t="n">
        <v>0</v>
      </c>
      <c r="AK28" t="n">
        <v>3</v>
      </c>
      <c r="AL28" t="n">
        <v>4</v>
      </c>
      <c r="AM28" t="n">
        <v>12</v>
      </c>
      <c r="AN28" t="n">
        <v>0</v>
      </c>
      <c r="AO28" t="n">
        <v>5</v>
      </c>
      <c r="AP28" t="n">
        <v>0</v>
      </c>
      <c r="AQ28" t="n">
        <v>1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HYPERLINK("https://creighton-primo.hosted.exlibrisgroup.com/primo-explore/search?tab=default_tab&amp;search_scope=EVERYTHING&amp;vid=01CRU&amp;lang=en_US&amp;offset=0&amp;query=any,contains,991000692909702656","Catalog Record")</f>
        <v/>
      </c>
      <c r="AV28">
        <f>HYPERLINK("http://www.worldcat.org/oclc/70852625","WorldCat Record")</f>
        <v/>
      </c>
      <c r="AW28" t="inlineStr">
        <is>
          <t>10844571:eng</t>
        </is>
      </c>
      <c r="AX28" t="inlineStr">
        <is>
          <t>70852625</t>
        </is>
      </c>
      <c r="AY28" t="inlineStr">
        <is>
          <t>991000692909702656</t>
        </is>
      </c>
      <c r="AZ28" t="inlineStr">
        <is>
          <t>991000692909702656</t>
        </is>
      </c>
      <c r="BA28" t="inlineStr">
        <is>
          <t>2268089310002656</t>
        </is>
      </c>
      <c r="BB28" t="inlineStr">
        <is>
          <t>BOOK</t>
        </is>
      </c>
      <c r="BD28" t="inlineStr">
        <is>
          <t>9780495127642</t>
        </is>
      </c>
      <c r="BE28" t="inlineStr">
        <is>
          <t>30001005292570</t>
        </is>
      </c>
      <c r="BF28" t="inlineStr">
        <is>
          <t>893637232</t>
        </is>
      </c>
    </row>
    <row r="29">
      <c r="A29" t="inlineStr">
        <is>
          <t>No</t>
        </is>
      </c>
      <c r="B29" t="inlineStr">
        <is>
          <t>CUHSL</t>
        </is>
      </c>
      <c r="C29" t="inlineStr">
        <is>
          <t>SHELVES</t>
        </is>
      </c>
      <c r="D29" t="inlineStr">
        <is>
          <t>WA30 I62 2001</t>
        </is>
      </c>
      <c r="E29" t="inlineStr">
        <is>
          <t>0                      WA 0030000I  62          2001</t>
        </is>
      </c>
      <c r="F29" t="inlineStr">
        <is>
          <t>Investment in health : social and economic returns.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Washington, D.C. : Pan American Health Organization, Pan American Sanitary Bureau, c2001.</t>
        </is>
      </c>
      <c r="O29" t="inlineStr">
        <is>
          <t>2001</t>
        </is>
      </c>
      <c r="Q29" t="inlineStr">
        <is>
          <t>eng</t>
        </is>
      </c>
      <c r="R29" t="inlineStr">
        <is>
          <t>dcu</t>
        </is>
      </c>
      <c r="S29" t="inlineStr">
        <is>
          <t>Scientific and technical publication ; no. 582</t>
        </is>
      </c>
      <c r="T29" t="inlineStr">
        <is>
          <t xml:space="preserve">WA </t>
        </is>
      </c>
      <c r="U29" t="n">
        <v>1</v>
      </c>
      <c r="V29" t="n">
        <v>1</v>
      </c>
      <c r="W29" t="inlineStr">
        <is>
          <t>2003-12-10</t>
        </is>
      </c>
      <c r="X29" t="inlineStr">
        <is>
          <t>2003-12-10</t>
        </is>
      </c>
      <c r="Y29" t="inlineStr">
        <is>
          <t>2003-12-09</t>
        </is>
      </c>
      <c r="Z29" t="inlineStr">
        <is>
          <t>2003-12-09</t>
        </is>
      </c>
      <c r="AA29" t="n">
        <v>104</v>
      </c>
      <c r="AB29" t="n">
        <v>63</v>
      </c>
      <c r="AC29" t="n">
        <v>148</v>
      </c>
      <c r="AD29" t="n">
        <v>1</v>
      </c>
      <c r="AE29" t="n">
        <v>1</v>
      </c>
      <c r="AF29" t="n">
        <v>2</v>
      </c>
      <c r="AG29" t="n">
        <v>4</v>
      </c>
      <c r="AH29" t="n">
        <v>0</v>
      </c>
      <c r="AI29" t="n">
        <v>2</v>
      </c>
      <c r="AJ29" t="n">
        <v>2</v>
      </c>
      <c r="AK29" t="n">
        <v>3</v>
      </c>
      <c r="AL29" t="n">
        <v>1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HYPERLINK("http://catalog.hathitrust.org/Record/004313529","HathiTrust Record")</f>
        <v/>
      </c>
      <c r="AU29">
        <f>HYPERLINK("https://creighton-primo.hosted.exlibrisgroup.com/primo-explore/search?tab=default_tab&amp;search_scope=EVERYTHING&amp;vid=01CRU&amp;lang=en_US&amp;offset=0&amp;query=any,contains,991000361149702656","Catalog Record")</f>
        <v/>
      </c>
      <c r="AV29">
        <f>HYPERLINK("http://www.worldcat.org/oclc/49224034","WorldCat Record")</f>
        <v/>
      </c>
      <c r="AW29" t="inlineStr">
        <is>
          <t>801325324:eng</t>
        </is>
      </c>
      <c r="AX29" t="inlineStr">
        <is>
          <t>49224034</t>
        </is>
      </c>
      <c r="AY29" t="inlineStr">
        <is>
          <t>991000361149702656</t>
        </is>
      </c>
      <c r="AZ29" t="inlineStr">
        <is>
          <t>991000361149702656</t>
        </is>
      </c>
      <c r="BA29" t="inlineStr">
        <is>
          <t>2263688030002656</t>
        </is>
      </c>
      <c r="BB29" t="inlineStr">
        <is>
          <t>BOOK</t>
        </is>
      </c>
      <c r="BD29" t="inlineStr">
        <is>
          <t>9789275115824</t>
        </is>
      </c>
      <c r="BE29" t="inlineStr">
        <is>
          <t>30001004507739</t>
        </is>
      </c>
      <c r="BF29" t="inlineStr">
        <is>
          <t>893822094</t>
        </is>
      </c>
    </row>
    <row r="30">
      <c r="A30" t="inlineStr">
        <is>
          <t>No</t>
        </is>
      </c>
      <c r="B30" t="inlineStr">
        <is>
          <t>CUHSL</t>
        </is>
      </c>
      <c r="C30" t="inlineStr">
        <is>
          <t>SHELVES</t>
        </is>
      </c>
      <c r="D30" t="inlineStr">
        <is>
          <t>WA 30 K22p 1992</t>
        </is>
      </c>
      <c r="E30" t="inlineStr">
        <is>
          <t>0                      WA 0030000K  22p         1992</t>
        </is>
      </c>
      <c r="F30" t="inlineStr">
        <is>
          <t>Promoting cultural diversity : strategies for health care professionals / Kathryn Hopkins Kavanagh, Patricia H. Kennedy.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Kavanagh, Kathryn Hopkins.</t>
        </is>
      </c>
      <c r="N30" t="inlineStr">
        <is>
          <t>Newbury Park, Calif. : Sage Publications, c1992.</t>
        </is>
      </c>
      <c r="O30" t="inlineStr">
        <is>
          <t>1992</t>
        </is>
      </c>
      <c r="Q30" t="inlineStr">
        <is>
          <t>eng</t>
        </is>
      </c>
      <c r="R30" t="inlineStr">
        <is>
          <t>cau</t>
        </is>
      </c>
      <c r="T30" t="inlineStr">
        <is>
          <t xml:space="preserve">WA </t>
        </is>
      </c>
      <c r="U30" t="n">
        <v>19</v>
      </c>
      <c r="V30" t="n">
        <v>19</v>
      </c>
      <c r="W30" t="inlineStr">
        <is>
          <t>2000-04-07</t>
        </is>
      </c>
      <c r="X30" t="inlineStr">
        <is>
          <t>2000-04-07</t>
        </is>
      </c>
      <c r="Y30" t="inlineStr">
        <is>
          <t>1992-08-21</t>
        </is>
      </c>
      <c r="Z30" t="inlineStr">
        <is>
          <t>1992-08-21</t>
        </is>
      </c>
      <c r="AA30" t="n">
        <v>643</v>
      </c>
      <c r="AB30" t="n">
        <v>517</v>
      </c>
      <c r="AC30" t="n">
        <v>524</v>
      </c>
      <c r="AD30" t="n">
        <v>5</v>
      </c>
      <c r="AE30" t="n">
        <v>5</v>
      </c>
      <c r="AF30" t="n">
        <v>26</v>
      </c>
      <c r="AG30" t="n">
        <v>26</v>
      </c>
      <c r="AH30" t="n">
        <v>11</v>
      </c>
      <c r="AI30" t="n">
        <v>11</v>
      </c>
      <c r="AJ30" t="n">
        <v>4</v>
      </c>
      <c r="AK30" t="n">
        <v>4</v>
      </c>
      <c r="AL30" t="n">
        <v>14</v>
      </c>
      <c r="AM30" t="n">
        <v>14</v>
      </c>
      <c r="AN30" t="n">
        <v>4</v>
      </c>
      <c r="AO30" t="n">
        <v>4</v>
      </c>
      <c r="AP30" t="n">
        <v>1</v>
      </c>
      <c r="AQ30" t="n">
        <v>1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HYPERLINK("http://catalog.hathitrust.org/Record/002568776","HathiTrust Record")</f>
        <v/>
      </c>
      <c r="AU30">
        <f>HYPERLINK("https://creighton-primo.hosted.exlibrisgroup.com/primo-explore/search?tab=default_tab&amp;search_scope=EVERYTHING&amp;vid=01CRU&amp;lang=en_US&amp;offset=0&amp;query=any,contains,991001340399702656","Catalog Record")</f>
        <v/>
      </c>
      <c r="AV30">
        <f>HYPERLINK("http://www.worldcat.org/oclc/25630291","WorldCat Record")</f>
        <v/>
      </c>
      <c r="AW30" t="inlineStr">
        <is>
          <t>20760372:eng</t>
        </is>
      </c>
      <c r="AX30" t="inlineStr">
        <is>
          <t>25630291</t>
        </is>
      </c>
      <c r="AY30" t="inlineStr">
        <is>
          <t>991001340399702656</t>
        </is>
      </c>
      <c r="AZ30" t="inlineStr">
        <is>
          <t>991001340399702656</t>
        </is>
      </c>
      <c r="BA30" t="inlineStr">
        <is>
          <t>2266965750002656</t>
        </is>
      </c>
      <c r="BB30" t="inlineStr">
        <is>
          <t>BOOK</t>
        </is>
      </c>
      <c r="BD30" t="inlineStr">
        <is>
          <t>9780803946576</t>
        </is>
      </c>
      <c r="BE30" t="inlineStr">
        <is>
          <t>30001002455436</t>
        </is>
      </c>
      <c r="BF30" t="inlineStr">
        <is>
          <t>893268392</t>
        </is>
      </c>
    </row>
    <row r="31">
      <c r="A31" t="inlineStr">
        <is>
          <t>No</t>
        </is>
      </c>
      <c r="B31" t="inlineStr">
        <is>
          <t>CUHSL</t>
        </is>
      </c>
      <c r="C31" t="inlineStr">
        <is>
          <t>SHELVES</t>
        </is>
      </c>
      <c r="D31" t="inlineStr">
        <is>
          <t>WA 30 M693e 1992</t>
        </is>
      </c>
      <c r="E31" t="inlineStr">
        <is>
          <t>0                      WA 0030000M  693e        1992</t>
        </is>
      </c>
      <c r="F31" t="inlineStr">
        <is>
          <t>Environmental health / Dade W. Moeller.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1</t>
        </is>
      </c>
      <c r="M31" t="inlineStr">
        <is>
          <t>Moeller, D. W. (Dade W.)</t>
        </is>
      </c>
      <c r="N31" t="inlineStr">
        <is>
          <t>Cambridge, Mass. : Harvard University Press, c1992.</t>
        </is>
      </c>
      <c r="O31" t="inlineStr">
        <is>
          <t>1992</t>
        </is>
      </c>
      <c r="Q31" t="inlineStr">
        <is>
          <t>eng</t>
        </is>
      </c>
      <c r="R31" t="inlineStr">
        <is>
          <t>xxu</t>
        </is>
      </c>
      <c r="T31" t="inlineStr">
        <is>
          <t xml:space="preserve">WA </t>
        </is>
      </c>
      <c r="U31" t="n">
        <v>7</v>
      </c>
      <c r="V31" t="n">
        <v>7</v>
      </c>
      <c r="W31" t="inlineStr">
        <is>
          <t>1999-07-21</t>
        </is>
      </c>
      <c r="X31" t="inlineStr">
        <is>
          <t>1999-07-21</t>
        </is>
      </c>
      <c r="Y31" t="inlineStr">
        <is>
          <t>1992-02-19</t>
        </is>
      </c>
      <c r="Z31" t="inlineStr">
        <is>
          <t>1992-02-19</t>
        </is>
      </c>
      <c r="AA31" t="n">
        <v>676</v>
      </c>
      <c r="AB31" t="n">
        <v>574</v>
      </c>
      <c r="AC31" t="n">
        <v>1593</v>
      </c>
      <c r="AD31" t="n">
        <v>4</v>
      </c>
      <c r="AE31" t="n">
        <v>14</v>
      </c>
      <c r="AF31" t="n">
        <v>23</v>
      </c>
      <c r="AG31" t="n">
        <v>58</v>
      </c>
      <c r="AH31" t="n">
        <v>4</v>
      </c>
      <c r="AI31" t="n">
        <v>19</v>
      </c>
      <c r="AJ31" t="n">
        <v>6</v>
      </c>
      <c r="AK31" t="n">
        <v>11</v>
      </c>
      <c r="AL31" t="n">
        <v>8</v>
      </c>
      <c r="AM31" t="n">
        <v>20</v>
      </c>
      <c r="AN31" t="n">
        <v>2</v>
      </c>
      <c r="AO31" t="n">
        <v>12</v>
      </c>
      <c r="AP31" t="n">
        <v>6</v>
      </c>
      <c r="AQ31" t="n">
        <v>6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HYPERLINK("http://catalog.hathitrust.org/Record/002518562","HathiTrust Record")</f>
        <v/>
      </c>
      <c r="AU31">
        <f>HYPERLINK("https://creighton-primo.hosted.exlibrisgroup.com/primo-explore/search?tab=default_tab&amp;search_scope=EVERYTHING&amp;vid=01CRU&amp;lang=en_US&amp;offset=0&amp;query=any,contains,991001032749702656","Catalog Record")</f>
        <v/>
      </c>
      <c r="AV31">
        <f>HYPERLINK("http://www.worldcat.org/oclc/24067734","WorldCat Record")</f>
        <v/>
      </c>
      <c r="AW31" t="inlineStr">
        <is>
          <t>932445:eng</t>
        </is>
      </c>
      <c r="AX31" t="inlineStr">
        <is>
          <t>24067734</t>
        </is>
      </c>
      <c r="AY31" t="inlineStr">
        <is>
          <t>991001032749702656</t>
        </is>
      </c>
      <c r="AZ31" t="inlineStr">
        <is>
          <t>991001032749702656</t>
        </is>
      </c>
      <c r="BA31" t="inlineStr">
        <is>
          <t>2261437630002656</t>
        </is>
      </c>
      <c r="BB31" t="inlineStr">
        <is>
          <t>BOOK</t>
        </is>
      </c>
      <c r="BD31" t="inlineStr">
        <is>
          <t>9780674258587</t>
        </is>
      </c>
      <c r="BE31" t="inlineStr">
        <is>
          <t>30001002244129</t>
        </is>
      </c>
      <c r="BF31" t="inlineStr">
        <is>
          <t>893816053</t>
        </is>
      </c>
    </row>
    <row r="32">
      <c r="A32" t="inlineStr">
        <is>
          <t>No</t>
        </is>
      </c>
      <c r="B32" t="inlineStr">
        <is>
          <t>CUHSL</t>
        </is>
      </c>
      <c r="C32" t="inlineStr">
        <is>
          <t>SHELVES</t>
        </is>
      </c>
      <c r="D32" t="inlineStr">
        <is>
          <t>WA 30 P977 1994</t>
        </is>
      </c>
      <c r="E32" t="inlineStr">
        <is>
          <t>0                      WA 0030000P  977         1994</t>
        </is>
      </c>
      <c r="F32" t="inlineStr">
        <is>
          <t>Public health advocacy : creating community change to improve health / David G. Altman, Fabricio E. Balcazar, Stephen B. Fawcett, Thomas Seekins, John Q. Young.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Palo Alto, CA : Stanford Center for Research in Disease Prevention, c1994.</t>
        </is>
      </c>
      <c r="O32" t="inlineStr">
        <is>
          <t>1994</t>
        </is>
      </c>
      <c r="Q32" t="inlineStr">
        <is>
          <t>eng</t>
        </is>
      </c>
      <c r="R32" t="inlineStr">
        <is>
          <t>cau</t>
        </is>
      </c>
      <c r="T32" t="inlineStr">
        <is>
          <t xml:space="preserve">WA </t>
        </is>
      </c>
      <c r="U32" t="n">
        <v>7</v>
      </c>
      <c r="V32" t="n">
        <v>7</v>
      </c>
      <c r="W32" t="inlineStr">
        <is>
          <t>1998-08-28</t>
        </is>
      </c>
      <c r="X32" t="inlineStr">
        <is>
          <t>1998-08-28</t>
        </is>
      </c>
      <c r="Y32" t="inlineStr">
        <is>
          <t>1994-11-23</t>
        </is>
      </c>
      <c r="Z32" t="inlineStr">
        <is>
          <t>1994-11-23</t>
        </is>
      </c>
      <c r="AA32" t="n">
        <v>130</v>
      </c>
      <c r="AB32" t="n">
        <v>117</v>
      </c>
      <c r="AC32" t="n">
        <v>117</v>
      </c>
      <c r="AD32" t="n">
        <v>0</v>
      </c>
      <c r="AE32" t="n">
        <v>0</v>
      </c>
      <c r="AF32" t="n">
        <v>7</v>
      </c>
      <c r="AG32" t="n">
        <v>7</v>
      </c>
      <c r="AH32" t="n">
        <v>1</v>
      </c>
      <c r="AI32" t="n">
        <v>1</v>
      </c>
      <c r="AJ32" t="n">
        <v>3</v>
      </c>
      <c r="AK32" t="n">
        <v>3</v>
      </c>
      <c r="AL32" t="n">
        <v>6</v>
      </c>
      <c r="AM32" t="n">
        <v>6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HYPERLINK("https://creighton-primo.hosted.exlibrisgroup.com/primo-explore/search?tab=default_tab&amp;search_scope=EVERYTHING&amp;vid=01CRU&amp;lang=en_US&amp;offset=0&amp;query=any,contains,991000682419702656","Catalog Record")</f>
        <v/>
      </c>
      <c r="AV32">
        <f>HYPERLINK("http://www.worldcat.org/oclc/32161713","WorldCat Record")</f>
        <v/>
      </c>
      <c r="AW32" t="inlineStr">
        <is>
          <t>144702493:eng</t>
        </is>
      </c>
      <c r="AX32" t="inlineStr">
        <is>
          <t>32161713</t>
        </is>
      </c>
      <c r="AY32" t="inlineStr">
        <is>
          <t>991000682419702656</t>
        </is>
      </c>
      <c r="AZ32" t="inlineStr">
        <is>
          <t>991000682419702656</t>
        </is>
      </c>
      <c r="BA32" t="inlineStr">
        <is>
          <t>2272390870002656</t>
        </is>
      </c>
      <c r="BB32" t="inlineStr">
        <is>
          <t>BOOK</t>
        </is>
      </c>
      <c r="BD32" t="inlineStr">
        <is>
          <t>9781879552128</t>
        </is>
      </c>
      <c r="BE32" t="inlineStr">
        <is>
          <t>30001002697961</t>
        </is>
      </c>
      <c r="BF32" t="inlineStr">
        <is>
          <t>893647988</t>
        </is>
      </c>
    </row>
    <row r="33">
      <c r="A33" t="inlineStr">
        <is>
          <t>No</t>
        </is>
      </c>
      <c r="B33" t="inlineStr">
        <is>
          <t>CUHSL</t>
        </is>
      </c>
      <c r="C33" t="inlineStr">
        <is>
          <t>SHELVES</t>
        </is>
      </c>
      <c r="D33" t="inlineStr">
        <is>
          <t>WA 30 Q105 1990</t>
        </is>
      </c>
      <c r="E33" t="inlineStr">
        <is>
          <t>0                      WA 0030000Q  105         1990</t>
        </is>
      </c>
      <c r="F33" t="inlineStr">
        <is>
          <t>Quality of life assessments in clinical trials / editor, Bert Spilker.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New York : Raven Press, c1990.</t>
        </is>
      </c>
      <c r="O33" t="inlineStr">
        <is>
          <t>1990</t>
        </is>
      </c>
      <c r="Q33" t="inlineStr">
        <is>
          <t>eng</t>
        </is>
      </c>
      <c r="R33" t="inlineStr">
        <is>
          <t>xxu</t>
        </is>
      </c>
      <c r="T33" t="inlineStr">
        <is>
          <t xml:space="preserve">WA </t>
        </is>
      </c>
      <c r="U33" t="n">
        <v>23</v>
      </c>
      <c r="V33" t="n">
        <v>23</v>
      </c>
      <c r="W33" t="inlineStr">
        <is>
          <t>2009-03-27</t>
        </is>
      </c>
      <c r="X33" t="inlineStr">
        <is>
          <t>2009-03-27</t>
        </is>
      </c>
      <c r="Y33" t="inlineStr">
        <is>
          <t>1990-09-07</t>
        </is>
      </c>
      <c r="Z33" t="inlineStr">
        <is>
          <t>1990-09-07</t>
        </is>
      </c>
      <c r="AA33" t="n">
        <v>229</v>
      </c>
      <c r="AB33" t="n">
        <v>150</v>
      </c>
      <c r="AC33" t="n">
        <v>157</v>
      </c>
      <c r="AD33" t="n">
        <v>1</v>
      </c>
      <c r="AE33" t="n">
        <v>1</v>
      </c>
      <c r="AF33" t="n">
        <v>4</v>
      </c>
      <c r="AG33" t="n">
        <v>4</v>
      </c>
      <c r="AH33" t="n">
        <v>1</v>
      </c>
      <c r="AI33" t="n">
        <v>1</v>
      </c>
      <c r="AJ33" t="n">
        <v>2</v>
      </c>
      <c r="AK33" t="n">
        <v>2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HYPERLINK("http://catalog.hathitrust.org/Record/001948931","HathiTrust Record")</f>
        <v/>
      </c>
      <c r="AU33">
        <f>HYPERLINK("https://creighton-primo.hosted.exlibrisgroup.com/primo-explore/search?tab=default_tab&amp;search_scope=EVERYTHING&amp;vid=01CRU&amp;lang=en_US&amp;offset=0&amp;query=any,contains,991001454489702656","Catalog Record")</f>
        <v/>
      </c>
      <c r="AV33">
        <f>HYPERLINK("http://www.worldcat.org/oclc/20691886","WorldCat Record")</f>
        <v/>
      </c>
      <c r="AW33" t="inlineStr">
        <is>
          <t>22691529:eng</t>
        </is>
      </c>
      <c r="AX33" t="inlineStr">
        <is>
          <t>20691886</t>
        </is>
      </c>
      <c r="AY33" t="inlineStr">
        <is>
          <t>991001454489702656</t>
        </is>
      </c>
      <c r="AZ33" t="inlineStr">
        <is>
          <t>991001454489702656</t>
        </is>
      </c>
      <c r="BA33" t="inlineStr">
        <is>
          <t>2265395720002656</t>
        </is>
      </c>
      <c r="BB33" t="inlineStr">
        <is>
          <t>BOOK</t>
        </is>
      </c>
      <c r="BD33" t="inlineStr">
        <is>
          <t>9780881675900</t>
        </is>
      </c>
      <c r="BE33" t="inlineStr">
        <is>
          <t>30001001884529</t>
        </is>
      </c>
      <c r="BF33" t="inlineStr">
        <is>
          <t>893284834</t>
        </is>
      </c>
    </row>
    <row r="34">
      <c r="A34" t="inlineStr">
        <is>
          <t>No</t>
        </is>
      </c>
      <c r="B34" t="inlineStr">
        <is>
          <t>CUHSL</t>
        </is>
      </c>
      <c r="C34" t="inlineStr">
        <is>
          <t>SHELVES</t>
        </is>
      </c>
      <c r="D34" t="inlineStr">
        <is>
          <t>WA30 S358c 2000</t>
        </is>
      </c>
      <c r="E34" t="inlineStr">
        <is>
          <t>0                      WA 0030000S  358c        2000</t>
        </is>
      </c>
      <c r="F34" t="inlineStr">
        <is>
          <t>Children's environmental health : reducing risk in a dangerous world / Dona Schneider and Natalie Freeman.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Schneider, Dona, 1946-</t>
        </is>
      </c>
      <c r="N34" t="inlineStr">
        <is>
          <t>Washington, DC : American Public Health Association, 2000.</t>
        </is>
      </c>
      <c r="O34" t="inlineStr">
        <is>
          <t>2000</t>
        </is>
      </c>
      <c r="Q34" t="inlineStr">
        <is>
          <t>eng</t>
        </is>
      </c>
      <c r="R34" t="inlineStr">
        <is>
          <t>dcu</t>
        </is>
      </c>
      <c r="T34" t="inlineStr">
        <is>
          <t xml:space="preserve">WA </t>
        </is>
      </c>
      <c r="U34" t="n">
        <v>0</v>
      </c>
      <c r="V34" t="n">
        <v>0</v>
      </c>
      <c r="W34" t="inlineStr">
        <is>
          <t>2002-10-17</t>
        </is>
      </c>
      <c r="X34" t="inlineStr">
        <is>
          <t>2002-10-17</t>
        </is>
      </c>
      <c r="Y34" t="inlineStr">
        <is>
          <t>2002-07-02</t>
        </is>
      </c>
      <c r="Z34" t="inlineStr">
        <is>
          <t>2002-07-02</t>
        </is>
      </c>
      <c r="AA34" t="n">
        <v>229</v>
      </c>
      <c r="AB34" t="n">
        <v>208</v>
      </c>
      <c r="AC34" t="n">
        <v>215</v>
      </c>
      <c r="AD34" t="n">
        <v>2</v>
      </c>
      <c r="AE34" t="n">
        <v>2</v>
      </c>
      <c r="AF34" t="n">
        <v>9</v>
      </c>
      <c r="AG34" t="n">
        <v>9</v>
      </c>
      <c r="AH34" t="n">
        <v>3</v>
      </c>
      <c r="AI34" t="n">
        <v>3</v>
      </c>
      <c r="AJ34" t="n">
        <v>1</v>
      </c>
      <c r="AK34" t="n">
        <v>1</v>
      </c>
      <c r="AL34" t="n">
        <v>5</v>
      </c>
      <c r="AM34" t="n">
        <v>5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HYPERLINK("https://creighton-primo.hosted.exlibrisgroup.com/primo-explore/search?tab=default_tab&amp;search_scope=EVERYTHING&amp;vid=01CRU&amp;lang=en_US&amp;offset=0&amp;query=any,contains,991000320979702656","Catalog Record")</f>
        <v/>
      </c>
      <c r="AV34">
        <f>HYPERLINK("http://www.worldcat.org/oclc/45673731","WorldCat Record")</f>
        <v/>
      </c>
      <c r="AW34" t="inlineStr">
        <is>
          <t>26310:eng</t>
        </is>
      </c>
      <c r="AX34" t="inlineStr">
        <is>
          <t>45673731</t>
        </is>
      </c>
      <c r="AY34" t="inlineStr">
        <is>
          <t>991000320979702656</t>
        </is>
      </c>
      <c r="AZ34" t="inlineStr">
        <is>
          <t>991000320979702656</t>
        </is>
      </c>
      <c r="BA34" t="inlineStr">
        <is>
          <t>2268076020002656</t>
        </is>
      </c>
      <c r="BB34" t="inlineStr">
        <is>
          <t>BOOK</t>
        </is>
      </c>
      <c r="BD34" t="inlineStr">
        <is>
          <t>9780875532417</t>
        </is>
      </c>
      <c r="BE34" t="inlineStr">
        <is>
          <t>30001004442556</t>
        </is>
      </c>
      <c r="BF34" t="inlineStr">
        <is>
          <t>893728272</t>
        </is>
      </c>
    </row>
    <row r="35">
      <c r="A35" t="inlineStr">
        <is>
          <t>No</t>
        </is>
      </c>
      <c r="B35" t="inlineStr">
        <is>
          <t>CUHSL</t>
        </is>
      </c>
      <c r="C35" t="inlineStr">
        <is>
          <t>SHELVES</t>
        </is>
      </c>
      <c r="D35" t="inlineStr">
        <is>
          <t>WA 30 S741c 1979</t>
        </is>
      </c>
      <c r="E35" t="inlineStr">
        <is>
          <t>0                      WA 0030000S  741c        1979</t>
        </is>
      </c>
      <c r="F35" t="inlineStr">
        <is>
          <t>Cultural diversity in health and illness / Rachel E. Spector ; with contributions by Manuel Spector, Irving Kenneth Zola.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Yes</t>
        </is>
      </c>
      <c r="L35" t="inlineStr">
        <is>
          <t>1</t>
        </is>
      </c>
      <c r="M35" t="inlineStr">
        <is>
          <t>Spector, Rachel E., 1940-</t>
        </is>
      </c>
      <c r="N35" t="inlineStr">
        <is>
          <t>New York : Appleton-Century-Crofts, c1979.</t>
        </is>
      </c>
      <c r="O35" t="inlineStr">
        <is>
          <t>1979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WA </t>
        </is>
      </c>
      <c r="U35" t="n">
        <v>5</v>
      </c>
      <c r="V35" t="n">
        <v>5</v>
      </c>
      <c r="W35" t="inlineStr">
        <is>
          <t>1990-11-02</t>
        </is>
      </c>
      <c r="X35" t="inlineStr">
        <is>
          <t>1990-11-02</t>
        </is>
      </c>
      <c r="Y35" t="inlineStr">
        <is>
          <t>1987-12-31</t>
        </is>
      </c>
      <c r="Z35" t="inlineStr">
        <is>
          <t>1987-12-31</t>
        </is>
      </c>
      <c r="AA35" t="n">
        <v>327</v>
      </c>
      <c r="AB35" t="n">
        <v>280</v>
      </c>
      <c r="AC35" t="n">
        <v>1836</v>
      </c>
      <c r="AD35" t="n">
        <v>1</v>
      </c>
      <c r="AE35" t="n">
        <v>9</v>
      </c>
      <c r="AF35" t="n">
        <v>7</v>
      </c>
      <c r="AG35" t="n">
        <v>52</v>
      </c>
      <c r="AH35" t="n">
        <v>1</v>
      </c>
      <c r="AI35" t="n">
        <v>22</v>
      </c>
      <c r="AJ35" t="n">
        <v>2</v>
      </c>
      <c r="AK35" t="n">
        <v>8</v>
      </c>
      <c r="AL35" t="n">
        <v>6</v>
      </c>
      <c r="AM35" t="n">
        <v>23</v>
      </c>
      <c r="AN35" t="n">
        <v>0</v>
      </c>
      <c r="AO35" t="n">
        <v>8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HYPERLINK("http://catalog.hathitrust.org/Record/000266321","HathiTrust Record")</f>
        <v/>
      </c>
      <c r="AU35">
        <f>HYPERLINK("https://creighton-primo.hosted.exlibrisgroup.com/primo-explore/search?tab=default_tab&amp;search_scope=EVERYTHING&amp;vid=01CRU&amp;lang=en_US&amp;offset=0&amp;query=any,contains,991001545339702656","Catalog Record")</f>
        <v/>
      </c>
      <c r="AV35">
        <f>HYPERLINK("http://www.worldcat.org/oclc/4776850","WorldCat Record")</f>
        <v/>
      </c>
      <c r="AW35" t="inlineStr">
        <is>
          <t>4783924010:eng</t>
        </is>
      </c>
      <c r="AX35" t="inlineStr">
        <is>
          <t>4776850</t>
        </is>
      </c>
      <c r="AY35" t="inlineStr">
        <is>
          <t>991001545339702656</t>
        </is>
      </c>
      <c r="AZ35" t="inlineStr">
        <is>
          <t>991001545339702656</t>
        </is>
      </c>
      <c r="BA35" t="inlineStr">
        <is>
          <t>2254912940002656</t>
        </is>
      </c>
      <c r="BB35" t="inlineStr">
        <is>
          <t>BOOK</t>
        </is>
      </c>
      <c r="BD35" t="inlineStr">
        <is>
          <t>9780838513941</t>
        </is>
      </c>
      <c r="BE35" t="inlineStr">
        <is>
          <t>30001000637597</t>
        </is>
      </c>
      <c r="BF35" t="inlineStr">
        <is>
          <t>893633182</t>
        </is>
      </c>
    </row>
    <row r="36">
      <c r="A36" t="inlineStr">
        <is>
          <t>No</t>
        </is>
      </c>
      <c r="B36" t="inlineStr">
        <is>
          <t>CUHSL</t>
        </is>
      </c>
      <c r="C36" t="inlineStr">
        <is>
          <t>SHELVES</t>
        </is>
      </c>
      <c r="D36" t="inlineStr">
        <is>
          <t>WA 30 S741c 1985</t>
        </is>
      </c>
      <c r="E36" t="inlineStr">
        <is>
          <t>0                      WA 0030000S  741c        1985</t>
        </is>
      </c>
      <c r="F36" t="inlineStr">
        <is>
          <t>Cultural diversity in health and illness / Rachel E. Spector.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1</t>
        </is>
      </c>
      <c r="M36" t="inlineStr">
        <is>
          <t>Spector, Rachel E., 1940-</t>
        </is>
      </c>
      <c r="N36" t="inlineStr">
        <is>
          <t>Norwalk [Conn.] : Appleton-Century-Crofts, c1985.</t>
        </is>
      </c>
      <c r="O36" t="inlineStr">
        <is>
          <t>1985</t>
        </is>
      </c>
      <c r="Q36" t="inlineStr">
        <is>
          <t>eng</t>
        </is>
      </c>
      <c r="R36" t="inlineStr">
        <is>
          <t>xxu</t>
        </is>
      </c>
      <c r="T36" t="inlineStr">
        <is>
          <t xml:space="preserve">WA </t>
        </is>
      </c>
      <c r="U36" t="n">
        <v>11</v>
      </c>
      <c r="V36" t="n">
        <v>11</v>
      </c>
      <c r="W36" t="inlineStr">
        <is>
          <t>2000-02-19</t>
        </is>
      </c>
      <c r="X36" t="inlineStr">
        <is>
          <t>2000-02-19</t>
        </is>
      </c>
      <c r="Y36" t="inlineStr">
        <is>
          <t>1987-10-05</t>
        </is>
      </c>
      <c r="Z36" t="inlineStr">
        <is>
          <t>1987-10-05</t>
        </is>
      </c>
      <c r="AA36" t="n">
        <v>277</v>
      </c>
      <c r="AB36" t="n">
        <v>232</v>
      </c>
      <c r="AC36" t="n">
        <v>1836</v>
      </c>
      <c r="AD36" t="n">
        <v>2</v>
      </c>
      <c r="AE36" t="n">
        <v>9</v>
      </c>
      <c r="AF36" t="n">
        <v>11</v>
      </c>
      <c r="AG36" t="n">
        <v>52</v>
      </c>
      <c r="AH36" t="n">
        <v>4</v>
      </c>
      <c r="AI36" t="n">
        <v>22</v>
      </c>
      <c r="AJ36" t="n">
        <v>2</v>
      </c>
      <c r="AK36" t="n">
        <v>8</v>
      </c>
      <c r="AL36" t="n">
        <v>7</v>
      </c>
      <c r="AM36" t="n">
        <v>23</v>
      </c>
      <c r="AN36" t="n">
        <v>1</v>
      </c>
      <c r="AO36" t="n">
        <v>8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HYPERLINK("http://catalog.hathitrust.org/Record/000475394","HathiTrust Record")</f>
        <v/>
      </c>
      <c r="AU36">
        <f>HYPERLINK("https://creighton-primo.hosted.exlibrisgroup.com/primo-explore/search?tab=default_tab&amp;search_scope=EVERYTHING&amp;vid=01CRU&amp;lang=en_US&amp;offset=0&amp;query=any,contains,991000753889702656","Catalog Record")</f>
        <v/>
      </c>
      <c r="AV36">
        <f>HYPERLINK("http://www.worldcat.org/oclc/12162610","WorldCat Record")</f>
        <v/>
      </c>
      <c r="AW36" t="inlineStr">
        <is>
          <t>4783924010:eng</t>
        </is>
      </c>
      <c r="AX36" t="inlineStr">
        <is>
          <t>12162610</t>
        </is>
      </c>
      <c r="AY36" t="inlineStr">
        <is>
          <t>991000753889702656</t>
        </is>
      </c>
      <c r="AZ36" t="inlineStr">
        <is>
          <t>991000753889702656</t>
        </is>
      </c>
      <c r="BA36" t="inlineStr">
        <is>
          <t>2258418700002656</t>
        </is>
      </c>
      <c r="BB36" t="inlineStr">
        <is>
          <t>BOOK</t>
        </is>
      </c>
      <c r="BD36" t="inlineStr">
        <is>
          <t>9780838513958</t>
        </is>
      </c>
      <c r="BE36" t="inlineStr">
        <is>
          <t>30001000051898</t>
        </is>
      </c>
      <c r="BF36" t="inlineStr">
        <is>
          <t>893560526</t>
        </is>
      </c>
    </row>
    <row r="37">
      <c r="A37" t="inlineStr">
        <is>
          <t>No</t>
        </is>
      </c>
      <c r="B37" t="inlineStr">
        <is>
          <t>CUHSL</t>
        </is>
      </c>
      <c r="C37" t="inlineStr">
        <is>
          <t>SHELVES</t>
        </is>
      </c>
      <c r="D37" t="inlineStr">
        <is>
          <t>WA 30 S741c 1991</t>
        </is>
      </c>
      <c r="E37" t="inlineStr">
        <is>
          <t>0                      WA 0030000S  741c        1991</t>
        </is>
      </c>
      <c r="F37" t="inlineStr">
        <is>
          <t>Cultural diversity in health and illness / Rachel E. Spector.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Yes</t>
        </is>
      </c>
      <c r="L37" t="inlineStr">
        <is>
          <t>1</t>
        </is>
      </c>
      <c r="M37" t="inlineStr">
        <is>
          <t>Spector, Rachel E., 1940-</t>
        </is>
      </c>
      <c r="N37" t="inlineStr">
        <is>
          <t>Norwalk, Conn. : Appleton &amp; Lange, c1991.</t>
        </is>
      </c>
      <c r="O37" t="inlineStr">
        <is>
          <t>1991</t>
        </is>
      </c>
      <c r="P37" t="inlineStr">
        <is>
          <t>3rd ed.</t>
        </is>
      </c>
      <c r="Q37" t="inlineStr">
        <is>
          <t>eng</t>
        </is>
      </c>
      <c r="R37" t="inlineStr">
        <is>
          <t>ctu</t>
        </is>
      </c>
      <c r="T37" t="inlineStr">
        <is>
          <t xml:space="preserve">WA </t>
        </is>
      </c>
      <c r="U37" t="n">
        <v>20</v>
      </c>
      <c r="V37" t="n">
        <v>20</v>
      </c>
      <c r="W37" t="inlineStr">
        <is>
          <t>2001-01-27</t>
        </is>
      </c>
      <c r="X37" t="inlineStr">
        <is>
          <t>2001-01-27</t>
        </is>
      </c>
      <c r="Y37" t="inlineStr">
        <is>
          <t>1993-03-26</t>
        </is>
      </c>
      <c r="Z37" t="inlineStr">
        <is>
          <t>1993-03-26</t>
        </is>
      </c>
      <c r="AA37" t="n">
        <v>425</v>
      </c>
      <c r="AB37" t="n">
        <v>354</v>
      </c>
      <c r="AC37" t="n">
        <v>1836</v>
      </c>
      <c r="AD37" t="n">
        <v>1</v>
      </c>
      <c r="AE37" t="n">
        <v>9</v>
      </c>
      <c r="AF37" t="n">
        <v>9</v>
      </c>
      <c r="AG37" t="n">
        <v>52</v>
      </c>
      <c r="AH37" t="n">
        <v>3</v>
      </c>
      <c r="AI37" t="n">
        <v>22</v>
      </c>
      <c r="AJ37" t="n">
        <v>3</v>
      </c>
      <c r="AK37" t="n">
        <v>8</v>
      </c>
      <c r="AL37" t="n">
        <v>6</v>
      </c>
      <c r="AM37" t="n">
        <v>23</v>
      </c>
      <c r="AN37" t="n">
        <v>0</v>
      </c>
      <c r="AO37" t="n">
        <v>8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HYPERLINK("http://catalog.hathitrust.org/Record/002471589","HathiTrust Record")</f>
        <v/>
      </c>
      <c r="AU37">
        <f>HYPERLINK("https://creighton-primo.hosted.exlibrisgroup.com/primo-explore/search?tab=default_tab&amp;search_scope=EVERYTHING&amp;vid=01CRU&amp;lang=en_US&amp;offset=0&amp;query=any,contains,991001476819702656","Catalog Record")</f>
        <v/>
      </c>
      <c r="AV37">
        <f>HYPERLINK("http://www.worldcat.org/oclc/23254640","WorldCat Record")</f>
        <v/>
      </c>
      <c r="AW37" t="inlineStr">
        <is>
          <t>4783924010:eng</t>
        </is>
      </c>
      <c r="AX37" t="inlineStr">
        <is>
          <t>23254640</t>
        </is>
      </c>
      <c r="AY37" t="inlineStr">
        <is>
          <t>991001476819702656</t>
        </is>
      </c>
      <c r="AZ37" t="inlineStr">
        <is>
          <t>991001476819702656</t>
        </is>
      </c>
      <c r="BA37" t="inlineStr">
        <is>
          <t>2268591320002656</t>
        </is>
      </c>
      <c r="BB37" t="inlineStr">
        <is>
          <t>BOOK</t>
        </is>
      </c>
      <c r="BD37" t="inlineStr">
        <is>
          <t>9780838513965</t>
        </is>
      </c>
      <c r="BE37" t="inlineStr">
        <is>
          <t>30001002563577</t>
        </is>
      </c>
      <c r="BF37" t="inlineStr">
        <is>
          <t>893638345</t>
        </is>
      </c>
    </row>
    <row r="38">
      <c r="A38" t="inlineStr">
        <is>
          <t>No</t>
        </is>
      </c>
      <c r="B38" t="inlineStr">
        <is>
          <t>CUHSL</t>
        </is>
      </c>
      <c r="C38" t="inlineStr">
        <is>
          <t>SHELVES</t>
        </is>
      </c>
      <c r="D38" t="inlineStr">
        <is>
          <t>WA 30 S741c 1996</t>
        </is>
      </c>
      <c r="E38" t="inlineStr">
        <is>
          <t>0                      WA 0030000S  741c        1996</t>
        </is>
      </c>
      <c r="F38" t="inlineStr">
        <is>
          <t>Cultural diversity in health and illness / Rachel E. Spector.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Yes</t>
        </is>
      </c>
      <c r="L38" t="inlineStr">
        <is>
          <t>1</t>
        </is>
      </c>
      <c r="M38" t="inlineStr">
        <is>
          <t>Spector, Rachel E., 1940-</t>
        </is>
      </c>
      <c r="N38" t="inlineStr">
        <is>
          <t>Stamford, CT : Appleton &amp; Lange, c1996.</t>
        </is>
      </c>
      <c r="O38" t="inlineStr">
        <is>
          <t>1996</t>
        </is>
      </c>
      <c r="P38" t="inlineStr">
        <is>
          <t>4th ed.</t>
        </is>
      </c>
      <c r="Q38" t="inlineStr">
        <is>
          <t>eng</t>
        </is>
      </c>
      <c r="R38" t="inlineStr">
        <is>
          <t>ctu</t>
        </is>
      </c>
      <c r="T38" t="inlineStr">
        <is>
          <t xml:space="preserve">WA </t>
        </is>
      </c>
      <c r="U38" t="n">
        <v>16</v>
      </c>
      <c r="V38" t="n">
        <v>16</v>
      </c>
      <c r="W38" t="inlineStr">
        <is>
          <t>2002-09-24</t>
        </is>
      </c>
      <c r="X38" t="inlineStr">
        <is>
          <t>2002-09-24</t>
        </is>
      </c>
      <c r="Y38" t="inlineStr">
        <is>
          <t>1996-03-27</t>
        </is>
      </c>
      <c r="Z38" t="inlineStr">
        <is>
          <t>1996-03-27</t>
        </is>
      </c>
      <c r="AA38" t="n">
        <v>486</v>
      </c>
      <c r="AB38" t="n">
        <v>415</v>
      </c>
      <c r="AC38" t="n">
        <v>1836</v>
      </c>
      <c r="AD38" t="n">
        <v>1</v>
      </c>
      <c r="AE38" t="n">
        <v>9</v>
      </c>
      <c r="AF38" t="n">
        <v>13</v>
      </c>
      <c r="AG38" t="n">
        <v>52</v>
      </c>
      <c r="AH38" t="n">
        <v>8</v>
      </c>
      <c r="AI38" t="n">
        <v>22</v>
      </c>
      <c r="AJ38" t="n">
        <v>2</v>
      </c>
      <c r="AK38" t="n">
        <v>8</v>
      </c>
      <c r="AL38" t="n">
        <v>8</v>
      </c>
      <c r="AM38" t="n">
        <v>23</v>
      </c>
      <c r="AN38" t="n">
        <v>0</v>
      </c>
      <c r="AO38" t="n">
        <v>8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HYPERLINK("http://catalog.hathitrust.org/Record/003077666","HathiTrust Record")</f>
        <v/>
      </c>
      <c r="AU38">
        <f>HYPERLINK("https://creighton-primo.hosted.exlibrisgroup.com/primo-explore/search?tab=default_tab&amp;search_scope=EVERYTHING&amp;vid=01CRU&amp;lang=en_US&amp;offset=0&amp;query=any,contains,991001505399702656","Catalog Record")</f>
        <v/>
      </c>
      <c r="AV38">
        <f>HYPERLINK("http://www.worldcat.org/oclc/33246962","WorldCat Record")</f>
        <v/>
      </c>
      <c r="AW38" t="inlineStr">
        <is>
          <t>4783924010:eng</t>
        </is>
      </c>
      <c r="AX38" t="inlineStr">
        <is>
          <t>33246962</t>
        </is>
      </c>
      <c r="AY38" t="inlineStr">
        <is>
          <t>991001505399702656</t>
        </is>
      </c>
      <c r="AZ38" t="inlineStr">
        <is>
          <t>991001505399702656</t>
        </is>
      </c>
      <c r="BA38" t="inlineStr">
        <is>
          <t>2259416160002656</t>
        </is>
      </c>
      <c r="BB38" t="inlineStr">
        <is>
          <t>BOOK</t>
        </is>
      </c>
      <c r="BD38" t="inlineStr">
        <is>
          <t>9780838513972</t>
        </is>
      </c>
      <c r="BE38" t="inlineStr">
        <is>
          <t>30001003264183</t>
        </is>
      </c>
      <c r="BF38" t="inlineStr">
        <is>
          <t>893374664</t>
        </is>
      </c>
    </row>
    <row r="39">
      <c r="A39" t="inlineStr">
        <is>
          <t>No</t>
        </is>
      </c>
      <c r="B39" t="inlineStr">
        <is>
          <t>CUHSL</t>
        </is>
      </c>
      <c r="C39" t="inlineStr">
        <is>
          <t>SHELVES</t>
        </is>
      </c>
      <c r="D39" t="inlineStr">
        <is>
          <t>WA 30 S741cc 2000</t>
        </is>
      </c>
      <c r="E39" t="inlineStr">
        <is>
          <t>0                      WA 0030000S  741cc       2000</t>
        </is>
      </c>
      <c r="F39" t="inlineStr">
        <is>
          <t>Cultural care : guides to heritage assessment and health traditions / Rachel E. Spector.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Spector, Rachel E., 1940-</t>
        </is>
      </c>
      <c r="N39" t="inlineStr">
        <is>
          <t>Upper Saddle River, N.J. : Prentice Hall Health, c2000.</t>
        </is>
      </c>
      <c r="O39" t="inlineStr">
        <is>
          <t>2000</t>
        </is>
      </c>
      <c r="Q39" t="inlineStr">
        <is>
          <t>eng</t>
        </is>
      </c>
      <c r="R39" t="inlineStr">
        <is>
          <t>nju</t>
        </is>
      </c>
      <c r="T39" t="inlineStr">
        <is>
          <t xml:space="preserve">WA </t>
        </is>
      </c>
      <c r="U39" t="n">
        <v>2</v>
      </c>
      <c r="V39" t="n">
        <v>2</v>
      </c>
      <c r="W39" t="inlineStr">
        <is>
          <t>2001-08-31</t>
        </is>
      </c>
      <c r="X39" t="inlineStr">
        <is>
          <t>2001-08-31</t>
        </is>
      </c>
      <c r="Y39" t="inlineStr">
        <is>
          <t>2000-03-20</t>
        </is>
      </c>
      <c r="Z39" t="inlineStr">
        <is>
          <t>2000-03-20</t>
        </is>
      </c>
      <c r="AA39" t="n">
        <v>478</v>
      </c>
      <c r="AB39" t="n">
        <v>434</v>
      </c>
      <c r="AC39" t="n">
        <v>445</v>
      </c>
      <c r="AD39" t="n">
        <v>2</v>
      </c>
      <c r="AE39" t="n">
        <v>2</v>
      </c>
      <c r="AF39" t="n">
        <v>16</v>
      </c>
      <c r="AG39" t="n">
        <v>16</v>
      </c>
      <c r="AH39" t="n">
        <v>7</v>
      </c>
      <c r="AI39" t="n">
        <v>7</v>
      </c>
      <c r="AJ39" t="n">
        <v>1</v>
      </c>
      <c r="AK39" t="n">
        <v>1</v>
      </c>
      <c r="AL39" t="n">
        <v>9</v>
      </c>
      <c r="AM39" t="n">
        <v>9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HYPERLINK("https://creighton-primo.hosted.exlibrisgroup.com/primo-explore/search?tab=default_tab&amp;search_scope=EVERYTHING&amp;vid=01CRU&amp;lang=en_US&amp;offset=0&amp;query=any,contains,991001406569702656","Catalog Record")</f>
        <v/>
      </c>
      <c r="AV39">
        <f>HYPERLINK("http://www.worldcat.org/oclc/43383790","WorldCat Record")</f>
        <v/>
      </c>
      <c r="AW39" t="inlineStr">
        <is>
          <t>1864318810:eng</t>
        </is>
      </c>
      <c r="AX39" t="inlineStr">
        <is>
          <t>43383790</t>
        </is>
      </c>
      <c r="AY39" t="inlineStr">
        <is>
          <t>991001406569702656</t>
        </is>
      </c>
      <c r="AZ39" t="inlineStr">
        <is>
          <t>991001406569702656</t>
        </is>
      </c>
      <c r="BA39" t="inlineStr">
        <is>
          <t>2260829170002656</t>
        </is>
      </c>
      <c r="BB39" t="inlineStr">
        <is>
          <t>BOOK</t>
        </is>
      </c>
      <c r="BD39" t="inlineStr">
        <is>
          <t>9780130877369</t>
        </is>
      </c>
      <c r="BE39" t="inlineStr">
        <is>
          <t>30001003820737</t>
        </is>
      </c>
      <c r="BF39" t="inlineStr">
        <is>
          <t>893546675</t>
        </is>
      </c>
    </row>
    <row r="40">
      <c r="A40" t="inlineStr">
        <is>
          <t>No</t>
        </is>
      </c>
      <c r="B40" t="inlineStr">
        <is>
          <t>CUHSL</t>
        </is>
      </c>
      <c r="C40" t="inlineStr">
        <is>
          <t>SHELVES</t>
        </is>
      </c>
      <c r="D40" t="inlineStr">
        <is>
          <t>WA 30.5 A5512p 2003</t>
        </is>
      </c>
      <c r="E40" t="inlineStr">
        <is>
          <t>0                      WA 0030500A  5512p       2003</t>
        </is>
      </c>
      <c r="F40" t="inlineStr">
        <is>
          <t>Pediatric environmental health / author, Committee on Environmental Health, American Academy of Pediatrics ; Ruth, A. Etzel, editor ; Sophie J. Balk, associate editor.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1</t>
        </is>
      </c>
      <c r="M40" t="inlineStr">
        <is>
          <t>American Academy of Pediatrics. Committee on Environmental Health.</t>
        </is>
      </c>
      <c r="N40" t="inlineStr">
        <is>
          <t>Washington, D.C. : American Academy of Pediatrics ; London : BMJ, 2003.</t>
        </is>
      </c>
      <c r="O40" t="inlineStr">
        <is>
          <t>2003</t>
        </is>
      </c>
      <c r="P40" t="inlineStr">
        <is>
          <t>2nd ed.</t>
        </is>
      </c>
      <c r="Q40" t="inlineStr">
        <is>
          <t>eng</t>
        </is>
      </c>
      <c r="R40" t="inlineStr">
        <is>
          <t>dcu</t>
        </is>
      </c>
      <c r="T40" t="inlineStr">
        <is>
          <t xml:space="preserve">WA </t>
        </is>
      </c>
      <c r="U40" t="n">
        <v>0</v>
      </c>
      <c r="V40" t="n">
        <v>0</v>
      </c>
      <c r="W40" t="inlineStr">
        <is>
          <t>2004-05-19</t>
        </is>
      </c>
      <c r="X40" t="inlineStr">
        <is>
          <t>2004-05-19</t>
        </is>
      </c>
      <c r="Y40" t="inlineStr">
        <is>
          <t>2004-05-19</t>
        </is>
      </c>
      <c r="Z40" t="inlineStr">
        <is>
          <t>2004-05-19</t>
        </is>
      </c>
      <c r="AA40" t="n">
        <v>157</v>
      </c>
      <c r="AB40" t="n">
        <v>130</v>
      </c>
      <c r="AC40" t="n">
        <v>983</v>
      </c>
      <c r="AD40" t="n">
        <v>1</v>
      </c>
      <c r="AE40" t="n">
        <v>15</v>
      </c>
      <c r="AF40" t="n">
        <v>5</v>
      </c>
      <c r="AG40" t="n">
        <v>37</v>
      </c>
      <c r="AH40" t="n">
        <v>1</v>
      </c>
      <c r="AI40" t="n">
        <v>10</v>
      </c>
      <c r="AJ40" t="n">
        <v>1</v>
      </c>
      <c r="AK40" t="n">
        <v>8</v>
      </c>
      <c r="AL40" t="n">
        <v>2</v>
      </c>
      <c r="AM40" t="n">
        <v>9</v>
      </c>
      <c r="AN40" t="n">
        <v>0</v>
      </c>
      <c r="AO40" t="n">
        <v>13</v>
      </c>
      <c r="AP40" t="n">
        <v>1</v>
      </c>
      <c r="AQ40" t="n">
        <v>2</v>
      </c>
      <c r="AR40" t="inlineStr">
        <is>
          <t>No</t>
        </is>
      </c>
      <c r="AS40" t="inlineStr">
        <is>
          <t>Yes</t>
        </is>
      </c>
      <c r="AT40">
        <f>HYPERLINK("http://catalog.hathitrust.org/Record/004370063","HathiTrust Record")</f>
        <v/>
      </c>
      <c r="AU40">
        <f>HYPERLINK("https://creighton-primo.hosted.exlibrisgroup.com/primo-explore/search?tab=default_tab&amp;search_scope=EVERYTHING&amp;vid=01CRU&amp;lang=en_US&amp;offset=0&amp;query=any,contains,991000370169702656","Catalog Record")</f>
        <v/>
      </c>
      <c r="AV40">
        <f>HYPERLINK("http://www.worldcat.org/oclc/55037551","WorldCat Record")</f>
        <v/>
      </c>
      <c r="AW40" t="inlineStr">
        <is>
          <t>364508199:eng</t>
        </is>
      </c>
      <c r="AX40" t="inlineStr">
        <is>
          <t>55037551</t>
        </is>
      </c>
      <c r="AY40" t="inlineStr">
        <is>
          <t>991000370169702656</t>
        </is>
      </c>
      <c r="AZ40" t="inlineStr">
        <is>
          <t>991000370169702656</t>
        </is>
      </c>
      <c r="BA40" t="inlineStr">
        <is>
          <t>2270070800002656</t>
        </is>
      </c>
      <c r="BB40" t="inlineStr">
        <is>
          <t>BOOK</t>
        </is>
      </c>
      <c r="BD40" t="inlineStr">
        <is>
          <t>9781581101119</t>
        </is>
      </c>
      <c r="BE40" t="inlineStr">
        <is>
          <t>30001004218725</t>
        </is>
      </c>
      <c r="BF40" t="inlineStr">
        <is>
          <t>893822101</t>
        </is>
      </c>
    </row>
    <row r="41">
      <c r="A41" t="inlineStr">
        <is>
          <t>No</t>
        </is>
      </c>
      <c r="B41" t="inlineStr">
        <is>
          <t>CUHSL</t>
        </is>
      </c>
      <c r="C41" t="inlineStr">
        <is>
          <t>SHELVES</t>
        </is>
      </c>
      <c r="D41" t="inlineStr">
        <is>
          <t>WA 30.5 B615 2002</t>
        </is>
      </c>
      <c r="E41" t="inlineStr">
        <is>
          <t>0                      WA 0030500B  615         2002</t>
        </is>
      </c>
      <c r="F41" t="inlineStr">
        <is>
          <t>Biomarkers of environmentally associated disease : technologies, concepts, and perspectives / [edited by] Samuel H. Wilson, William A. Suk.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Boca Raton : Lewis Publishers, c2002.</t>
        </is>
      </c>
      <c r="O41" t="inlineStr">
        <is>
          <t>2002</t>
        </is>
      </c>
      <c r="Q41" t="inlineStr">
        <is>
          <t>eng</t>
        </is>
      </c>
      <c r="R41" t="inlineStr">
        <is>
          <t>flu</t>
        </is>
      </c>
      <c r="T41" t="inlineStr">
        <is>
          <t xml:space="preserve">WA </t>
        </is>
      </c>
      <c r="U41" t="n">
        <v>0</v>
      </c>
      <c r="V41" t="n">
        <v>0</v>
      </c>
      <c r="W41" t="inlineStr">
        <is>
          <t>2004-09-24</t>
        </is>
      </c>
      <c r="X41" t="inlineStr">
        <is>
          <t>2004-09-24</t>
        </is>
      </c>
      <c r="Y41" t="inlineStr">
        <is>
          <t>2004-09-22</t>
        </is>
      </c>
      <c r="Z41" t="inlineStr">
        <is>
          <t>2004-09-22</t>
        </is>
      </c>
      <c r="AA41" t="n">
        <v>134</v>
      </c>
      <c r="AB41" t="n">
        <v>82</v>
      </c>
      <c r="AC41" t="n">
        <v>133</v>
      </c>
      <c r="AD41" t="n">
        <v>2</v>
      </c>
      <c r="AE41" t="n">
        <v>2</v>
      </c>
      <c r="AF41" t="n">
        <v>3</v>
      </c>
      <c r="AG41" t="n">
        <v>3</v>
      </c>
      <c r="AH41" t="n">
        <v>0</v>
      </c>
      <c r="AI41" t="n">
        <v>0</v>
      </c>
      <c r="AJ41" t="n">
        <v>1</v>
      </c>
      <c r="AK41" t="n">
        <v>1</v>
      </c>
      <c r="AL41" t="n">
        <v>1</v>
      </c>
      <c r="AM41" t="n">
        <v>1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HYPERLINK("https://creighton-primo.hosted.exlibrisgroup.com/primo-explore/search?tab=default_tab&amp;search_scope=EVERYTHING&amp;vid=01CRU&amp;lang=en_US&amp;offset=0&amp;query=any,contains,991000393699702656","Catalog Record")</f>
        <v/>
      </c>
      <c r="AV41">
        <f>HYPERLINK("http://www.worldcat.org/oclc/48817698","WorldCat Record")</f>
        <v/>
      </c>
      <c r="AW41" t="inlineStr">
        <is>
          <t>801917272:eng</t>
        </is>
      </c>
      <c r="AX41" t="inlineStr">
        <is>
          <t>48817698</t>
        </is>
      </c>
      <c r="AY41" t="inlineStr">
        <is>
          <t>991000393699702656</t>
        </is>
      </c>
      <c r="AZ41" t="inlineStr">
        <is>
          <t>991000393699702656</t>
        </is>
      </c>
      <c r="BA41" t="inlineStr">
        <is>
          <t>2263141330002656</t>
        </is>
      </c>
      <c r="BB41" t="inlineStr">
        <is>
          <t>BOOK</t>
        </is>
      </c>
      <c r="BD41" t="inlineStr">
        <is>
          <t>9781566705967</t>
        </is>
      </c>
      <c r="BE41" t="inlineStr">
        <is>
          <t>30001004978302</t>
        </is>
      </c>
      <c r="BF41" t="inlineStr">
        <is>
          <t>893466239</t>
        </is>
      </c>
    </row>
    <row r="42">
      <c r="A42" t="inlineStr">
        <is>
          <t>No</t>
        </is>
      </c>
      <c r="B42" t="inlineStr">
        <is>
          <t>CUHSL</t>
        </is>
      </c>
      <c r="C42" t="inlineStr">
        <is>
          <t>SHELVES</t>
        </is>
      </c>
      <c r="D42" t="inlineStr">
        <is>
          <t>WA 31 A531h 1987</t>
        </is>
      </c>
      <c r="E42" t="inlineStr">
        <is>
          <t>0                      WA 0031000A  531h        1987</t>
        </is>
      </c>
      <c r="F42" t="inlineStr">
        <is>
          <t>A health practitioner's guide to the social and behavioral sciences / Michael V. Angrosino.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Angrosino, Michael V.</t>
        </is>
      </c>
      <c r="N42" t="inlineStr">
        <is>
          <t>Dover, Mass. : Auburn House, c1987.</t>
        </is>
      </c>
      <c r="O42" t="inlineStr">
        <is>
          <t>1987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WA </t>
        </is>
      </c>
      <c r="U42" t="n">
        <v>2</v>
      </c>
      <c r="V42" t="n">
        <v>2</v>
      </c>
      <c r="W42" t="inlineStr">
        <is>
          <t>1990-06-13</t>
        </is>
      </c>
      <c r="X42" t="inlineStr">
        <is>
          <t>1990-06-13</t>
        </is>
      </c>
      <c r="Y42" t="inlineStr">
        <is>
          <t>1990-05-23</t>
        </is>
      </c>
      <c r="Z42" t="inlineStr">
        <is>
          <t>1990-05-23</t>
        </is>
      </c>
      <c r="AA42" t="n">
        <v>217</v>
      </c>
      <c r="AB42" t="n">
        <v>182</v>
      </c>
      <c r="AC42" t="n">
        <v>184</v>
      </c>
      <c r="AD42" t="n">
        <v>1</v>
      </c>
      <c r="AE42" t="n">
        <v>1</v>
      </c>
      <c r="AF42" t="n">
        <v>6</v>
      </c>
      <c r="AG42" t="n">
        <v>6</v>
      </c>
      <c r="AH42" t="n">
        <v>2</v>
      </c>
      <c r="AI42" t="n">
        <v>2</v>
      </c>
      <c r="AJ42" t="n">
        <v>2</v>
      </c>
      <c r="AK42" t="n">
        <v>2</v>
      </c>
      <c r="AL42" t="n">
        <v>4</v>
      </c>
      <c r="AM42" t="n">
        <v>4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HYPERLINK("http://catalog.hathitrust.org/Record/000810021","HathiTrust Record")</f>
        <v/>
      </c>
      <c r="AU42">
        <f>HYPERLINK("https://creighton-primo.hosted.exlibrisgroup.com/primo-explore/search?tab=default_tab&amp;search_scope=EVERYTHING&amp;vid=01CRU&amp;lang=en_US&amp;offset=0&amp;query=any,contains,991001375759702656","Catalog Record")</f>
        <v/>
      </c>
      <c r="AV42">
        <f>HYPERLINK("http://www.worldcat.org/oclc/14214741","WorldCat Record")</f>
        <v/>
      </c>
      <c r="AW42" t="inlineStr">
        <is>
          <t>2846982:eng</t>
        </is>
      </c>
      <c r="AX42" t="inlineStr">
        <is>
          <t>14214741</t>
        </is>
      </c>
      <c r="AY42" t="inlineStr">
        <is>
          <t>991001375759702656</t>
        </is>
      </c>
      <c r="AZ42" t="inlineStr">
        <is>
          <t>991001375759702656</t>
        </is>
      </c>
      <c r="BA42" t="inlineStr">
        <is>
          <t>2268806310002656</t>
        </is>
      </c>
      <c r="BB42" t="inlineStr">
        <is>
          <t>BOOK</t>
        </is>
      </c>
      <c r="BE42" t="inlineStr">
        <is>
          <t>30001001798158</t>
        </is>
      </c>
      <c r="BF42" t="inlineStr">
        <is>
          <t>893374485</t>
        </is>
      </c>
    </row>
    <row r="43">
      <c r="A43" t="inlineStr">
        <is>
          <t>No</t>
        </is>
      </c>
      <c r="B43" t="inlineStr">
        <is>
          <t>CUHSL</t>
        </is>
      </c>
      <c r="C43" t="inlineStr">
        <is>
          <t>SHELVES</t>
        </is>
      </c>
      <c r="D43" t="inlineStr">
        <is>
          <t>WA 31 B628p 1991</t>
        </is>
      </c>
      <c r="E43" t="inlineStr">
        <is>
          <t>0                      WA 0031000B  628p        1991</t>
        </is>
      </c>
      <c r="F43" t="inlineStr">
        <is>
          <t>Poverty and health : working with families / Clare Blackburn.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Blackburn, Clare, 1957-</t>
        </is>
      </c>
      <c r="N43" t="inlineStr">
        <is>
          <t>Milton Keynes ; Philadelphia : Open University Press, c1991.</t>
        </is>
      </c>
      <c r="O43" t="inlineStr">
        <is>
          <t>1991</t>
        </is>
      </c>
      <c r="Q43" t="inlineStr">
        <is>
          <t>eng</t>
        </is>
      </c>
      <c r="R43" t="inlineStr">
        <is>
          <t>enk</t>
        </is>
      </c>
      <c r="T43" t="inlineStr">
        <is>
          <t xml:space="preserve">WA </t>
        </is>
      </c>
      <c r="U43" t="n">
        <v>8</v>
      </c>
      <c r="V43" t="n">
        <v>8</v>
      </c>
      <c r="W43" t="inlineStr">
        <is>
          <t>2000-04-16</t>
        </is>
      </c>
      <c r="X43" t="inlineStr">
        <is>
          <t>2000-04-16</t>
        </is>
      </c>
      <c r="Y43" t="inlineStr">
        <is>
          <t>1993-03-04</t>
        </is>
      </c>
      <c r="Z43" t="inlineStr">
        <is>
          <t>1993-03-04</t>
        </is>
      </c>
      <c r="AA43" t="n">
        <v>260</v>
      </c>
      <c r="AB43" t="n">
        <v>99</v>
      </c>
      <c r="AC43" t="n">
        <v>107</v>
      </c>
      <c r="AD43" t="n">
        <v>1</v>
      </c>
      <c r="AE43" t="n">
        <v>1</v>
      </c>
      <c r="AF43" t="n">
        <v>6</v>
      </c>
      <c r="AG43" t="n">
        <v>6</v>
      </c>
      <c r="AH43" t="n">
        <v>1</v>
      </c>
      <c r="AI43" t="n">
        <v>1</v>
      </c>
      <c r="AJ43" t="n">
        <v>5</v>
      </c>
      <c r="AK43" t="n">
        <v>5</v>
      </c>
      <c r="AL43" t="n">
        <v>3</v>
      </c>
      <c r="AM43" t="n">
        <v>3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HYPERLINK("http://catalog.hathitrust.org/Record/007987665","HathiTrust Record")</f>
        <v/>
      </c>
      <c r="AU43">
        <f>HYPERLINK("https://creighton-primo.hosted.exlibrisgroup.com/primo-explore/search?tab=default_tab&amp;search_scope=EVERYTHING&amp;vid=01CRU&amp;lang=en_US&amp;offset=0&amp;query=any,contains,991001432059702656","Catalog Record")</f>
        <v/>
      </c>
      <c r="AV43">
        <f>HYPERLINK("http://www.worldcat.org/oclc/23971319","WorldCat Record")</f>
        <v/>
      </c>
      <c r="AW43" t="inlineStr">
        <is>
          <t>25177903:eng</t>
        </is>
      </c>
      <c r="AX43" t="inlineStr">
        <is>
          <t>23971319</t>
        </is>
      </c>
      <c r="AY43" t="inlineStr">
        <is>
          <t>991001432059702656</t>
        </is>
      </c>
      <c r="AZ43" t="inlineStr">
        <is>
          <t>991001432059702656</t>
        </is>
      </c>
      <c r="BA43" t="inlineStr">
        <is>
          <t>2255042360002656</t>
        </is>
      </c>
      <c r="BB43" t="inlineStr">
        <is>
          <t>BOOK</t>
        </is>
      </c>
      <c r="BD43" t="inlineStr">
        <is>
          <t>9780335097340</t>
        </is>
      </c>
      <c r="BE43" t="inlineStr">
        <is>
          <t>30001002529719</t>
        </is>
      </c>
      <c r="BF43" t="inlineStr">
        <is>
          <t>893465519</t>
        </is>
      </c>
    </row>
    <row r="44">
      <c r="A44" t="inlineStr">
        <is>
          <t>No</t>
        </is>
      </c>
      <c r="B44" t="inlineStr">
        <is>
          <t>CUHSL</t>
        </is>
      </c>
      <c r="C44" t="inlineStr">
        <is>
          <t>SHELVES</t>
        </is>
      </c>
      <c r="D44" t="inlineStr">
        <is>
          <t>WA31 B7118c 2002</t>
        </is>
      </c>
      <c r="E44" t="inlineStr">
        <is>
          <t>0                      WA 0031000B  7118c       2002</t>
        </is>
      </c>
      <c r="F44" t="inlineStr">
        <is>
          <t>Culture in clinical care / Bette R. Bonder, Laura Martin, Andrew W. Miracle.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Bonder, Bette.</t>
        </is>
      </c>
      <c r="N44" t="inlineStr">
        <is>
          <t>Thorofare, NJ : Slack, c2002.</t>
        </is>
      </c>
      <c r="O44" t="inlineStr">
        <is>
          <t>2002</t>
        </is>
      </c>
      <c r="Q44" t="inlineStr">
        <is>
          <t>eng</t>
        </is>
      </c>
      <c r="R44" t="inlineStr">
        <is>
          <t>nju</t>
        </is>
      </c>
      <c r="T44" t="inlineStr">
        <is>
          <t xml:space="preserve">WA </t>
        </is>
      </c>
      <c r="U44" t="n">
        <v>10</v>
      </c>
      <c r="V44" t="n">
        <v>10</v>
      </c>
      <c r="W44" t="inlineStr">
        <is>
          <t>2008-04-08</t>
        </is>
      </c>
      <c r="X44" t="inlineStr">
        <is>
          <t>2008-04-08</t>
        </is>
      </c>
      <c r="Y44" t="inlineStr">
        <is>
          <t>2002-01-31</t>
        </is>
      </c>
      <c r="Z44" t="inlineStr">
        <is>
          <t>2002-01-31</t>
        </is>
      </c>
      <c r="AA44" t="n">
        <v>300</v>
      </c>
      <c r="AB44" t="n">
        <v>243</v>
      </c>
      <c r="AC44" t="n">
        <v>381</v>
      </c>
      <c r="AD44" t="n">
        <v>3</v>
      </c>
      <c r="AE44" t="n">
        <v>3</v>
      </c>
      <c r="AF44" t="n">
        <v>10</v>
      </c>
      <c r="AG44" t="n">
        <v>13</v>
      </c>
      <c r="AH44" t="n">
        <v>3</v>
      </c>
      <c r="AI44" t="n">
        <v>6</v>
      </c>
      <c r="AJ44" t="n">
        <v>3</v>
      </c>
      <c r="AK44" t="n">
        <v>3</v>
      </c>
      <c r="AL44" t="n">
        <v>5</v>
      </c>
      <c r="AM44" t="n">
        <v>5</v>
      </c>
      <c r="AN44" t="n">
        <v>2</v>
      </c>
      <c r="AO44" t="n">
        <v>2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HYPERLINK("http://catalog.hathitrust.org/Record/004220421","HathiTrust Record")</f>
        <v/>
      </c>
      <c r="AU44">
        <f>HYPERLINK("https://creighton-primo.hosted.exlibrisgroup.com/primo-explore/search?tab=default_tab&amp;search_scope=EVERYTHING&amp;vid=01CRU&amp;lang=en_US&amp;offset=0&amp;query=any,contains,991000304009702656","Catalog Record")</f>
        <v/>
      </c>
      <c r="AV44">
        <f>HYPERLINK("http://www.worldcat.org/oclc/47013229","WorldCat Record")</f>
        <v/>
      </c>
      <c r="AW44" t="inlineStr">
        <is>
          <t>35973302:eng</t>
        </is>
      </c>
      <c r="AX44" t="inlineStr">
        <is>
          <t>47013229</t>
        </is>
      </c>
      <c r="AY44" t="inlineStr">
        <is>
          <t>991000304009702656</t>
        </is>
      </c>
      <c r="AZ44" t="inlineStr">
        <is>
          <t>991000304009702656</t>
        </is>
      </c>
      <c r="BA44" t="inlineStr">
        <is>
          <t>2255028620002656</t>
        </is>
      </c>
      <c r="BB44" t="inlineStr">
        <is>
          <t>BOOK</t>
        </is>
      </c>
      <c r="BD44" t="inlineStr">
        <is>
          <t>9781556424595</t>
        </is>
      </c>
      <c r="BE44" t="inlineStr">
        <is>
          <t>30001004236552</t>
        </is>
      </c>
      <c r="BF44" t="inlineStr">
        <is>
          <t>893816928</t>
        </is>
      </c>
    </row>
    <row r="45">
      <c r="A45" t="inlineStr">
        <is>
          <t>No</t>
        </is>
      </c>
      <c r="B45" t="inlineStr">
        <is>
          <t>CUHSL</t>
        </is>
      </c>
      <c r="C45" t="inlineStr">
        <is>
          <t>SHELVES</t>
        </is>
      </c>
      <c r="D45" t="inlineStr">
        <is>
          <t>WA 31 C966 1978</t>
        </is>
      </c>
      <c r="E45" t="inlineStr">
        <is>
          <t>0                      WA 0031000C  966         1978</t>
        </is>
      </c>
      <c r="F45" t="inlineStr">
        <is>
          <t>The Cultural crisis of modern medicine / edited by John Ehrenreich.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New York : Monthly Review Press, c1978.</t>
        </is>
      </c>
      <c r="O45" t="inlineStr">
        <is>
          <t>1978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WA </t>
        </is>
      </c>
      <c r="U45" t="n">
        <v>7</v>
      </c>
      <c r="V45" t="n">
        <v>7</v>
      </c>
      <c r="W45" t="inlineStr">
        <is>
          <t>2000-03-13</t>
        </is>
      </c>
      <c r="X45" t="inlineStr">
        <is>
          <t>2000-03-13</t>
        </is>
      </c>
      <c r="Y45" t="inlineStr">
        <is>
          <t>1991-05-07</t>
        </is>
      </c>
      <c r="Z45" t="inlineStr">
        <is>
          <t>1991-05-07</t>
        </is>
      </c>
      <c r="AA45" t="n">
        <v>437</v>
      </c>
      <c r="AB45" t="n">
        <v>319</v>
      </c>
      <c r="AC45" t="n">
        <v>335</v>
      </c>
      <c r="AD45" t="n">
        <v>4</v>
      </c>
      <c r="AE45" t="n">
        <v>4</v>
      </c>
      <c r="AF45" t="n">
        <v>17</v>
      </c>
      <c r="AG45" t="n">
        <v>19</v>
      </c>
      <c r="AH45" t="n">
        <v>7</v>
      </c>
      <c r="AI45" t="n">
        <v>8</v>
      </c>
      <c r="AJ45" t="n">
        <v>3</v>
      </c>
      <c r="AK45" t="n">
        <v>4</v>
      </c>
      <c r="AL45" t="n">
        <v>7</v>
      </c>
      <c r="AM45" t="n">
        <v>7</v>
      </c>
      <c r="AN45" t="n">
        <v>3</v>
      </c>
      <c r="AO45" t="n">
        <v>3</v>
      </c>
      <c r="AP45" t="n">
        <v>1</v>
      </c>
      <c r="AQ45" t="n">
        <v>1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HYPERLINK("http://catalog.hathitrust.org/Record/000226387","HathiTrust Record")</f>
        <v/>
      </c>
      <c r="AU45">
        <f>HYPERLINK("https://creighton-primo.hosted.exlibrisgroup.com/primo-explore/search?tab=default_tab&amp;search_scope=EVERYTHING&amp;vid=01CRU&amp;lang=en_US&amp;offset=0&amp;query=any,contains,991000902419702656","Catalog Record")</f>
        <v/>
      </c>
      <c r="AV45">
        <f>HYPERLINK("http://www.worldcat.org/oclc/3627806","WorldCat Record")</f>
        <v/>
      </c>
      <c r="AW45" t="inlineStr">
        <is>
          <t>9658291419:eng</t>
        </is>
      </c>
      <c r="AX45" t="inlineStr">
        <is>
          <t>3627806</t>
        </is>
      </c>
      <c r="AY45" t="inlineStr">
        <is>
          <t>991000902419702656</t>
        </is>
      </c>
      <c r="AZ45" t="inlineStr">
        <is>
          <t>991000902419702656</t>
        </is>
      </c>
      <c r="BA45" t="inlineStr">
        <is>
          <t>2269219560002656</t>
        </is>
      </c>
      <c r="BB45" t="inlineStr">
        <is>
          <t>BOOK</t>
        </is>
      </c>
      <c r="BD45" t="inlineStr">
        <is>
          <t>9780853454380</t>
        </is>
      </c>
      <c r="BE45" t="inlineStr">
        <is>
          <t>30001002173732</t>
        </is>
      </c>
      <c r="BF45" t="inlineStr">
        <is>
          <t>893637778</t>
        </is>
      </c>
    </row>
    <row r="46">
      <c r="A46" t="inlineStr">
        <is>
          <t>No</t>
        </is>
      </c>
      <c r="B46" t="inlineStr">
        <is>
          <t>CUHSL</t>
        </is>
      </c>
      <c r="C46" t="inlineStr">
        <is>
          <t>SHELVES</t>
        </is>
      </c>
      <c r="D46" t="inlineStr">
        <is>
          <t>WA31 C993s 2006</t>
        </is>
      </c>
      <c r="E46" t="inlineStr">
        <is>
          <t>0                      WA 0031000C  993s        2006</t>
        </is>
      </c>
      <c r="F46" t="inlineStr">
        <is>
          <t>Social epidemiology : strategies for public health activism / Julie G. Cwikel.</t>
        </is>
      </c>
      <c r="H46" t="inlineStr">
        <is>
          <t>No</t>
        </is>
      </c>
      <c r="I46" t="inlineStr">
        <is>
          <t>1</t>
        </is>
      </c>
      <c r="J46" t="inlineStr">
        <is>
          <t>Yes</t>
        </is>
      </c>
      <c r="K46" t="inlineStr">
        <is>
          <t>No</t>
        </is>
      </c>
      <c r="L46" t="inlineStr">
        <is>
          <t>0</t>
        </is>
      </c>
      <c r="M46" t="inlineStr">
        <is>
          <t>Cwikel, Julie.</t>
        </is>
      </c>
      <c r="N46" t="inlineStr">
        <is>
          <t>New York : Columbia University Press, c2006.</t>
        </is>
      </c>
      <c r="O46" t="inlineStr">
        <is>
          <t>2006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WA </t>
        </is>
      </c>
      <c r="U46" t="n">
        <v>10</v>
      </c>
      <c r="V46" t="n">
        <v>11</v>
      </c>
      <c r="W46" t="inlineStr">
        <is>
          <t>2009-08-17</t>
        </is>
      </c>
      <c r="X46" t="inlineStr">
        <is>
          <t>2010-04-20</t>
        </is>
      </c>
      <c r="Y46" t="inlineStr">
        <is>
          <t>2007-01-26</t>
        </is>
      </c>
      <c r="Z46" t="inlineStr">
        <is>
          <t>2010-04-20</t>
        </is>
      </c>
      <c r="AA46" t="n">
        <v>274</v>
      </c>
      <c r="AB46" t="n">
        <v>205</v>
      </c>
      <c r="AC46" t="n">
        <v>210</v>
      </c>
      <c r="AD46" t="n">
        <v>4</v>
      </c>
      <c r="AE46" t="n">
        <v>4</v>
      </c>
      <c r="AF46" t="n">
        <v>16</v>
      </c>
      <c r="AG46" t="n">
        <v>16</v>
      </c>
      <c r="AH46" t="n">
        <v>5</v>
      </c>
      <c r="AI46" t="n">
        <v>5</v>
      </c>
      <c r="AJ46" t="n">
        <v>7</v>
      </c>
      <c r="AK46" t="n">
        <v>7</v>
      </c>
      <c r="AL46" t="n">
        <v>6</v>
      </c>
      <c r="AM46" t="n">
        <v>6</v>
      </c>
      <c r="AN46" t="n">
        <v>2</v>
      </c>
      <c r="AO46" t="n">
        <v>2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HYPERLINK("https://creighton-primo.hosted.exlibrisgroup.com/primo-explore/search?tab=default_tab&amp;search_scope=EVERYTHING&amp;vid=01CRU&amp;lang=en_US&amp;offset=0&amp;query=any,contains,991001747139702656","Catalog Record")</f>
        <v/>
      </c>
      <c r="AV46">
        <f>HYPERLINK("http://www.worldcat.org/oclc/70929227","WorldCat Record")</f>
        <v/>
      </c>
      <c r="AW46" t="inlineStr">
        <is>
          <t>902074662:eng</t>
        </is>
      </c>
      <c r="AX46" t="inlineStr">
        <is>
          <t>70929227</t>
        </is>
      </c>
      <c r="AY46" t="inlineStr">
        <is>
          <t>991001747139702656</t>
        </is>
      </c>
      <c r="AZ46" t="inlineStr">
        <is>
          <t>991001747139702656</t>
        </is>
      </c>
      <c r="BA46" t="inlineStr">
        <is>
          <t>2265901330002656</t>
        </is>
      </c>
      <c r="BB46" t="inlineStr">
        <is>
          <t>BOOK</t>
        </is>
      </c>
      <c r="BD46" t="inlineStr">
        <is>
          <t>9780231100489</t>
        </is>
      </c>
      <c r="BE46" t="inlineStr">
        <is>
          <t>30001005212263</t>
        </is>
      </c>
      <c r="BF46" t="inlineStr">
        <is>
          <t>893558322</t>
        </is>
      </c>
    </row>
    <row r="47">
      <c r="A47" t="inlineStr">
        <is>
          <t>No</t>
        </is>
      </c>
      <c r="B47" t="inlineStr">
        <is>
          <t>CUHSL</t>
        </is>
      </c>
      <c r="C47" t="inlineStr">
        <is>
          <t>SHELVES</t>
        </is>
      </c>
      <c r="D47" t="inlineStr">
        <is>
          <t>WA 31 H4341 2003</t>
        </is>
      </c>
      <c r="E47" t="inlineStr">
        <is>
          <t>0                      WA 0031000H  4341        2003</t>
        </is>
      </c>
      <c r="F47" t="inlineStr">
        <is>
          <t>Health and illness in the community : an Oxford core text / edited by Ross J. Taylor, Blair H. Smith, Edwin R. van Teijlingen.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Oxford ; New York : Oxford University Press, 2003.</t>
        </is>
      </c>
      <c r="O47" t="inlineStr">
        <is>
          <t>2003</t>
        </is>
      </c>
      <c r="Q47" t="inlineStr">
        <is>
          <t>eng</t>
        </is>
      </c>
      <c r="R47" t="inlineStr">
        <is>
          <t>enk</t>
        </is>
      </c>
      <c r="S47" t="inlineStr">
        <is>
          <t>Oxford core texts</t>
        </is>
      </c>
      <c r="T47" t="inlineStr">
        <is>
          <t xml:space="preserve">WA </t>
        </is>
      </c>
      <c r="U47" t="n">
        <v>1</v>
      </c>
      <c r="V47" t="n">
        <v>1</v>
      </c>
      <c r="W47" t="inlineStr">
        <is>
          <t>2008-09-22</t>
        </is>
      </c>
      <c r="X47" t="inlineStr">
        <is>
          <t>2008-09-22</t>
        </is>
      </c>
      <c r="Y47" t="inlineStr">
        <is>
          <t>2004-08-27</t>
        </is>
      </c>
      <c r="Z47" t="inlineStr">
        <is>
          <t>2004-08-27</t>
        </is>
      </c>
      <c r="AA47" t="n">
        <v>184</v>
      </c>
      <c r="AB47" t="n">
        <v>75</v>
      </c>
      <c r="AC47" t="n">
        <v>79</v>
      </c>
      <c r="AD47" t="n">
        <v>1</v>
      </c>
      <c r="AE47" t="n">
        <v>1</v>
      </c>
      <c r="AF47" t="n">
        <v>3</v>
      </c>
      <c r="AG47" t="n">
        <v>3</v>
      </c>
      <c r="AH47" t="n">
        <v>2</v>
      </c>
      <c r="AI47" t="n">
        <v>2</v>
      </c>
      <c r="AJ47" t="n">
        <v>1</v>
      </c>
      <c r="AK47" t="n">
        <v>1</v>
      </c>
      <c r="AL47" t="n">
        <v>1</v>
      </c>
      <c r="AM47" t="n">
        <v>1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HYPERLINK("https://creighton-primo.hosted.exlibrisgroup.com/primo-explore/search?tab=default_tab&amp;search_scope=EVERYTHING&amp;vid=01CRU&amp;lang=en_US&amp;offset=0&amp;query=any,contains,991000379659702656","Catalog Record")</f>
        <v/>
      </c>
      <c r="AV47">
        <f>HYPERLINK("http://www.worldcat.org/oclc/52639252","WorldCat Record")</f>
        <v/>
      </c>
      <c r="AW47" t="inlineStr">
        <is>
          <t>840188008:eng</t>
        </is>
      </c>
      <c r="AX47" t="inlineStr">
        <is>
          <t>52639252</t>
        </is>
      </c>
      <c r="AY47" t="inlineStr">
        <is>
          <t>991000379659702656</t>
        </is>
      </c>
      <c r="AZ47" t="inlineStr">
        <is>
          <t>991000379659702656</t>
        </is>
      </c>
      <c r="BA47" t="inlineStr">
        <is>
          <t>2270841460002656</t>
        </is>
      </c>
      <c r="BB47" t="inlineStr">
        <is>
          <t>BOOK</t>
        </is>
      </c>
      <c r="BD47" t="inlineStr">
        <is>
          <t>9780192631688</t>
        </is>
      </c>
      <c r="BE47" t="inlineStr">
        <is>
          <t>30001004219871</t>
        </is>
      </c>
      <c r="BF47" t="inlineStr">
        <is>
          <t>893109496</t>
        </is>
      </c>
    </row>
    <row r="48">
      <c r="A48" t="inlineStr">
        <is>
          <t>No</t>
        </is>
      </c>
      <c r="B48" t="inlineStr">
        <is>
          <t>CUHSL</t>
        </is>
      </c>
      <c r="C48" t="inlineStr">
        <is>
          <t>SHELVES</t>
        </is>
      </c>
      <c r="D48" t="inlineStr">
        <is>
          <t>WA 31 S67803 2005</t>
        </is>
      </c>
      <c r="E48" t="inlineStr">
        <is>
          <t>0                      WA 0031000S  67803       2005</t>
        </is>
      </c>
      <c r="F48" t="inlineStr">
        <is>
          <t>The social medicine reader.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Durham : Duke University Press, 2005.</t>
        </is>
      </c>
      <c r="O48" t="inlineStr">
        <is>
          <t>2005</t>
        </is>
      </c>
      <c r="P48" t="inlineStr">
        <is>
          <t>2nd ed.</t>
        </is>
      </c>
      <c r="Q48" t="inlineStr">
        <is>
          <t>eng</t>
        </is>
      </c>
      <c r="R48" t="inlineStr">
        <is>
          <t>ncu</t>
        </is>
      </c>
      <c r="T48" t="inlineStr">
        <is>
          <t xml:space="preserve">WA </t>
        </is>
      </c>
      <c r="U48" t="n">
        <v>0</v>
      </c>
      <c r="V48" t="n">
        <v>0</v>
      </c>
      <c r="W48" t="inlineStr">
        <is>
          <t>2008-08-12</t>
        </is>
      </c>
      <c r="X48" t="inlineStr">
        <is>
          <t>2008-08-12</t>
        </is>
      </c>
      <c r="Y48" t="inlineStr">
        <is>
          <t>2008-08-12</t>
        </is>
      </c>
      <c r="Z48" t="inlineStr">
        <is>
          <t>2008-08-12</t>
        </is>
      </c>
      <c r="AA48" t="n">
        <v>473</v>
      </c>
      <c r="AB48" t="n">
        <v>409</v>
      </c>
      <c r="AC48" t="n">
        <v>412</v>
      </c>
      <c r="AD48" t="n">
        <v>3</v>
      </c>
      <c r="AE48" t="n">
        <v>3</v>
      </c>
      <c r="AF48" t="n">
        <v>21</v>
      </c>
      <c r="AG48" t="n">
        <v>21</v>
      </c>
      <c r="AH48" t="n">
        <v>9</v>
      </c>
      <c r="AI48" t="n">
        <v>9</v>
      </c>
      <c r="AJ48" t="n">
        <v>2</v>
      </c>
      <c r="AK48" t="n">
        <v>2</v>
      </c>
      <c r="AL48" t="n">
        <v>12</v>
      </c>
      <c r="AM48" t="n">
        <v>12</v>
      </c>
      <c r="AN48" t="n">
        <v>2</v>
      </c>
      <c r="AO48" t="n">
        <v>2</v>
      </c>
      <c r="AP48" t="n">
        <v>1</v>
      </c>
      <c r="AQ48" t="n">
        <v>1</v>
      </c>
      <c r="AR48" t="inlineStr">
        <is>
          <t>No</t>
        </is>
      </c>
      <c r="AS48" t="inlineStr">
        <is>
          <t>Yes</t>
        </is>
      </c>
      <c r="AT48">
        <f>HYPERLINK("http://catalog.hathitrust.org/Record/005071235","HathiTrust Record")</f>
        <v/>
      </c>
      <c r="AU48">
        <f>HYPERLINK("https://creighton-primo.hosted.exlibrisgroup.com/primo-explore/search?tab=default_tab&amp;search_scope=EVERYTHING&amp;vid=01CRU&amp;lang=en_US&amp;offset=0&amp;query=any,contains,991000908029702656","Catalog Record")</f>
        <v/>
      </c>
      <c r="AV48">
        <f>HYPERLINK("http://www.worldcat.org/oclc/59148079","WorldCat Record")</f>
        <v/>
      </c>
      <c r="AW48" t="inlineStr">
        <is>
          <t>10677949409:eng</t>
        </is>
      </c>
      <c r="AX48" t="inlineStr">
        <is>
          <t>59148079</t>
        </is>
      </c>
      <c r="AY48" t="inlineStr">
        <is>
          <t>991000908029702656</t>
        </is>
      </c>
      <c r="AZ48" t="inlineStr">
        <is>
          <t>991000908029702656</t>
        </is>
      </c>
      <c r="BA48" t="inlineStr">
        <is>
          <t>2267005800002656</t>
        </is>
      </c>
      <c r="BB48" t="inlineStr">
        <is>
          <t>BOOK</t>
        </is>
      </c>
      <c r="BD48" t="inlineStr">
        <is>
          <t>9780822335559</t>
        </is>
      </c>
      <c r="BE48" t="inlineStr">
        <is>
          <t>30001005294204</t>
        </is>
      </c>
      <c r="BF48" t="inlineStr">
        <is>
          <t>893834484</t>
        </is>
      </c>
    </row>
    <row r="49">
      <c r="A49" t="inlineStr">
        <is>
          <t>No</t>
        </is>
      </c>
      <c r="B49" t="inlineStr">
        <is>
          <t>CUHSL</t>
        </is>
      </c>
      <c r="C49" t="inlineStr">
        <is>
          <t>SHELVES</t>
        </is>
      </c>
      <c r="D49" t="inlineStr">
        <is>
          <t>WA31 T772 2006</t>
        </is>
      </c>
      <c r="E49" t="inlineStr">
        <is>
          <t>0                      WA 0031000T  772         2006</t>
        </is>
      </c>
      <c r="F49" t="inlineStr">
        <is>
          <t>Transforming unjust structures : the capability approach / edited by Severine Deneulin, Mathias Nebel and Nicholas Sagovsky.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1</t>
        </is>
      </c>
      <c r="N49" t="inlineStr">
        <is>
          <t>Dordrecht : Springer, 2006.</t>
        </is>
      </c>
      <c r="O49" t="inlineStr">
        <is>
          <t>2006</t>
        </is>
      </c>
      <c r="Q49" t="inlineStr">
        <is>
          <t>eng</t>
        </is>
      </c>
      <c r="R49" t="inlineStr">
        <is>
          <t xml:space="preserve">ne </t>
        </is>
      </c>
      <c r="S49" t="inlineStr">
        <is>
          <t>Library of ethics and applied philosophy ; v. 19</t>
        </is>
      </c>
      <c r="T49" t="inlineStr">
        <is>
          <t xml:space="preserve">WA </t>
        </is>
      </c>
      <c r="U49" t="n">
        <v>4</v>
      </c>
      <c r="V49" t="n">
        <v>4</v>
      </c>
      <c r="W49" t="inlineStr">
        <is>
          <t>2007-03-12</t>
        </is>
      </c>
      <c r="X49" t="inlineStr">
        <is>
          <t>2007-03-12</t>
        </is>
      </c>
      <c r="Y49" t="inlineStr">
        <is>
          <t>2006-09-28</t>
        </is>
      </c>
      <c r="Z49" t="inlineStr">
        <is>
          <t>2006-09-28</t>
        </is>
      </c>
      <c r="AA49" t="n">
        <v>110</v>
      </c>
      <c r="AB49" t="n">
        <v>69</v>
      </c>
      <c r="AC49" t="n">
        <v>262</v>
      </c>
      <c r="AD49" t="n">
        <v>1</v>
      </c>
      <c r="AE49" t="n">
        <v>3</v>
      </c>
      <c r="AF49" t="n">
        <v>6</v>
      </c>
      <c r="AG49" t="n">
        <v>12</v>
      </c>
      <c r="AH49" t="n">
        <v>2</v>
      </c>
      <c r="AI49" t="n">
        <v>5</v>
      </c>
      <c r="AJ49" t="n">
        <v>2</v>
      </c>
      <c r="AK49" t="n">
        <v>3</v>
      </c>
      <c r="AL49" t="n">
        <v>6</v>
      </c>
      <c r="AM49" t="n">
        <v>10</v>
      </c>
      <c r="AN49" t="n">
        <v>0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HYPERLINK("https://creighton-primo.hosted.exlibrisgroup.com/primo-explore/search?tab=default_tab&amp;search_scope=EVERYTHING&amp;vid=01CRU&amp;lang=en_US&amp;offset=0&amp;query=any,contains,991000547249702656","Catalog Record")</f>
        <v/>
      </c>
      <c r="AV49">
        <f>HYPERLINK("http://www.worldcat.org/oclc/69983230","WorldCat Record")</f>
        <v/>
      </c>
      <c r="AW49" t="inlineStr">
        <is>
          <t>1076891522:eng</t>
        </is>
      </c>
      <c r="AX49" t="inlineStr">
        <is>
          <t>69983230</t>
        </is>
      </c>
      <c r="AY49" t="inlineStr">
        <is>
          <t>991000547249702656</t>
        </is>
      </c>
      <c r="AZ49" t="inlineStr">
        <is>
          <t>991000547249702656</t>
        </is>
      </c>
      <c r="BA49" t="inlineStr">
        <is>
          <t>2263242570002656</t>
        </is>
      </c>
      <c r="BB49" t="inlineStr">
        <is>
          <t>BOOK</t>
        </is>
      </c>
      <c r="BD49" t="inlineStr">
        <is>
          <t>9781402044311</t>
        </is>
      </c>
      <c r="BE49" t="inlineStr">
        <is>
          <t>30001005176377</t>
        </is>
      </c>
      <c r="BF49" t="inlineStr">
        <is>
          <t>893630881</t>
        </is>
      </c>
    </row>
    <row r="50">
      <c r="A50" t="inlineStr">
        <is>
          <t>No</t>
        </is>
      </c>
      <c r="B50" t="inlineStr">
        <is>
          <t>CUHSL</t>
        </is>
      </c>
      <c r="C50" t="inlineStr">
        <is>
          <t>SHELVES</t>
        </is>
      </c>
      <c r="D50" t="inlineStr">
        <is>
          <t>WA 31 W473 2006</t>
        </is>
      </c>
      <c r="E50" t="inlineStr">
        <is>
          <t>0                      WA 0031000W  473         2006</t>
        </is>
      </c>
      <c r="F50" t="inlineStr">
        <is>
          <t>What happens when a society is diverse? : exploring multidimensional identities / edited by Hakan G. Sicakkan and Yngve G. Lithman.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Lewiston, N.Y. : Edwin Mellen Press, c2006.</t>
        </is>
      </c>
      <c r="O50" t="inlineStr">
        <is>
          <t>2006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WA </t>
        </is>
      </c>
      <c r="U50" t="n">
        <v>1</v>
      </c>
      <c r="V50" t="n">
        <v>1</v>
      </c>
      <c r="W50" t="inlineStr">
        <is>
          <t>2008-08-26</t>
        </is>
      </c>
      <c r="X50" t="inlineStr">
        <is>
          <t>2008-08-26</t>
        </is>
      </c>
      <c r="Y50" t="inlineStr">
        <is>
          <t>2008-08-14</t>
        </is>
      </c>
      <c r="Z50" t="inlineStr">
        <is>
          <t>2008-08-14</t>
        </is>
      </c>
      <c r="AA50" t="n">
        <v>91</v>
      </c>
      <c r="AB50" t="n">
        <v>55</v>
      </c>
      <c r="AC50" t="n">
        <v>56</v>
      </c>
      <c r="AD50" t="n">
        <v>1</v>
      </c>
      <c r="AE50" t="n">
        <v>1</v>
      </c>
      <c r="AF50" t="n">
        <v>2</v>
      </c>
      <c r="AG50" t="n">
        <v>2</v>
      </c>
      <c r="AH50" t="n">
        <v>1</v>
      </c>
      <c r="AI50" t="n">
        <v>1</v>
      </c>
      <c r="AJ50" t="n">
        <v>1</v>
      </c>
      <c r="AK50" t="n">
        <v>1</v>
      </c>
      <c r="AL50" t="n">
        <v>1</v>
      </c>
      <c r="AM50" t="n">
        <v>1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HYPERLINK("http://catalog.hathitrust.org/Record/005421729","HathiTrust Record")</f>
        <v/>
      </c>
      <c r="AU50">
        <f>HYPERLINK("https://creighton-primo.hosted.exlibrisgroup.com/primo-explore/search?tab=default_tab&amp;search_scope=EVERYTHING&amp;vid=01CRU&amp;lang=en_US&amp;offset=0&amp;query=any,contains,991000909129702656","Catalog Record")</f>
        <v/>
      </c>
      <c r="AV50">
        <f>HYPERLINK("http://www.worldcat.org/oclc/62878422","WorldCat Record")</f>
        <v/>
      </c>
      <c r="AW50" t="inlineStr">
        <is>
          <t>47131379:eng</t>
        </is>
      </c>
      <c r="AX50" t="inlineStr">
        <is>
          <t>62878422</t>
        </is>
      </c>
      <c r="AY50" t="inlineStr">
        <is>
          <t>991000909129702656</t>
        </is>
      </c>
      <c r="AZ50" t="inlineStr">
        <is>
          <t>991000909129702656</t>
        </is>
      </c>
      <c r="BA50" t="inlineStr">
        <is>
          <t>2259754940002656</t>
        </is>
      </c>
      <c r="BB50" t="inlineStr">
        <is>
          <t>BOOK</t>
        </is>
      </c>
      <c r="BD50" t="inlineStr">
        <is>
          <t>9780773458772</t>
        </is>
      </c>
      <c r="BE50" t="inlineStr">
        <is>
          <t>30001005294519</t>
        </is>
      </c>
      <c r="BF50" t="inlineStr">
        <is>
          <t>893648678</t>
        </is>
      </c>
    </row>
    <row r="51">
      <c r="A51" t="inlineStr">
        <is>
          <t>No</t>
        </is>
      </c>
      <c r="B51" t="inlineStr">
        <is>
          <t>CUHSL</t>
        </is>
      </c>
      <c r="C51" t="inlineStr">
        <is>
          <t>SHELVES</t>
        </is>
      </c>
      <c r="D51" t="inlineStr">
        <is>
          <t>WA 33 AA1 I35 1998</t>
        </is>
      </c>
      <c r="E51" t="inlineStr">
        <is>
          <t>0                      WA 0033000AA 1                  I  35          1998</t>
        </is>
      </c>
      <c r="F51" t="inlineStr">
        <is>
          <t>Improving state law to prevent and treat infectious disease / by Lawrence O. Gostin ... [et al.].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N51" t="inlineStr">
        <is>
          <t>New York, NY : Milbank Memorial Fund, c1998.</t>
        </is>
      </c>
      <c r="O51" t="inlineStr">
        <is>
          <t>1998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WA </t>
        </is>
      </c>
      <c r="U51" t="n">
        <v>2</v>
      </c>
      <c r="V51" t="n">
        <v>2</v>
      </c>
      <c r="W51" t="inlineStr">
        <is>
          <t>1999-03-16</t>
        </is>
      </c>
      <c r="X51" t="inlineStr">
        <is>
          <t>1999-03-16</t>
        </is>
      </c>
      <c r="Y51" t="inlineStr">
        <is>
          <t>1998-07-29</t>
        </is>
      </c>
      <c r="Z51" t="inlineStr">
        <is>
          <t>1998-07-29</t>
        </is>
      </c>
      <c r="AA51" t="n">
        <v>160</v>
      </c>
      <c r="AB51" t="n">
        <v>159</v>
      </c>
      <c r="AC51" t="n">
        <v>159</v>
      </c>
      <c r="AD51" t="n">
        <v>2</v>
      </c>
      <c r="AE51" t="n">
        <v>2</v>
      </c>
      <c r="AF51" t="n">
        <v>15</v>
      </c>
      <c r="AG51" t="n">
        <v>15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1</v>
      </c>
      <c r="AN51" t="n">
        <v>0</v>
      </c>
      <c r="AO51" t="n">
        <v>0</v>
      </c>
      <c r="AP51" t="n">
        <v>14</v>
      </c>
      <c r="AQ51" t="n">
        <v>14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HYPERLINK("https://creighton-primo.hosted.exlibrisgroup.com/primo-explore/search?tab=default_tab&amp;search_scope=EVERYTHING&amp;vid=01CRU&amp;lang=en_US&amp;offset=0&amp;query=any,contains,991001677389702656","Catalog Record")</f>
        <v/>
      </c>
      <c r="AV51">
        <f>HYPERLINK("http://www.worldcat.org/oclc/38309869","WorldCat Record")</f>
        <v/>
      </c>
      <c r="AW51" t="inlineStr">
        <is>
          <t>41561372:eng</t>
        </is>
      </c>
      <c r="AX51" t="inlineStr">
        <is>
          <t>38309869</t>
        </is>
      </c>
      <c r="AY51" t="inlineStr">
        <is>
          <t>991001677389702656</t>
        </is>
      </c>
      <c r="AZ51" t="inlineStr">
        <is>
          <t>991001677389702656</t>
        </is>
      </c>
      <c r="BA51" t="inlineStr">
        <is>
          <t>2254875070002656</t>
        </is>
      </c>
      <c r="BB51" t="inlineStr">
        <is>
          <t>BOOK</t>
        </is>
      </c>
      <c r="BD51" t="inlineStr">
        <is>
          <t>9781887748179</t>
        </is>
      </c>
      <c r="BE51" t="inlineStr">
        <is>
          <t>30001004174514</t>
        </is>
      </c>
      <c r="BF51" t="inlineStr">
        <is>
          <t>893732174</t>
        </is>
      </c>
    </row>
    <row r="52">
      <c r="A52" t="inlineStr">
        <is>
          <t>No</t>
        </is>
      </c>
      <c r="B52" t="inlineStr">
        <is>
          <t>CUHSL</t>
        </is>
      </c>
      <c r="C52" t="inlineStr">
        <is>
          <t>SHELVES</t>
        </is>
      </c>
      <c r="D52" t="inlineStr">
        <is>
          <t>WA 39 B628i 1992</t>
        </is>
      </c>
      <c r="E52" t="inlineStr">
        <is>
          <t>0                      WA 0039000B  628i        1992</t>
        </is>
      </c>
      <c r="F52" t="inlineStr">
        <is>
          <t>Improving health and welfare work with families in poverty : a handbook / Clare Blackburn.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Blackburn, Clare, 1957-</t>
        </is>
      </c>
      <c r="N52" t="inlineStr">
        <is>
          <t>Buckingham ; Philadelphia : Open University Press, c1992.</t>
        </is>
      </c>
      <c r="O52" t="inlineStr">
        <is>
          <t>1992</t>
        </is>
      </c>
      <c r="Q52" t="inlineStr">
        <is>
          <t>eng</t>
        </is>
      </c>
      <c r="R52" t="inlineStr">
        <is>
          <t>enk</t>
        </is>
      </c>
      <c r="T52" t="inlineStr">
        <is>
          <t xml:space="preserve">WA </t>
        </is>
      </c>
      <c r="U52" t="n">
        <v>2</v>
      </c>
      <c r="V52" t="n">
        <v>2</v>
      </c>
      <c r="W52" t="inlineStr">
        <is>
          <t>2002-09-05</t>
        </is>
      </c>
      <c r="X52" t="inlineStr">
        <is>
          <t>2002-09-05</t>
        </is>
      </c>
      <c r="Y52" t="inlineStr">
        <is>
          <t>1993-03-04</t>
        </is>
      </c>
      <c r="Z52" t="inlineStr">
        <is>
          <t>1993-03-04</t>
        </is>
      </c>
      <c r="AA52" t="n">
        <v>181</v>
      </c>
      <c r="AB52" t="n">
        <v>75</v>
      </c>
      <c r="AC52" t="n">
        <v>76</v>
      </c>
      <c r="AD52" t="n">
        <v>1</v>
      </c>
      <c r="AE52" t="n">
        <v>1</v>
      </c>
      <c r="AF52" t="n">
        <v>3</v>
      </c>
      <c r="AG52" t="n">
        <v>3</v>
      </c>
      <c r="AH52" t="n">
        <v>0</v>
      </c>
      <c r="AI52" t="n">
        <v>0</v>
      </c>
      <c r="AJ52" t="n">
        <v>1</v>
      </c>
      <c r="AK52" t="n">
        <v>1</v>
      </c>
      <c r="AL52" t="n">
        <v>3</v>
      </c>
      <c r="AM52" t="n">
        <v>3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HYPERLINK("https://creighton-primo.hosted.exlibrisgroup.com/primo-explore/search?tab=default_tab&amp;search_scope=EVERYTHING&amp;vid=01CRU&amp;lang=en_US&amp;offset=0&amp;query=any,contains,991001432039702656","Catalog Record")</f>
        <v/>
      </c>
      <c r="AV52">
        <f>HYPERLINK("http://www.worldcat.org/oclc/25050003","WorldCat Record")</f>
        <v/>
      </c>
      <c r="AW52" t="inlineStr">
        <is>
          <t>291190736:eng</t>
        </is>
      </c>
      <c r="AX52" t="inlineStr">
        <is>
          <t>25050003</t>
        </is>
      </c>
      <c r="AY52" t="inlineStr">
        <is>
          <t>991001432039702656</t>
        </is>
      </c>
      <c r="AZ52" t="inlineStr">
        <is>
          <t>991001432039702656</t>
        </is>
      </c>
      <c r="BA52" t="inlineStr">
        <is>
          <t>2255002400002656</t>
        </is>
      </c>
      <c r="BB52" t="inlineStr">
        <is>
          <t>BOOK</t>
        </is>
      </c>
      <c r="BD52" t="inlineStr">
        <is>
          <t>9780335097326</t>
        </is>
      </c>
      <c r="BE52" t="inlineStr">
        <is>
          <t>30001002529693</t>
        </is>
      </c>
      <c r="BF52" t="inlineStr">
        <is>
          <t>893633052</t>
        </is>
      </c>
    </row>
    <row r="53">
      <c r="A53" t="inlineStr">
        <is>
          <t>No</t>
        </is>
      </c>
      <c r="B53" t="inlineStr">
        <is>
          <t>CUHSL</t>
        </is>
      </c>
      <c r="C53" t="inlineStr">
        <is>
          <t>SHELVES</t>
        </is>
      </c>
      <c r="D53" t="inlineStr">
        <is>
          <t>WA39 H2356 2003</t>
        </is>
      </c>
      <c r="E53" t="inlineStr">
        <is>
          <t>0                      WA 0039000H  2356        2003</t>
        </is>
      </c>
      <c r="F53" t="inlineStr">
        <is>
          <t>A practical approach to occupational and environmental medicine / editor-in-chief, Robert J. McCunney ; [editor, Paul P. Rountree ; associate editors, Cheryl S. Barbanel ... et al.].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Philadelphia : Lippincott Williams &amp; Wilkins, c2003.</t>
        </is>
      </c>
      <c r="O53" t="inlineStr">
        <is>
          <t>2003</t>
        </is>
      </c>
      <c r="P53" t="inlineStr">
        <is>
          <t>3rd ed.</t>
        </is>
      </c>
      <c r="Q53" t="inlineStr">
        <is>
          <t>eng</t>
        </is>
      </c>
      <c r="R53" t="inlineStr">
        <is>
          <t>pau</t>
        </is>
      </c>
      <c r="T53" t="inlineStr">
        <is>
          <t xml:space="preserve">WA </t>
        </is>
      </c>
      <c r="U53" t="n">
        <v>0</v>
      </c>
      <c r="V53" t="n">
        <v>0</v>
      </c>
      <c r="W53" t="inlineStr">
        <is>
          <t>2004-02-04</t>
        </is>
      </c>
      <c r="X53" t="inlineStr">
        <is>
          <t>2004-02-04</t>
        </is>
      </c>
      <c r="Y53" t="inlineStr">
        <is>
          <t>2004-01-28</t>
        </is>
      </c>
      <c r="Z53" t="inlineStr">
        <is>
          <t>2004-01-28</t>
        </is>
      </c>
      <c r="AA53" t="n">
        <v>222</v>
      </c>
      <c r="AB53" t="n">
        <v>159</v>
      </c>
      <c r="AC53" t="n">
        <v>253</v>
      </c>
      <c r="AD53" t="n">
        <v>2</v>
      </c>
      <c r="AE53" t="n">
        <v>2</v>
      </c>
      <c r="AF53" t="n">
        <v>4</v>
      </c>
      <c r="AG53" t="n">
        <v>5</v>
      </c>
      <c r="AH53" t="n">
        <v>1</v>
      </c>
      <c r="AI53" t="n">
        <v>2</v>
      </c>
      <c r="AJ53" t="n">
        <v>2</v>
      </c>
      <c r="AK53" t="n">
        <v>2</v>
      </c>
      <c r="AL53" t="n">
        <v>1</v>
      </c>
      <c r="AM53" t="n">
        <v>1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HYPERLINK("https://creighton-primo.hosted.exlibrisgroup.com/primo-explore/search?tab=default_tab&amp;search_scope=EVERYTHING&amp;vid=01CRU&amp;lang=en_US&amp;offset=0&amp;query=any,contains,991000364749702656","Catalog Record")</f>
        <v/>
      </c>
      <c r="AV53">
        <f>HYPERLINK("http://www.worldcat.org/oclc/50859183","WorldCat Record")</f>
        <v/>
      </c>
      <c r="AW53" t="inlineStr">
        <is>
          <t>55816036:eng</t>
        </is>
      </c>
      <c r="AX53" t="inlineStr">
        <is>
          <t>50859183</t>
        </is>
      </c>
      <c r="AY53" t="inlineStr">
        <is>
          <t>991000364749702656</t>
        </is>
      </c>
      <c r="AZ53" t="inlineStr">
        <is>
          <t>991000364749702656</t>
        </is>
      </c>
      <c r="BA53" t="inlineStr">
        <is>
          <t>2264327700002656</t>
        </is>
      </c>
      <c r="BB53" t="inlineStr">
        <is>
          <t>BOOK</t>
        </is>
      </c>
      <c r="BD53" t="inlineStr">
        <is>
          <t>9780781736749</t>
        </is>
      </c>
      <c r="BE53" t="inlineStr">
        <is>
          <t>30001004508869</t>
        </is>
      </c>
      <c r="BF53" t="inlineStr">
        <is>
          <t>893827425</t>
        </is>
      </c>
    </row>
    <row r="54">
      <c r="A54" t="inlineStr">
        <is>
          <t>No</t>
        </is>
      </c>
      <c r="B54" t="inlineStr">
        <is>
          <t>CUHSL</t>
        </is>
      </c>
      <c r="C54" t="inlineStr">
        <is>
          <t>SHELVES</t>
        </is>
      </c>
      <c r="D54" t="inlineStr">
        <is>
          <t>WA 39 H4285 1993</t>
        </is>
      </c>
      <c r="E54" t="inlineStr">
        <is>
          <t>0                      WA 0039000H  4285        1993</t>
        </is>
      </c>
      <c r="F54" t="inlineStr">
        <is>
          <t>Hazardous substances resource guide / Richard P. Pohanish and Stanley A. Greene, editors.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Detroit : Gale Research, c1993.</t>
        </is>
      </c>
      <c r="O54" t="inlineStr">
        <is>
          <t>1993</t>
        </is>
      </c>
      <c r="Q54" t="inlineStr">
        <is>
          <t>eng</t>
        </is>
      </c>
      <c r="R54" t="inlineStr">
        <is>
          <t>xxu</t>
        </is>
      </c>
      <c r="S54" t="inlineStr">
        <is>
          <t>Gale environmental library</t>
        </is>
      </c>
      <c r="T54" t="inlineStr">
        <is>
          <t xml:space="preserve">WA </t>
        </is>
      </c>
      <c r="U54" t="n">
        <v>2</v>
      </c>
      <c r="V54" t="n">
        <v>2</v>
      </c>
      <c r="W54" t="inlineStr">
        <is>
          <t>1993-10-26</t>
        </is>
      </c>
      <c r="X54" t="inlineStr">
        <is>
          <t>1993-10-26</t>
        </is>
      </c>
      <c r="Y54" t="inlineStr">
        <is>
          <t>1993-10-15</t>
        </is>
      </c>
      <c r="Z54" t="inlineStr">
        <is>
          <t>1993-10-15</t>
        </is>
      </c>
      <c r="AA54" t="n">
        <v>433</v>
      </c>
      <c r="AB54" t="n">
        <v>388</v>
      </c>
      <c r="AC54" t="n">
        <v>558</v>
      </c>
      <c r="AD54" t="n">
        <v>2</v>
      </c>
      <c r="AE54" t="n">
        <v>2</v>
      </c>
      <c r="AF54" t="n">
        <v>8</v>
      </c>
      <c r="AG54" t="n">
        <v>9</v>
      </c>
      <c r="AH54" t="n">
        <v>0</v>
      </c>
      <c r="AI54" t="n">
        <v>0</v>
      </c>
      <c r="AJ54" t="n">
        <v>2</v>
      </c>
      <c r="AK54" t="n">
        <v>2</v>
      </c>
      <c r="AL54" t="n">
        <v>4</v>
      </c>
      <c r="AM54" t="n">
        <v>5</v>
      </c>
      <c r="AN54" t="n">
        <v>1</v>
      </c>
      <c r="AO54" t="n">
        <v>1</v>
      </c>
      <c r="AP54" t="n">
        <v>2</v>
      </c>
      <c r="AQ54" t="n">
        <v>2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HYPERLINK("http://catalog.hathitrust.org/Record/002620192","HathiTrust Record")</f>
        <v/>
      </c>
      <c r="AU54">
        <f>HYPERLINK("https://creighton-primo.hosted.exlibrisgroup.com/primo-explore/search?tab=default_tab&amp;search_scope=EVERYTHING&amp;vid=01CRU&amp;lang=en_US&amp;offset=0&amp;query=any,contains,991001488089702656","Catalog Record")</f>
        <v/>
      </c>
      <c r="AV54">
        <f>HYPERLINK("http://www.worldcat.org/oclc/27179359","WorldCat Record")</f>
        <v/>
      </c>
      <c r="AW54" t="inlineStr">
        <is>
          <t>350677525:eng</t>
        </is>
      </c>
      <c r="AX54" t="inlineStr">
        <is>
          <t>27179359</t>
        </is>
      </c>
      <c r="AY54" t="inlineStr">
        <is>
          <t>991001488089702656</t>
        </is>
      </c>
      <c r="AZ54" t="inlineStr">
        <is>
          <t>991001488089702656</t>
        </is>
      </c>
      <c r="BA54" t="inlineStr">
        <is>
          <t>2264378700002656</t>
        </is>
      </c>
      <c r="BB54" t="inlineStr">
        <is>
          <t>BOOK</t>
        </is>
      </c>
      <c r="BE54" t="inlineStr">
        <is>
          <t>30001002579706</t>
        </is>
      </c>
      <c r="BF54" t="inlineStr">
        <is>
          <t>893465571</t>
        </is>
      </c>
    </row>
    <row r="55">
      <c r="A55" t="inlineStr">
        <is>
          <t>No</t>
        </is>
      </c>
      <c r="B55" t="inlineStr">
        <is>
          <t>CUHSL</t>
        </is>
      </c>
      <c r="C55" t="inlineStr">
        <is>
          <t>SHELVES</t>
        </is>
      </c>
      <c r="D55" t="inlineStr">
        <is>
          <t>WA39 O98 2001</t>
        </is>
      </c>
      <c r="E55" t="inlineStr">
        <is>
          <t>0                      WA 0039000O  98          2001</t>
        </is>
      </c>
      <c r="F55" t="inlineStr">
        <is>
          <t>Oxford handbook of public health practice / edited by David Pencheon ... [et al.].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Yes</t>
        </is>
      </c>
      <c r="L55" t="inlineStr">
        <is>
          <t>2</t>
        </is>
      </c>
      <c r="N55" t="inlineStr">
        <is>
          <t>Oxford ; New York : Oxford University Press, 2001.</t>
        </is>
      </c>
      <c r="O55" t="inlineStr">
        <is>
          <t>2001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WA </t>
        </is>
      </c>
      <c r="U55" t="n">
        <v>7</v>
      </c>
      <c r="V55" t="n">
        <v>7</v>
      </c>
      <c r="W55" t="inlineStr">
        <is>
          <t>2010-12-10</t>
        </is>
      </c>
      <c r="X55" t="inlineStr">
        <is>
          <t>2010-12-10</t>
        </is>
      </c>
      <c r="Y55" t="inlineStr">
        <is>
          <t>2002-06-28</t>
        </is>
      </c>
      <c r="Z55" t="inlineStr">
        <is>
          <t>2002-06-28</t>
        </is>
      </c>
      <c r="AA55" t="n">
        <v>250</v>
      </c>
      <c r="AB55" t="n">
        <v>124</v>
      </c>
      <c r="AC55" t="n">
        <v>1087</v>
      </c>
      <c r="AD55" t="n">
        <v>1</v>
      </c>
      <c r="AE55" t="n">
        <v>14</v>
      </c>
      <c r="AF55" t="n">
        <v>4</v>
      </c>
      <c r="AG55" t="n">
        <v>42</v>
      </c>
      <c r="AH55" t="n">
        <v>1</v>
      </c>
      <c r="AI55" t="n">
        <v>12</v>
      </c>
      <c r="AJ55" t="n">
        <v>0</v>
      </c>
      <c r="AK55" t="n">
        <v>9</v>
      </c>
      <c r="AL55" t="n">
        <v>3</v>
      </c>
      <c r="AM55" t="n">
        <v>13</v>
      </c>
      <c r="AN55" t="n">
        <v>0</v>
      </c>
      <c r="AO55" t="n">
        <v>12</v>
      </c>
      <c r="AP55" t="n">
        <v>0</v>
      </c>
      <c r="AQ55" t="n">
        <v>2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HYPERLINK("https://creighton-primo.hosted.exlibrisgroup.com/primo-explore/search?tab=default_tab&amp;search_scope=EVERYTHING&amp;vid=01CRU&amp;lang=en_US&amp;offset=0&amp;query=any,contains,991000320179702656","Catalog Record")</f>
        <v/>
      </c>
      <c r="AV55">
        <f>HYPERLINK("http://www.worldcat.org/oclc/47049955","WorldCat Record")</f>
        <v/>
      </c>
      <c r="AW55" t="inlineStr">
        <is>
          <t>4794550907:eng</t>
        </is>
      </c>
      <c r="AX55" t="inlineStr">
        <is>
          <t>47049955</t>
        </is>
      </c>
      <c r="AY55" t="inlineStr">
        <is>
          <t>991000320179702656</t>
        </is>
      </c>
      <c r="AZ55" t="inlineStr">
        <is>
          <t>991000320179702656</t>
        </is>
      </c>
      <c r="BA55" t="inlineStr">
        <is>
          <t>2263826020002656</t>
        </is>
      </c>
      <c r="BB55" t="inlineStr">
        <is>
          <t>BOOK</t>
        </is>
      </c>
      <c r="BD55" t="inlineStr">
        <is>
          <t>9780192632210</t>
        </is>
      </c>
      <c r="BE55" t="inlineStr">
        <is>
          <t>30001004238368</t>
        </is>
      </c>
      <c r="BF55" t="inlineStr">
        <is>
          <t>893279905</t>
        </is>
      </c>
    </row>
    <row r="56">
      <c r="A56" t="inlineStr">
        <is>
          <t>No</t>
        </is>
      </c>
      <c r="B56" t="inlineStr">
        <is>
          <t>CUHSL</t>
        </is>
      </c>
      <c r="C56" t="inlineStr">
        <is>
          <t>SHELVES</t>
        </is>
      </c>
      <c r="D56" t="inlineStr">
        <is>
          <t>WA39 P348 2005</t>
        </is>
      </c>
      <c r="E56" t="inlineStr">
        <is>
          <t>0                      WA 0039000P  348         2005</t>
        </is>
      </c>
      <c r="F56" t="inlineStr">
        <is>
          <t>PDR guide to terrorism response : a resource for physicians, nurses, emergency medical services, law enforcement, firefighters / contributing editors, John G. Bartlett, Michael I. Greenberg.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Montvale, NJ : Thomson PDR, c2005.</t>
        </is>
      </c>
      <c r="O56" t="inlineStr">
        <is>
          <t>2005</t>
        </is>
      </c>
      <c r="Q56" t="inlineStr">
        <is>
          <t>eng</t>
        </is>
      </c>
      <c r="R56" t="inlineStr">
        <is>
          <t>nju</t>
        </is>
      </c>
      <c r="T56" t="inlineStr">
        <is>
          <t xml:space="preserve">WA </t>
        </is>
      </c>
      <c r="U56" t="n">
        <v>3</v>
      </c>
      <c r="V56" t="n">
        <v>3</v>
      </c>
      <c r="W56" t="inlineStr">
        <is>
          <t>2006-12-13</t>
        </is>
      </c>
      <c r="X56" t="inlineStr">
        <is>
          <t>2006-12-13</t>
        </is>
      </c>
      <c r="Y56" t="inlineStr">
        <is>
          <t>2006-08-29</t>
        </is>
      </c>
      <c r="Z56" t="inlineStr">
        <is>
          <t>2006-08-29</t>
        </is>
      </c>
      <c r="AA56" t="n">
        <v>87</v>
      </c>
      <c r="AB56" t="n">
        <v>81</v>
      </c>
      <c r="AC56" t="n">
        <v>295</v>
      </c>
      <c r="AD56" t="n">
        <v>1</v>
      </c>
      <c r="AE56" t="n">
        <v>2</v>
      </c>
      <c r="AF56" t="n">
        <v>0</v>
      </c>
      <c r="AG56" t="n">
        <v>5</v>
      </c>
      <c r="AH56" t="n">
        <v>0</v>
      </c>
      <c r="AI56" t="n">
        <v>2</v>
      </c>
      <c r="AJ56" t="n">
        <v>0</v>
      </c>
      <c r="AK56" t="n">
        <v>0</v>
      </c>
      <c r="AL56" t="n">
        <v>0</v>
      </c>
      <c r="AM56" t="n">
        <v>2</v>
      </c>
      <c r="AN56" t="n">
        <v>0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HYPERLINK("https://creighton-primo.hosted.exlibrisgroup.com/primo-explore/search?tab=default_tab&amp;search_scope=EVERYTHING&amp;vid=01CRU&amp;lang=en_US&amp;offset=0&amp;query=any,contains,991000533249702656","Catalog Record")</f>
        <v/>
      </c>
      <c r="AV56">
        <f>HYPERLINK("http://www.worldcat.org/oclc/68705547","WorldCat Record")</f>
        <v/>
      </c>
      <c r="AW56" t="inlineStr">
        <is>
          <t>367718870:eng</t>
        </is>
      </c>
      <c r="AX56" t="inlineStr">
        <is>
          <t>68705547</t>
        </is>
      </c>
      <c r="AY56" t="inlineStr">
        <is>
          <t>991000533249702656</t>
        </is>
      </c>
      <c r="AZ56" t="inlineStr">
        <is>
          <t>991000533249702656</t>
        </is>
      </c>
      <c r="BA56" t="inlineStr">
        <is>
          <t>2267482510002656</t>
        </is>
      </c>
      <c r="BB56" t="inlineStr">
        <is>
          <t>BOOK</t>
        </is>
      </c>
      <c r="BD56" t="inlineStr">
        <is>
          <t>9781563635502</t>
        </is>
      </c>
      <c r="BE56" t="inlineStr">
        <is>
          <t>30001005170016</t>
        </is>
      </c>
      <c r="BF56" t="inlineStr">
        <is>
          <t>893361310</t>
        </is>
      </c>
    </row>
    <row r="57">
      <c r="A57" t="inlineStr">
        <is>
          <t>No</t>
        </is>
      </c>
      <c r="B57" t="inlineStr">
        <is>
          <t>CUHSL</t>
        </is>
      </c>
      <c r="C57" t="inlineStr">
        <is>
          <t>SHELVES</t>
        </is>
      </c>
      <c r="D57" t="inlineStr">
        <is>
          <t>WA 39 P944 1991</t>
        </is>
      </c>
      <c r="E57" t="inlineStr">
        <is>
          <t>0                      WA 0039000P  944         1991</t>
        </is>
      </c>
      <c r="F57" t="inlineStr">
        <is>
          <t>Preventing occupational disease and injury / edited by James L. Weeks, Barry S. Levy, Gregory R. Wagner.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Washington, D.C. : American Public Health Association, c1991.</t>
        </is>
      </c>
      <c r="O57" t="inlineStr">
        <is>
          <t>1991</t>
        </is>
      </c>
      <c r="Q57" t="inlineStr">
        <is>
          <t>eng</t>
        </is>
      </c>
      <c r="R57" t="inlineStr">
        <is>
          <t>xxu</t>
        </is>
      </c>
      <c r="T57" t="inlineStr">
        <is>
          <t xml:space="preserve">WA </t>
        </is>
      </c>
      <c r="U57" t="n">
        <v>48</v>
      </c>
      <c r="V57" t="n">
        <v>48</v>
      </c>
      <c r="W57" t="inlineStr">
        <is>
          <t>2004-10-03</t>
        </is>
      </c>
      <c r="X57" t="inlineStr">
        <is>
          <t>2004-10-03</t>
        </is>
      </c>
      <c r="Y57" t="inlineStr">
        <is>
          <t>1993-09-22</t>
        </is>
      </c>
      <c r="Z57" t="inlineStr">
        <is>
          <t>1993-09-22</t>
        </is>
      </c>
      <c r="AA57" t="n">
        <v>213</v>
      </c>
      <c r="AB57" t="n">
        <v>165</v>
      </c>
      <c r="AC57" t="n">
        <v>227</v>
      </c>
      <c r="AD57" t="n">
        <v>1</v>
      </c>
      <c r="AE57" t="n">
        <v>2</v>
      </c>
      <c r="AF57" t="n">
        <v>1</v>
      </c>
      <c r="AG57" t="n">
        <v>4</v>
      </c>
      <c r="AH57" t="n">
        <v>1</v>
      </c>
      <c r="AI57" t="n">
        <v>2</v>
      </c>
      <c r="AJ57" t="n">
        <v>0</v>
      </c>
      <c r="AK57" t="n">
        <v>1</v>
      </c>
      <c r="AL57" t="n">
        <v>1</v>
      </c>
      <c r="AM57" t="n">
        <v>2</v>
      </c>
      <c r="AN57" t="n">
        <v>0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HYPERLINK("https://creighton-primo.hosted.exlibrisgroup.com/primo-explore/search?tab=default_tab&amp;search_scope=EVERYTHING&amp;vid=01CRU&amp;lang=en_US&amp;offset=0&amp;query=any,contains,991001486519702656","Catalog Record")</f>
        <v/>
      </c>
      <c r="AV57">
        <f>HYPERLINK("http://www.worldcat.org/oclc/28021134","WorldCat Record")</f>
        <v/>
      </c>
      <c r="AW57" t="inlineStr">
        <is>
          <t>364617153:eng</t>
        </is>
      </c>
      <c r="AX57" t="inlineStr">
        <is>
          <t>28021134</t>
        </is>
      </c>
      <c r="AY57" t="inlineStr">
        <is>
          <t>991001486519702656</t>
        </is>
      </c>
      <c r="AZ57" t="inlineStr">
        <is>
          <t>991001486519702656</t>
        </is>
      </c>
      <c r="BA57" t="inlineStr">
        <is>
          <t>2265182110002656</t>
        </is>
      </c>
      <c r="BB57" t="inlineStr">
        <is>
          <t>BOOK</t>
        </is>
      </c>
      <c r="BD57" t="inlineStr">
        <is>
          <t>9780875531724</t>
        </is>
      </c>
      <c r="BE57" t="inlineStr">
        <is>
          <t>30001002579201</t>
        </is>
      </c>
      <c r="BF57" t="inlineStr">
        <is>
          <t>893451253</t>
        </is>
      </c>
    </row>
    <row r="58">
      <c r="A58" t="inlineStr">
        <is>
          <t>No</t>
        </is>
      </c>
      <c r="B58" t="inlineStr">
        <is>
          <t>CUHSL</t>
        </is>
      </c>
      <c r="C58" t="inlineStr">
        <is>
          <t>SHELVES</t>
        </is>
      </c>
      <c r="D58" t="inlineStr">
        <is>
          <t>WA 39 W872 1996</t>
        </is>
      </c>
      <c r="E58" t="inlineStr">
        <is>
          <t>0                      WA 0039000W  872         1996</t>
        </is>
      </c>
      <c r="F58" t="inlineStr">
        <is>
          <t>Women's health care handbook / edited by Cynda Ann Johnson ... [et al.].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Philadelphia : Hanley &amp; Belfus ; St. Louis : Mosby, c1996.</t>
        </is>
      </c>
      <c r="O58" t="inlineStr">
        <is>
          <t>1996</t>
        </is>
      </c>
      <c r="Q58" t="inlineStr">
        <is>
          <t>eng</t>
        </is>
      </c>
      <c r="R58" t="inlineStr">
        <is>
          <t>pau</t>
        </is>
      </c>
      <c r="T58" t="inlineStr">
        <is>
          <t xml:space="preserve">WA </t>
        </is>
      </c>
      <c r="U58" t="n">
        <v>7</v>
      </c>
      <c r="V58" t="n">
        <v>7</v>
      </c>
      <c r="W58" t="inlineStr">
        <is>
          <t>2000-06-08</t>
        </is>
      </c>
      <c r="X58" t="inlineStr">
        <is>
          <t>2000-06-08</t>
        </is>
      </c>
      <c r="Y58" t="inlineStr">
        <is>
          <t>1997-02-18</t>
        </is>
      </c>
      <c r="Z58" t="inlineStr">
        <is>
          <t>1997-02-18</t>
        </is>
      </c>
      <c r="AA58" t="n">
        <v>158</v>
      </c>
      <c r="AB58" t="n">
        <v>132</v>
      </c>
      <c r="AC58" t="n">
        <v>186</v>
      </c>
      <c r="AD58" t="n">
        <v>2</v>
      </c>
      <c r="AE58" t="n">
        <v>2</v>
      </c>
      <c r="AF58" t="n">
        <v>3</v>
      </c>
      <c r="AG58" t="n">
        <v>5</v>
      </c>
      <c r="AH58" t="n">
        <v>2</v>
      </c>
      <c r="AI58" t="n">
        <v>3</v>
      </c>
      <c r="AJ58" t="n">
        <v>0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HYPERLINK("https://creighton-primo.hosted.exlibrisgroup.com/primo-explore/search?tab=default_tab&amp;search_scope=EVERYTHING&amp;vid=01CRU&amp;lang=en_US&amp;offset=0&amp;query=any,contains,991001552709702656","Catalog Record")</f>
        <v/>
      </c>
      <c r="AV58">
        <f>HYPERLINK("http://www.worldcat.org/oclc/34411058","WorldCat Record")</f>
        <v/>
      </c>
      <c r="AW58" t="inlineStr">
        <is>
          <t>3012900:eng</t>
        </is>
      </c>
      <c r="AX58" t="inlineStr">
        <is>
          <t>34411058</t>
        </is>
      </c>
      <c r="AY58" t="inlineStr">
        <is>
          <t>991001552709702656</t>
        </is>
      </c>
      <c r="AZ58" t="inlineStr">
        <is>
          <t>991001552709702656</t>
        </is>
      </c>
      <c r="BA58" t="inlineStr">
        <is>
          <t>2263233150002656</t>
        </is>
      </c>
      <c r="BB58" t="inlineStr">
        <is>
          <t>BOOK</t>
        </is>
      </c>
      <c r="BD58" t="inlineStr">
        <is>
          <t>9781560531128</t>
        </is>
      </c>
      <c r="BE58" t="inlineStr">
        <is>
          <t>30001003474816</t>
        </is>
      </c>
      <c r="BF58" t="inlineStr">
        <is>
          <t>893162147</t>
        </is>
      </c>
    </row>
    <row r="59">
      <c r="A59" t="inlineStr">
        <is>
          <t>No</t>
        </is>
      </c>
      <c r="B59" t="inlineStr">
        <is>
          <t>CUHSL</t>
        </is>
      </c>
      <c r="C59" t="inlineStr">
        <is>
          <t>SHELVES</t>
        </is>
      </c>
      <c r="D59" t="inlineStr">
        <is>
          <t>WA 100 098 1997</t>
        </is>
      </c>
      <c r="E59" t="inlineStr">
        <is>
          <t>0                      WA 0100000                                                           098 1997</t>
        </is>
      </c>
      <c r="F59" t="inlineStr">
        <is>
          <t>Oxford textbook of public health.</t>
        </is>
      </c>
      <c r="G59" t="inlineStr">
        <is>
          <t>V. 1</t>
        </is>
      </c>
      <c r="H59" t="inlineStr">
        <is>
          <t>Yes</t>
        </is>
      </c>
      <c r="I59" t="inlineStr">
        <is>
          <t>1</t>
        </is>
      </c>
      <c r="J59" t="inlineStr">
        <is>
          <t>No</t>
        </is>
      </c>
      <c r="K59" t="inlineStr">
        <is>
          <t>Yes</t>
        </is>
      </c>
      <c r="L59" t="inlineStr">
        <is>
          <t>0</t>
        </is>
      </c>
      <c r="N59" t="inlineStr">
        <is>
          <t>New York ; Oxford : Oxford University Press, c1997.</t>
        </is>
      </c>
      <c r="O59" t="inlineStr">
        <is>
          <t>1997</t>
        </is>
      </c>
      <c r="P59" t="inlineStr">
        <is>
          <t>3rd ed / edited by Roger Detels ...[et al.].</t>
        </is>
      </c>
      <c r="Q59" t="inlineStr">
        <is>
          <t>eng</t>
        </is>
      </c>
      <c r="R59" t="inlineStr">
        <is>
          <t>enk</t>
        </is>
      </c>
      <c r="T59" t="inlineStr">
        <is>
          <t xml:space="preserve">WA </t>
        </is>
      </c>
      <c r="U59" t="n">
        <v>2</v>
      </c>
      <c r="V59" t="n">
        <v>8</v>
      </c>
      <c r="W59" t="inlineStr">
        <is>
          <t>1997-07-08</t>
        </is>
      </c>
      <c r="X59" t="inlineStr">
        <is>
          <t>2004-03-14</t>
        </is>
      </c>
      <c r="Y59" t="inlineStr">
        <is>
          <t>1997-06-04</t>
        </is>
      </c>
      <c r="Z59" t="inlineStr">
        <is>
          <t>1997-06-04</t>
        </is>
      </c>
      <c r="AA59" t="n">
        <v>248</v>
      </c>
      <c r="AB59" t="n">
        <v>148</v>
      </c>
      <c r="AC59" t="n">
        <v>366</v>
      </c>
      <c r="AD59" t="n">
        <v>2</v>
      </c>
      <c r="AE59" t="n">
        <v>2</v>
      </c>
      <c r="AF59" t="n">
        <v>4</v>
      </c>
      <c r="AG59" t="n">
        <v>13</v>
      </c>
      <c r="AH59" t="n">
        <v>1</v>
      </c>
      <c r="AI59" t="n">
        <v>5</v>
      </c>
      <c r="AJ59" t="n">
        <v>0</v>
      </c>
      <c r="AK59" t="n">
        <v>4</v>
      </c>
      <c r="AL59" t="n">
        <v>2</v>
      </c>
      <c r="AM59" t="n">
        <v>6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HYPERLINK("http://catalog.hathitrust.org/Record/003968448","HathiTrust Record")</f>
        <v/>
      </c>
      <c r="AU59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59">
        <f>HYPERLINK("http://www.worldcat.org/oclc/37588733","WorldCat Record")</f>
        <v/>
      </c>
      <c r="AW59" t="inlineStr">
        <is>
          <t>5218478559:eng</t>
        </is>
      </c>
      <c r="AX59" t="inlineStr">
        <is>
          <t>37588733</t>
        </is>
      </c>
      <c r="AY59" t="inlineStr">
        <is>
          <t>991001228369702656</t>
        </is>
      </c>
      <c r="AZ59" t="inlineStr">
        <is>
          <t>991001228369702656</t>
        </is>
      </c>
      <c r="BA59" t="inlineStr">
        <is>
          <t>2258668230002656</t>
        </is>
      </c>
      <c r="BB59" t="inlineStr">
        <is>
          <t>BOOK</t>
        </is>
      </c>
      <c r="BD59" t="inlineStr">
        <is>
          <t>9780192625502</t>
        </is>
      </c>
      <c r="BE59" t="inlineStr">
        <is>
          <t>30001003670967</t>
        </is>
      </c>
      <c r="BF59" t="inlineStr">
        <is>
          <t>893731761</t>
        </is>
      </c>
    </row>
    <row r="60">
      <c r="A60" t="inlineStr">
        <is>
          <t>No</t>
        </is>
      </c>
      <c r="B60" t="inlineStr">
        <is>
          <t>CUHSL</t>
        </is>
      </c>
      <c r="C60" t="inlineStr">
        <is>
          <t>SHELVES</t>
        </is>
      </c>
      <c r="D60" t="inlineStr">
        <is>
          <t>WA 100 098 1997</t>
        </is>
      </c>
      <c r="E60" t="inlineStr">
        <is>
          <t>0                      WA 0100000                                                           098 1997</t>
        </is>
      </c>
      <c r="F60" t="inlineStr">
        <is>
          <t>Oxford textbook of public health.</t>
        </is>
      </c>
      <c r="G60" t="inlineStr">
        <is>
          <t>V. 3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N60" t="inlineStr">
        <is>
          <t>New York ; Oxford : Oxford University Press, c1997.</t>
        </is>
      </c>
      <c r="O60" t="inlineStr">
        <is>
          <t>1997</t>
        </is>
      </c>
      <c r="P60" t="inlineStr">
        <is>
          <t>3rd ed / edited by Roger Detels ...[et al.].</t>
        </is>
      </c>
      <c r="Q60" t="inlineStr">
        <is>
          <t>eng</t>
        </is>
      </c>
      <c r="R60" t="inlineStr">
        <is>
          <t>enk</t>
        </is>
      </c>
      <c r="T60" t="inlineStr">
        <is>
          <t xml:space="preserve">WA </t>
        </is>
      </c>
      <c r="U60" t="n">
        <v>3</v>
      </c>
      <c r="V60" t="n">
        <v>8</v>
      </c>
      <c r="W60" t="inlineStr">
        <is>
          <t>1999-02-12</t>
        </is>
      </c>
      <c r="X60" t="inlineStr">
        <is>
          <t>2004-03-14</t>
        </is>
      </c>
      <c r="Y60" t="inlineStr">
        <is>
          <t>1997-06-04</t>
        </is>
      </c>
      <c r="Z60" t="inlineStr">
        <is>
          <t>1997-06-04</t>
        </is>
      </c>
      <c r="AA60" t="n">
        <v>248</v>
      </c>
      <c r="AB60" t="n">
        <v>148</v>
      </c>
      <c r="AC60" t="n">
        <v>366</v>
      </c>
      <c r="AD60" t="n">
        <v>2</v>
      </c>
      <c r="AE60" t="n">
        <v>2</v>
      </c>
      <c r="AF60" t="n">
        <v>4</v>
      </c>
      <c r="AG60" t="n">
        <v>13</v>
      </c>
      <c r="AH60" t="n">
        <v>1</v>
      </c>
      <c r="AI60" t="n">
        <v>5</v>
      </c>
      <c r="AJ60" t="n">
        <v>0</v>
      </c>
      <c r="AK60" t="n">
        <v>4</v>
      </c>
      <c r="AL60" t="n">
        <v>2</v>
      </c>
      <c r="AM60" t="n">
        <v>6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HYPERLINK("http://catalog.hathitrust.org/Record/003968448","HathiTrust Record")</f>
        <v/>
      </c>
      <c r="AU60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60">
        <f>HYPERLINK("http://www.worldcat.org/oclc/37588733","WorldCat Record")</f>
        <v/>
      </c>
      <c r="AW60" t="inlineStr">
        <is>
          <t>5218478559:eng</t>
        </is>
      </c>
      <c r="AX60" t="inlineStr">
        <is>
          <t>37588733</t>
        </is>
      </c>
      <c r="AY60" t="inlineStr">
        <is>
          <t>991001228369702656</t>
        </is>
      </c>
      <c r="AZ60" t="inlineStr">
        <is>
          <t>991001228369702656</t>
        </is>
      </c>
      <c r="BA60" t="inlineStr">
        <is>
          <t>2258668230002656</t>
        </is>
      </c>
      <c r="BB60" t="inlineStr">
        <is>
          <t>BOOK</t>
        </is>
      </c>
      <c r="BD60" t="inlineStr">
        <is>
          <t>9780192625502</t>
        </is>
      </c>
      <c r="BE60" t="inlineStr">
        <is>
          <t>30001003670983</t>
        </is>
      </c>
      <c r="BF60" t="inlineStr">
        <is>
          <t>893736340</t>
        </is>
      </c>
    </row>
    <row r="61">
      <c r="A61" t="inlineStr">
        <is>
          <t>No</t>
        </is>
      </c>
      <c r="B61" t="inlineStr">
        <is>
          <t>CUHSL</t>
        </is>
      </c>
      <c r="C61" t="inlineStr">
        <is>
          <t>SHELVES</t>
        </is>
      </c>
      <c r="D61" t="inlineStr">
        <is>
          <t>WA 100 098 1997</t>
        </is>
      </c>
      <c r="E61" t="inlineStr">
        <is>
          <t>0                      WA 0100000                                                           098 1997</t>
        </is>
      </c>
      <c r="F61" t="inlineStr">
        <is>
          <t>Oxford textbook of public health.</t>
        </is>
      </c>
      <c r="G61" t="inlineStr">
        <is>
          <t>V. 2</t>
        </is>
      </c>
      <c r="H61" t="inlineStr">
        <is>
          <t>Yes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N61" t="inlineStr">
        <is>
          <t>New York ; Oxford : Oxford University Press, c1997.</t>
        </is>
      </c>
      <c r="O61" t="inlineStr">
        <is>
          <t>1997</t>
        </is>
      </c>
      <c r="P61" t="inlineStr">
        <is>
          <t>3rd ed / edited by Roger Detels ...[et al.].</t>
        </is>
      </c>
      <c r="Q61" t="inlineStr">
        <is>
          <t>eng</t>
        </is>
      </c>
      <c r="R61" t="inlineStr">
        <is>
          <t>enk</t>
        </is>
      </c>
      <c r="T61" t="inlineStr">
        <is>
          <t xml:space="preserve">WA </t>
        </is>
      </c>
      <c r="U61" t="n">
        <v>3</v>
      </c>
      <c r="V61" t="n">
        <v>8</v>
      </c>
      <c r="W61" t="inlineStr">
        <is>
          <t>2004-03-14</t>
        </is>
      </c>
      <c r="X61" t="inlineStr">
        <is>
          <t>2004-03-14</t>
        </is>
      </c>
      <c r="Y61" t="inlineStr">
        <is>
          <t>1997-06-04</t>
        </is>
      </c>
      <c r="Z61" t="inlineStr">
        <is>
          <t>1997-06-04</t>
        </is>
      </c>
      <c r="AA61" t="n">
        <v>248</v>
      </c>
      <c r="AB61" t="n">
        <v>148</v>
      </c>
      <c r="AC61" t="n">
        <v>366</v>
      </c>
      <c r="AD61" t="n">
        <v>2</v>
      </c>
      <c r="AE61" t="n">
        <v>2</v>
      </c>
      <c r="AF61" t="n">
        <v>4</v>
      </c>
      <c r="AG61" t="n">
        <v>13</v>
      </c>
      <c r="AH61" t="n">
        <v>1</v>
      </c>
      <c r="AI61" t="n">
        <v>5</v>
      </c>
      <c r="AJ61" t="n">
        <v>0</v>
      </c>
      <c r="AK61" t="n">
        <v>4</v>
      </c>
      <c r="AL61" t="n">
        <v>2</v>
      </c>
      <c r="AM61" t="n">
        <v>6</v>
      </c>
      <c r="AN61" t="n">
        <v>1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HYPERLINK("http://catalog.hathitrust.org/Record/003968448","HathiTrust Record")</f>
        <v/>
      </c>
      <c r="AU61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61">
        <f>HYPERLINK("http://www.worldcat.org/oclc/37588733","WorldCat Record")</f>
        <v/>
      </c>
      <c r="AW61" t="inlineStr">
        <is>
          <t>5218478559:eng</t>
        </is>
      </c>
      <c r="AX61" t="inlineStr">
        <is>
          <t>37588733</t>
        </is>
      </c>
      <c r="AY61" t="inlineStr">
        <is>
          <t>991001228369702656</t>
        </is>
      </c>
      <c r="AZ61" t="inlineStr">
        <is>
          <t>991001228369702656</t>
        </is>
      </c>
      <c r="BA61" t="inlineStr">
        <is>
          <t>2258668230002656</t>
        </is>
      </c>
      <c r="BB61" t="inlineStr">
        <is>
          <t>BOOK</t>
        </is>
      </c>
      <c r="BD61" t="inlineStr">
        <is>
          <t>9780192625502</t>
        </is>
      </c>
      <c r="BE61" t="inlineStr">
        <is>
          <t>30001003670975</t>
        </is>
      </c>
      <c r="BF61" t="inlineStr">
        <is>
          <t>893740886</t>
        </is>
      </c>
    </row>
    <row r="62">
      <c r="A62" t="inlineStr">
        <is>
          <t>No</t>
        </is>
      </c>
      <c r="B62" t="inlineStr">
        <is>
          <t>CUHSL</t>
        </is>
      </c>
      <c r="C62" t="inlineStr">
        <is>
          <t>SHELVES</t>
        </is>
      </c>
      <c r="D62" t="inlineStr">
        <is>
          <t>WA100 C66  2002</t>
        </is>
      </c>
      <c r="E62" t="inlineStr">
        <is>
          <t>0                      WA 0100000C  66          2002</t>
        </is>
      </c>
      <c r="F62" t="inlineStr">
        <is>
          <t>Communicating public health information effectively : a guide for practitioners / David E. Nelson ... [et al.].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Washington, D.C. : American Public Health Association, 2002.</t>
        </is>
      </c>
      <c r="O62" t="inlineStr">
        <is>
          <t>2002</t>
        </is>
      </c>
      <c r="Q62" t="inlineStr">
        <is>
          <t>eng</t>
        </is>
      </c>
      <c r="R62" t="inlineStr">
        <is>
          <t>dcu</t>
        </is>
      </c>
      <c r="T62" t="inlineStr">
        <is>
          <t xml:space="preserve">WA </t>
        </is>
      </c>
      <c r="U62" t="n">
        <v>3</v>
      </c>
      <c r="V62" t="n">
        <v>3</v>
      </c>
      <c r="W62" t="inlineStr">
        <is>
          <t>2004-03-30</t>
        </is>
      </c>
      <c r="X62" t="inlineStr">
        <is>
          <t>2004-03-30</t>
        </is>
      </c>
      <c r="Y62" t="inlineStr">
        <is>
          <t>2004-03-29</t>
        </is>
      </c>
      <c r="Z62" t="inlineStr">
        <is>
          <t>2004-03-29</t>
        </is>
      </c>
      <c r="AA62" t="n">
        <v>280</v>
      </c>
      <c r="AB62" t="n">
        <v>239</v>
      </c>
      <c r="AC62" t="n">
        <v>241</v>
      </c>
      <c r="AD62" t="n">
        <v>2</v>
      </c>
      <c r="AE62" t="n">
        <v>2</v>
      </c>
      <c r="AF62" t="n">
        <v>9</v>
      </c>
      <c r="AG62" t="n">
        <v>9</v>
      </c>
      <c r="AH62" t="n">
        <v>1</v>
      </c>
      <c r="AI62" t="n">
        <v>1</v>
      </c>
      <c r="AJ62" t="n">
        <v>3</v>
      </c>
      <c r="AK62" t="n">
        <v>3</v>
      </c>
      <c r="AL62" t="n">
        <v>5</v>
      </c>
      <c r="AM62" t="n">
        <v>5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HYPERLINK("https://creighton-primo.hosted.exlibrisgroup.com/primo-explore/search?tab=default_tab&amp;search_scope=EVERYTHING&amp;vid=01CRU&amp;lang=en_US&amp;offset=0&amp;query=any,contains,991000368629702656","Catalog Record")</f>
        <v/>
      </c>
      <c r="AV62">
        <f>HYPERLINK("http://www.worldcat.org/oclc/52302256","WorldCat Record")</f>
        <v/>
      </c>
      <c r="AW62" t="inlineStr">
        <is>
          <t>908611042:eng</t>
        </is>
      </c>
      <c r="AX62" t="inlineStr">
        <is>
          <t>52302256</t>
        </is>
      </c>
      <c r="AY62" t="inlineStr">
        <is>
          <t>991000368629702656</t>
        </is>
      </c>
      <c r="AZ62" t="inlineStr">
        <is>
          <t>991000368629702656</t>
        </is>
      </c>
      <c r="BA62" t="inlineStr">
        <is>
          <t>2256215690002656</t>
        </is>
      </c>
      <c r="BB62" t="inlineStr">
        <is>
          <t>BOOK</t>
        </is>
      </c>
      <c r="BD62" t="inlineStr">
        <is>
          <t>9780875530277</t>
        </is>
      </c>
      <c r="BE62" t="inlineStr">
        <is>
          <t>30001004507341</t>
        </is>
      </c>
      <c r="BF62" t="inlineStr">
        <is>
          <t>893817043</t>
        </is>
      </c>
    </row>
    <row r="63">
      <c r="A63" t="inlineStr">
        <is>
          <t>No</t>
        </is>
      </c>
      <c r="B63" t="inlineStr">
        <is>
          <t>CUHSL</t>
        </is>
      </c>
      <c r="C63" t="inlineStr">
        <is>
          <t>SHELVES</t>
        </is>
      </c>
      <c r="D63" t="inlineStr">
        <is>
          <t>WA 100 D6758e 2009</t>
        </is>
      </c>
      <c r="E63" t="inlineStr">
        <is>
          <t>0                      WA 0100000D  6758e       2009</t>
        </is>
      </c>
      <c r="F63" t="inlineStr">
        <is>
          <t>Donaldsons' essential public health / Liam J. Donaldson and Gabriel Scally.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Donaldson, Liam J.</t>
        </is>
      </c>
      <c r="N63" t="inlineStr">
        <is>
          <t>Oxford ; New York : Radcliffe, c2009.</t>
        </is>
      </c>
      <c r="O63" t="inlineStr">
        <is>
          <t>2009</t>
        </is>
      </c>
      <c r="P63" t="inlineStr">
        <is>
          <t>3rd ed.</t>
        </is>
      </c>
      <c r="Q63" t="inlineStr">
        <is>
          <t>eng</t>
        </is>
      </c>
      <c r="R63" t="inlineStr">
        <is>
          <t>enk</t>
        </is>
      </c>
      <c r="T63" t="inlineStr">
        <is>
          <t xml:space="preserve">WA </t>
        </is>
      </c>
      <c r="U63" t="n">
        <v>0</v>
      </c>
      <c r="V63" t="n">
        <v>0</v>
      </c>
      <c r="W63" t="inlineStr">
        <is>
          <t>2009-08-12</t>
        </is>
      </c>
      <c r="X63" t="inlineStr">
        <is>
          <t>2009-08-12</t>
        </is>
      </c>
      <c r="Y63" t="inlineStr">
        <is>
          <t>2009-08-10</t>
        </is>
      </c>
      <c r="Z63" t="inlineStr">
        <is>
          <t>2009-08-10</t>
        </is>
      </c>
      <c r="AA63" t="n">
        <v>177</v>
      </c>
      <c r="AB63" t="n">
        <v>61</v>
      </c>
      <c r="AC63" t="n">
        <v>104</v>
      </c>
      <c r="AD63" t="n">
        <v>1</v>
      </c>
      <c r="AE63" t="n">
        <v>1</v>
      </c>
      <c r="AF63" t="n">
        <v>3</v>
      </c>
      <c r="AG63" t="n">
        <v>3</v>
      </c>
      <c r="AH63" t="n">
        <v>2</v>
      </c>
      <c r="AI63" t="n">
        <v>2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HYPERLINK("https://creighton-primo.hosted.exlibrisgroup.com/primo-explore/search?tab=default_tab&amp;search_scope=EVERYTHING&amp;vid=01CRU&amp;lang=en_US&amp;offset=0&amp;query=any,contains,991001484219702656","Catalog Record")</f>
        <v/>
      </c>
      <c r="AV63">
        <f>HYPERLINK("http://www.worldcat.org/oclc/297802711","WorldCat Record")</f>
        <v/>
      </c>
      <c r="AW63" t="inlineStr">
        <is>
          <t>3857331780:eng</t>
        </is>
      </c>
      <c r="AX63" t="inlineStr">
        <is>
          <t>297802711</t>
        </is>
      </c>
      <c r="AY63" t="inlineStr">
        <is>
          <t>991001484219702656</t>
        </is>
      </c>
      <c r="AZ63" t="inlineStr">
        <is>
          <t>991001484219702656</t>
        </is>
      </c>
      <c r="BA63" t="inlineStr">
        <is>
          <t>2257791450002656</t>
        </is>
      </c>
      <c r="BB63" t="inlineStr">
        <is>
          <t>BOOK</t>
        </is>
      </c>
      <c r="BD63" t="inlineStr">
        <is>
          <t>9781846192098</t>
        </is>
      </c>
      <c r="BE63" t="inlineStr">
        <is>
          <t>30001004918555</t>
        </is>
      </c>
      <c r="BF63" t="inlineStr">
        <is>
          <t>893279152</t>
        </is>
      </c>
    </row>
    <row r="64">
      <c r="A64" t="inlineStr">
        <is>
          <t>No</t>
        </is>
      </c>
      <c r="B64" t="inlineStr">
        <is>
          <t>CUHSL</t>
        </is>
      </c>
      <c r="C64" t="inlineStr">
        <is>
          <t>SHELVES</t>
        </is>
      </c>
      <c r="D64" t="inlineStr">
        <is>
          <t>WA 100 E27 1989</t>
        </is>
      </c>
      <c r="E64" t="inlineStr">
        <is>
          <t>0                      WA 0100000E  27          1989</t>
        </is>
      </c>
      <c r="F64" t="inlineStr">
        <is>
          <t>Effectiveness and outcomes in health care : proceedings of an invitational conference by the Institute of Medicine, Division of Health Care Services / Kim A. Heithoff and Kathleen N. Lohr, editors.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2</t>
        </is>
      </c>
      <c r="N64" t="inlineStr">
        <is>
          <t>Washington, D.C. : National Academy Press, 1990.</t>
        </is>
      </c>
      <c r="O64" t="inlineStr">
        <is>
          <t>1990</t>
        </is>
      </c>
      <c r="Q64" t="inlineStr">
        <is>
          <t>eng</t>
        </is>
      </c>
      <c r="R64" t="inlineStr">
        <is>
          <t>dcu</t>
        </is>
      </c>
      <c r="T64" t="inlineStr">
        <is>
          <t xml:space="preserve">WA </t>
        </is>
      </c>
      <c r="U64" t="n">
        <v>3</v>
      </c>
      <c r="V64" t="n">
        <v>3</v>
      </c>
      <c r="W64" t="inlineStr">
        <is>
          <t>1995-07-12</t>
        </is>
      </c>
      <c r="X64" t="inlineStr">
        <is>
          <t>1995-07-12</t>
        </is>
      </c>
      <c r="Y64" t="inlineStr">
        <is>
          <t>1990-11-30</t>
        </is>
      </c>
      <c r="Z64" t="inlineStr">
        <is>
          <t>1990-11-30</t>
        </is>
      </c>
      <c r="AA64" t="n">
        <v>185</v>
      </c>
      <c r="AB64" t="n">
        <v>164</v>
      </c>
      <c r="AC64" t="n">
        <v>1047</v>
      </c>
      <c r="AD64" t="n">
        <v>1</v>
      </c>
      <c r="AE64" t="n">
        <v>14</v>
      </c>
      <c r="AF64" t="n">
        <v>2</v>
      </c>
      <c r="AG64" t="n">
        <v>36</v>
      </c>
      <c r="AH64" t="n">
        <v>0</v>
      </c>
      <c r="AI64" t="n">
        <v>10</v>
      </c>
      <c r="AJ64" t="n">
        <v>0</v>
      </c>
      <c r="AK64" t="n">
        <v>8</v>
      </c>
      <c r="AL64" t="n">
        <v>2</v>
      </c>
      <c r="AM64" t="n">
        <v>10</v>
      </c>
      <c r="AN64" t="n">
        <v>0</v>
      </c>
      <c r="AO64" t="n">
        <v>12</v>
      </c>
      <c r="AP64" t="n">
        <v>0</v>
      </c>
      <c r="AQ64" t="n">
        <v>1</v>
      </c>
      <c r="AR64" t="inlineStr">
        <is>
          <t>No</t>
        </is>
      </c>
      <c r="AS64" t="inlineStr">
        <is>
          <t>Yes</t>
        </is>
      </c>
      <c r="AT64">
        <f>HYPERLINK("http://catalog.hathitrust.org/Record/002232193","HathiTrust Record")</f>
        <v/>
      </c>
      <c r="AU64">
        <f>HYPERLINK("https://creighton-primo.hosted.exlibrisgroup.com/primo-explore/search?tab=default_tab&amp;search_scope=EVERYTHING&amp;vid=01CRU&amp;lang=en_US&amp;offset=0&amp;query=any,contains,991000781619702656","Catalog Record")</f>
        <v/>
      </c>
      <c r="AV64">
        <f>HYPERLINK("http://www.worldcat.org/oclc/24795642","WorldCat Record")</f>
        <v/>
      </c>
      <c r="AW64" t="inlineStr">
        <is>
          <t>799703604:eng</t>
        </is>
      </c>
      <c r="AX64" t="inlineStr">
        <is>
          <t>24795642</t>
        </is>
      </c>
      <c r="AY64" t="inlineStr">
        <is>
          <t>991000781619702656</t>
        </is>
      </c>
      <c r="AZ64" t="inlineStr">
        <is>
          <t>991000781619702656</t>
        </is>
      </c>
      <c r="BA64" t="inlineStr">
        <is>
          <t>2262398950002656</t>
        </is>
      </c>
      <c r="BB64" t="inlineStr">
        <is>
          <t>BOOK</t>
        </is>
      </c>
      <c r="BD64" t="inlineStr">
        <is>
          <t>9780309043427</t>
        </is>
      </c>
      <c r="BE64" t="inlineStr">
        <is>
          <t>30001002064881</t>
        </is>
      </c>
      <c r="BF64" t="inlineStr">
        <is>
          <t>893731225</t>
        </is>
      </c>
    </row>
    <row r="65">
      <c r="A65" t="inlineStr">
        <is>
          <t>No</t>
        </is>
      </c>
      <c r="B65" t="inlineStr">
        <is>
          <t>CUHSL</t>
        </is>
      </c>
      <c r="C65" t="inlineStr">
        <is>
          <t>SHELVES</t>
        </is>
      </c>
      <c r="D65" t="inlineStr">
        <is>
          <t>WA 100 E34 1987</t>
        </is>
      </c>
      <c r="E65" t="inlineStr">
        <is>
          <t>0                      WA 0100000E  34          1987</t>
        </is>
      </c>
      <c r="F65" t="inlineStr">
        <is>
          <t>Ethical dilemmas in health promotion / editor, Spyros Doxiadis ; editorial committee, Roger Blaney ... [et al.].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N65" t="inlineStr">
        <is>
          <t>Chichester ; New York : Wiley, c1987.</t>
        </is>
      </c>
      <c r="O65" t="inlineStr">
        <is>
          <t>1987</t>
        </is>
      </c>
      <c r="Q65" t="inlineStr">
        <is>
          <t>eng</t>
        </is>
      </c>
      <c r="R65" t="inlineStr">
        <is>
          <t>enk</t>
        </is>
      </c>
      <c r="S65" t="inlineStr">
        <is>
          <t>A Wiley medical publication</t>
        </is>
      </c>
      <c r="T65" t="inlineStr">
        <is>
          <t xml:space="preserve">WA </t>
        </is>
      </c>
      <c r="U65" t="n">
        <v>9</v>
      </c>
      <c r="V65" t="n">
        <v>9</v>
      </c>
      <c r="W65" t="inlineStr">
        <is>
          <t>1997-05-23</t>
        </is>
      </c>
      <c r="X65" t="inlineStr">
        <is>
          <t>1997-05-23</t>
        </is>
      </c>
      <c r="Y65" t="inlineStr">
        <is>
          <t>1988-01-07</t>
        </is>
      </c>
      <c r="Z65" t="inlineStr">
        <is>
          <t>1988-01-07</t>
        </is>
      </c>
      <c r="AA65" t="n">
        <v>209</v>
      </c>
      <c r="AB65" t="n">
        <v>129</v>
      </c>
      <c r="AC65" t="n">
        <v>136</v>
      </c>
      <c r="AD65" t="n">
        <v>1</v>
      </c>
      <c r="AE65" t="n">
        <v>1</v>
      </c>
      <c r="AF65" t="n">
        <v>8</v>
      </c>
      <c r="AG65" t="n">
        <v>8</v>
      </c>
      <c r="AH65" t="n">
        <v>1</v>
      </c>
      <c r="AI65" t="n">
        <v>1</v>
      </c>
      <c r="AJ65" t="n">
        <v>2</v>
      </c>
      <c r="AK65" t="n">
        <v>2</v>
      </c>
      <c r="AL65" t="n">
        <v>6</v>
      </c>
      <c r="AM65" t="n">
        <v>6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HYPERLINK("http://catalog.hathitrust.org/Record/000825061","HathiTrust Record")</f>
        <v/>
      </c>
      <c r="AU65">
        <f>HYPERLINK("https://creighton-primo.hosted.exlibrisgroup.com/primo-explore/search?tab=default_tab&amp;search_scope=EVERYTHING&amp;vid=01CRU&amp;lang=en_US&amp;offset=0&amp;query=any,contains,991000687529702656","Catalog Record")</f>
        <v/>
      </c>
      <c r="AV65">
        <f>HYPERLINK("http://www.worldcat.org/oclc/14239745","WorldCat Record")</f>
        <v/>
      </c>
      <c r="AW65" t="inlineStr">
        <is>
          <t>441391654:eng</t>
        </is>
      </c>
      <c r="AX65" t="inlineStr">
        <is>
          <t>14239745</t>
        </is>
      </c>
      <c r="AY65" t="inlineStr">
        <is>
          <t>991000687529702656</t>
        </is>
      </c>
      <c r="AZ65" t="inlineStr">
        <is>
          <t>991000687529702656</t>
        </is>
      </c>
      <c r="BA65" t="inlineStr">
        <is>
          <t>2265898060002656</t>
        </is>
      </c>
      <c r="BB65" t="inlineStr">
        <is>
          <t>BOOK</t>
        </is>
      </c>
      <c r="BD65" t="inlineStr">
        <is>
          <t>9780471913139</t>
        </is>
      </c>
      <c r="BE65" t="inlineStr">
        <is>
          <t>30001000695397</t>
        </is>
      </c>
      <c r="BF65" t="inlineStr">
        <is>
          <t>893368228</t>
        </is>
      </c>
    </row>
    <row r="66">
      <c r="A66" t="inlineStr">
        <is>
          <t>No</t>
        </is>
      </c>
      <c r="B66" t="inlineStr">
        <is>
          <t>CUHSL</t>
        </is>
      </c>
      <c r="C66" t="inlineStr">
        <is>
          <t>SHELVES</t>
        </is>
      </c>
      <c r="D66" t="inlineStr">
        <is>
          <t>WA100 E93 2003</t>
        </is>
      </c>
      <c r="E66" t="inlineStr">
        <is>
          <t>0                      WA 0100000E  93          2003</t>
        </is>
      </c>
      <c r="F66" t="inlineStr">
        <is>
          <t>Evidence-based public health / Ross C. Brownson ... [et al.].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Oxford ; New York : Oxford University Press, c2003.</t>
        </is>
      </c>
      <c r="O66" t="inlineStr">
        <is>
          <t>2003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WA </t>
        </is>
      </c>
      <c r="U66" t="n">
        <v>0</v>
      </c>
      <c r="V66" t="n">
        <v>0</v>
      </c>
      <c r="W66" t="inlineStr">
        <is>
          <t>2005-11-22</t>
        </is>
      </c>
      <c r="X66" t="inlineStr">
        <is>
          <t>2005-11-22</t>
        </is>
      </c>
      <c r="Y66" t="inlineStr">
        <is>
          <t>2005-11-18</t>
        </is>
      </c>
      <c r="Z66" t="inlineStr">
        <is>
          <t>2005-11-18</t>
        </is>
      </c>
      <c r="AA66" t="n">
        <v>427</v>
      </c>
      <c r="AB66" t="n">
        <v>283</v>
      </c>
      <c r="AC66" t="n">
        <v>481</v>
      </c>
      <c r="AD66" t="n">
        <v>1</v>
      </c>
      <c r="AE66" t="n">
        <v>2</v>
      </c>
      <c r="AF66" t="n">
        <v>11</v>
      </c>
      <c r="AG66" t="n">
        <v>26</v>
      </c>
      <c r="AH66" t="n">
        <v>2</v>
      </c>
      <c r="AI66" t="n">
        <v>8</v>
      </c>
      <c r="AJ66" t="n">
        <v>3</v>
      </c>
      <c r="AK66" t="n">
        <v>9</v>
      </c>
      <c r="AL66" t="n">
        <v>7</v>
      </c>
      <c r="AM66" t="n">
        <v>11</v>
      </c>
      <c r="AN66" t="n">
        <v>0</v>
      </c>
      <c r="AO66" t="n">
        <v>1</v>
      </c>
      <c r="AP66" t="n">
        <v>0</v>
      </c>
      <c r="AQ66" t="n">
        <v>1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HYPERLINK("https://creighton-primo.hosted.exlibrisgroup.com/primo-explore/search?tab=default_tab&amp;search_scope=EVERYTHING&amp;vid=01CRU&amp;lang=en_US&amp;offset=0&amp;query=any,contains,991000449939702656","Catalog Record")</f>
        <v/>
      </c>
      <c r="AV66">
        <f>HYPERLINK("http://www.worldcat.org/oclc/48892440","WorldCat Record")</f>
        <v/>
      </c>
      <c r="AW66" t="inlineStr">
        <is>
          <t>866308118:eng</t>
        </is>
      </c>
      <c r="AX66" t="inlineStr">
        <is>
          <t>48892440</t>
        </is>
      </c>
      <c r="AY66" t="inlineStr">
        <is>
          <t>991000449939702656</t>
        </is>
      </c>
      <c r="AZ66" t="inlineStr">
        <is>
          <t>991000449939702656</t>
        </is>
      </c>
      <c r="BA66" t="inlineStr">
        <is>
          <t>2269249520002656</t>
        </is>
      </c>
      <c r="BB66" t="inlineStr">
        <is>
          <t>BOOK</t>
        </is>
      </c>
      <c r="BD66" t="inlineStr">
        <is>
          <t>9780195143768</t>
        </is>
      </c>
      <c r="BE66" t="inlineStr">
        <is>
          <t>30001004911527</t>
        </is>
      </c>
      <c r="BF66" t="inlineStr">
        <is>
          <t>893644440</t>
        </is>
      </c>
    </row>
    <row r="67">
      <c r="A67" t="inlineStr">
        <is>
          <t>No</t>
        </is>
      </c>
      <c r="B67" t="inlineStr">
        <is>
          <t>CUHSL</t>
        </is>
      </c>
      <c r="C67" t="inlineStr">
        <is>
          <t>SHELVES</t>
        </is>
      </c>
      <c r="D67" t="inlineStr">
        <is>
          <t>WA 100 G762h 1987</t>
        </is>
      </c>
      <c r="E67" t="inlineStr">
        <is>
          <t>0                      WA 0100000G  762h        1987</t>
        </is>
      </c>
      <c r="F67" t="inlineStr">
        <is>
          <t>Handbook of community health / Murray Grant.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Grant, Murray, 1926-</t>
        </is>
      </c>
      <c r="N67" t="inlineStr">
        <is>
          <t>Philadelphia : Lea &amp; Febiger, 1987.</t>
        </is>
      </c>
      <c r="O67" t="inlineStr">
        <is>
          <t>1987</t>
        </is>
      </c>
      <c r="P67" t="inlineStr">
        <is>
          <t>4th ed.</t>
        </is>
      </c>
      <c r="Q67" t="inlineStr">
        <is>
          <t>eng</t>
        </is>
      </c>
      <c r="R67" t="inlineStr">
        <is>
          <t>xxu</t>
        </is>
      </c>
      <c r="T67" t="inlineStr">
        <is>
          <t xml:space="preserve">WA </t>
        </is>
      </c>
      <c r="U67" t="n">
        <v>7</v>
      </c>
      <c r="V67" t="n">
        <v>7</v>
      </c>
      <c r="W67" t="inlineStr">
        <is>
          <t>1991-01-04</t>
        </is>
      </c>
      <c r="X67" t="inlineStr">
        <is>
          <t>1991-01-04</t>
        </is>
      </c>
      <c r="Y67" t="inlineStr">
        <is>
          <t>1988-01-07</t>
        </is>
      </c>
      <c r="Z67" t="inlineStr">
        <is>
          <t>1988-01-07</t>
        </is>
      </c>
      <c r="AA67" t="n">
        <v>359</v>
      </c>
      <c r="AB67" t="n">
        <v>291</v>
      </c>
      <c r="AC67" t="n">
        <v>463</v>
      </c>
      <c r="AD67" t="n">
        <v>2</v>
      </c>
      <c r="AE67" t="n">
        <v>3</v>
      </c>
      <c r="AF67" t="n">
        <v>5</v>
      </c>
      <c r="AG67" t="n">
        <v>7</v>
      </c>
      <c r="AH67" t="n">
        <v>2</v>
      </c>
      <c r="AI67" t="n">
        <v>2</v>
      </c>
      <c r="AJ67" t="n">
        <v>1</v>
      </c>
      <c r="AK67" t="n">
        <v>1</v>
      </c>
      <c r="AL67" t="n">
        <v>4</v>
      </c>
      <c r="AM67" t="n">
        <v>5</v>
      </c>
      <c r="AN67" t="n">
        <v>0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HYPERLINK("http://catalog.hathitrust.org/Record/000818508","HathiTrust Record")</f>
        <v/>
      </c>
      <c r="AU67">
        <f>HYPERLINK("https://creighton-primo.hosted.exlibrisgroup.com/primo-explore/search?tab=default_tab&amp;search_scope=EVERYTHING&amp;vid=01CRU&amp;lang=en_US&amp;offset=0&amp;query=any,contains,991000687819702656","Catalog Record")</f>
        <v/>
      </c>
      <c r="AV67">
        <f>HYPERLINK("http://www.worldcat.org/oclc/15163302","WorldCat Record")</f>
        <v/>
      </c>
      <c r="AW67" t="inlineStr">
        <is>
          <t>1728869:eng</t>
        </is>
      </c>
      <c r="AX67" t="inlineStr">
        <is>
          <t>15163302</t>
        </is>
      </c>
      <c r="AY67" t="inlineStr">
        <is>
          <t>991000687819702656</t>
        </is>
      </c>
      <c r="AZ67" t="inlineStr">
        <is>
          <t>991000687819702656</t>
        </is>
      </c>
      <c r="BA67" t="inlineStr">
        <is>
          <t>2255170480002656</t>
        </is>
      </c>
      <c r="BB67" t="inlineStr">
        <is>
          <t>BOOK</t>
        </is>
      </c>
      <c r="BD67" t="inlineStr">
        <is>
          <t>9780812110838</t>
        </is>
      </c>
      <c r="BE67" t="inlineStr">
        <is>
          <t>30001000695488</t>
        </is>
      </c>
      <c r="BF67" t="inlineStr">
        <is>
          <t>893277952</t>
        </is>
      </c>
    </row>
    <row r="68">
      <c r="A68" t="inlineStr">
        <is>
          <t>No</t>
        </is>
      </c>
      <c r="B68" t="inlineStr">
        <is>
          <t>CUHSL</t>
        </is>
      </c>
      <c r="C68" t="inlineStr">
        <is>
          <t>SHELVES</t>
        </is>
      </c>
      <c r="D68" t="inlineStr">
        <is>
          <t>WA 100 G816e 1935</t>
        </is>
      </c>
      <c r="E68" t="inlineStr">
        <is>
          <t>0                      WA 0100000G  816e        1935</t>
        </is>
      </c>
      <c r="F68" t="inlineStr">
        <is>
          <t>Epidemics and crowd-diseases : an introduction to the study of epidemiology / by Major Greenwood.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Greenwood, Major, 1880-1949.</t>
        </is>
      </c>
      <c r="N68" t="inlineStr">
        <is>
          <t>New York : Macmillan, 1935.</t>
        </is>
      </c>
      <c r="O68" t="inlineStr">
        <is>
          <t>1935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WA </t>
        </is>
      </c>
      <c r="U68" t="n">
        <v>1</v>
      </c>
      <c r="V68" t="n">
        <v>1</v>
      </c>
      <c r="W68" t="inlineStr">
        <is>
          <t>2002-11-19</t>
        </is>
      </c>
      <c r="X68" t="inlineStr">
        <is>
          <t>2002-11-19</t>
        </is>
      </c>
      <c r="Y68" t="inlineStr">
        <is>
          <t>1988-01-07</t>
        </is>
      </c>
      <c r="Z68" t="inlineStr">
        <is>
          <t>1988-01-07</t>
        </is>
      </c>
      <c r="AA68" t="n">
        <v>45</v>
      </c>
      <c r="AB68" t="n">
        <v>44</v>
      </c>
      <c r="AC68" t="n">
        <v>162</v>
      </c>
      <c r="AD68" t="n">
        <v>1</v>
      </c>
      <c r="AE68" t="n">
        <v>1</v>
      </c>
      <c r="AF68" t="n">
        <v>0</v>
      </c>
      <c r="AG68" t="n">
        <v>4</v>
      </c>
      <c r="AH68" t="n">
        <v>0</v>
      </c>
      <c r="AI68" t="n">
        <v>1</v>
      </c>
      <c r="AJ68" t="n">
        <v>0</v>
      </c>
      <c r="AK68" t="n">
        <v>1</v>
      </c>
      <c r="AL68" t="n">
        <v>0</v>
      </c>
      <c r="AM68" t="n">
        <v>2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HYPERLINK("https://creighton-primo.hosted.exlibrisgroup.com/primo-explore/search?tab=default_tab&amp;search_scope=EVERYTHING&amp;vid=01CRU&amp;lang=en_US&amp;offset=0&amp;query=any,contains,991000687849702656","Catalog Record")</f>
        <v/>
      </c>
      <c r="AV68">
        <f>HYPERLINK("http://www.worldcat.org/oclc/2181429","WorldCat Record")</f>
        <v/>
      </c>
      <c r="AW68" t="inlineStr">
        <is>
          <t>2687866:eng</t>
        </is>
      </c>
      <c r="AX68" t="inlineStr">
        <is>
          <t>2181429</t>
        </is>
      </c>
      <c r="AY68" t="inlineStr">
        <is>
          <t>991000687849702656</t>
        </is>
      </c>
      <c r="AZ68" t="inlineStr">
        <is>
          <t>991000687849702656</t>
        </is>
      </c>
      <c r="BA68" t="inlineStr">
        <is>
          <t>2263191300002656</t>
        </is>
      </c>
      <c r="BB68" t="inlineStr">
        <is>
          <t>BOOK</t>
        </is>
      </c>
      <c r="BE68" t="inlineStr">
        <is>
          <t>30001000695504</t>
        </is>
      </c>
      <c r="BF68" t="inlineStr">
        <is>
          <t>893283436</t>
        </is>
      </c>
    </row>
    <row r="69">
      <c r="A69" t="inlineStr">
        <is>
          <t>No</t>
        </is>
      </c>
      <c r="B69" t="inlineStr">
        <is>
          <t>CUHSL</t>
        </is>
      </c>
      <c r="C69" t="inlineStr">
        <is>
          <t>SHELVES</t>
        </is>
      </c>
      <c r="D69" t="inlineStr">
        <is>
          <t>WA 100 K91s 1994</t>
        </is>
      </c>
      <c r="E69" t="inlineStr">
        <is>
          <t>0                      WA 0100000K  91s         1994</t>
        </is>
      </c>
      <c r="F69" t="inlineStr">
        <is>
          <t>Silent travelers : germs, genes, and the "immigrant menace" / Alan M. Kraut.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Kraut, Alan M.</t>
        </is>
      </c>
      <c r="N69" t="inlineStr">
        <is>
          <t>New York, NY : BasicBooks, c1994.</t>
        </is>
      </c>
      <c r="O69" t="inlineStr">
        <is>
          <t>1994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WA </t>
        </is>
      </c>
      <c r="U69" t="n">
        <v>11</v>
      </c>
      <c r="V69" t="n">
        <v>11</v>
      </c>
      <c r="W69" t="inlineStr">
        <is>
          <t>1997-09-22</t>
        </is>
      </c>
      <c r="X69" t="inlineStr">
        <is>
          <t>1997-09-22</t>
        </is>
      </c>
      <c r="Y69" t="inlineStr">
        <is>
          <t>1995-02-20</t>
        </is>
      </c>
      <c r="Z69" t="inlineStr">
        <is>
          <t>1995-02-20</t>
        </is>
      </c>
      <c r="AA69" t="n">
        <v>763</v>
      </c>
      <c r="AB69" t="n">
        <v>698</v>
      </c>
      <c r="AC69" t="n">
        <v>849</v>
      </c>
      <c r="AD69" t="n">
        <v>4</v>
      </c>
      <c r="AE69" t="n">
        <v>4</v>
      </c>
      <c r="AF69" t="n">
        <v>32</v>
      </c>
      <c r="AG69" t="n">
        <v>35</v>
      </c>
      <c r="AH69" t="n">
        <v>9</v>
      </c>
      <c r="AI69" t="n">
        <v>11</v>
      </c>
      <c r="AJ69" t="n">
        <v>8</v>
      </c>
      <c r="AK69" t="n">
        <v>9</v>
      </c>
      <c r="AL69" t="n">
        <v>20</v>
      </c>
      <c r="AM69" t="n">
        <v>21</v>
      </c>
      <c r="AN69" t="n">
        <v>3</v>
      </c>
      <c r="AO69" t="n">
        <v>3</v>
      </c>
      <c r="AP69" t="n">
        <v>2</v>
      </c>
      <c r="AQ69" t="n">
        <v>2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HYPERLINK("http://catalog.hathitrust.org/Record/002792293","HathiTrust Record")</f>
        <v/>
      </c>
      <c r="AU69">
        <f>HYPERLINK("https://creighton-primo.hosted.exlibrisgroup.com/primo-explore/search?tab=default_tab&amp;search_scope=EVERYTHING&amp;vid=01CRU&amp;lang=en_US&amp;offset=0&amp;query=any,contains,991001396559702656","Catalog Record")</f>
        <v/>
      </c>
      <c r="AV69">
        <f>HYPERLINK("http://www.worldcat.org/oclc/28888554","WorldCat Record")</f>
        <v/>
      </c>
      <c r="AW69" t="inlineStr">
        <is>
          <t>31509686:eng</t>
        </is>
      </c>
      <c r="AX69" t="inlineStr">
        <is>
          <t>28888554</t>
        </is>
      </c>
      <c r="AY69" t="inlineStr">
        <is>
          <t>991001396559702656</t>
        </is>
      </c>
      <c r="AZ69" t="inlineStr">
        <is>
          <t>991001396559702656</t>
        </is>
      </c>
      <c r="BA69" t="inlineStr">
        <is>
          <t>2264033520002656</t>
        </is>
      </c>
      <c r="BB69" t="inlineStr">
        <is>
          <t>BOOK</t>
        </is>
      </c>
      <c r="BD69" t="inlineStr">
        <is>
          <t>9780465078233</t>
        </is>
      </c>
      <c r="BE69" t="inlineStr">
        <is>
          <t>30001003146190</t>
        </is>
      </c>
      <c r="BF69" t="inlineStr">
        <is>
          <t>893451133</t>
        </is>
      </c>
    </row>
    <row r="70">
      <c r="A70" t="inlineStr">
        <is>
          <t>No</t>
        </is>
      </c>
      <c r="B70" t="inlineStr">
        <is>
          <t>CUHSL</t>
        </is>
      </c>
      <c r="C70" t="inlineStr">
        <is>
          <t>SHELVES</t>
        </is>
      </c>
      <c r="D70" t="inlineStr">
        <is>
          <t>WA 100 L439t 1965</t>
        </is>
      </c>
      <c r="E70" t="inlineStr">
        <is>
          <t>0                      WA 0100000L  439t        1965</t>
        </is>
      </c>
      <c r="F70" t="inlineStr">
        <is>
          <t>Preventive medicine for the doctor in his community : an epidemiologic approach / by Hugh Rodman Leavell, E. Gurney Clark, and twenty-three contributors.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Leavell, Hugh Rodman, 1902-1976.</t>
        </is>
      </c>
      <c r="N70" t="inlineStr">
        <is>
          <t>New York : Blakiston Division, McGraw-Hill, 1965.</t>
        </is>
      </c>
      <c r="O70" t="inlineStr">
        <is>
          <t>1965</t>
        </is>
      </c>
      <c r="P70" t="inlineStr">
        <is>
          <t>3rd ed.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WA </t>
        </is>
      </c>
      <c r="U70" t="n">
        <v>92</v>
      </c>
      <c r="V70" t="n">
        <v>92</v>
      </c>
      <c r="W70" t="inlineStr">
        <is>
          <t>1997-11-25</t>
        </is>
      </c>
      <c r="X70" t="inlineStr">
        <is>
          <t>1997-11-25</t>
        </is>
      </c>
      <c r="Y70" t="inlineStr">
        <is>
          <t>1988-02-03</t>
        </is>
      </c>
      <c r="Z70" t="inlineStr">
        <is>
          <t>1988-02-03</t>
        </is>
      </c>
      <c r="AA70" t="n">
        <v>226</v>
      </c>
      <c r="AB70" t="n">
        <v>170</v>
      </c>
      <c r="AC70" t="n">
        <v>234</v>
      </c>
      <c r="AD70" t="n">
        <v>1</v>
      </c>
      <c r="AE70" t="n">
        <v>1</v>
      </c>
      <c r="AF70" t="n">
        <v>3</v>
      </c>
      <c r="AG70" t="n">
        <v>6</v>
      </c>
      <c r="AH70" t="n">
        <v>0</v>
      </c>
      <c r="AI70" t="n">
        <v>2</v>
      </c>
      <c r="AJ70" t="n">
        <v>0</v>
      </c>
      <c r="AK70" t="n">
        <v>1</v>
      </c>
      <c r="AL70" t="n">
        <v>3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HYPERLINK("http://catalog.hathitrust.org/Record/001558851","HathiTrust Record")</f>
        <v/>
      </c>
      <c r="AU70">
        <f>HYPERLINK("https://creighton-primo.hosted.exlibrisgroup.com/primo-explore/search?tab=default_tab&amp;search_scope=EVERYTHING&amp;vid=01CRU&amp;lang=en_US&amp;offset=0&amp;query=any,contains,991001474359702656","Catalog Record")</f>
        <v/>
      </c>
      <c r="AV70">
        <f>HYPERLINK("http://www.worldcat.org/oclc/641916","WorldCat Record")</f>
        <v/>
      </c>
      <c r="AW70" t="inlineStr">
        <is>
          <t>360994220:eng</t>
        </is>
      </c>
      <c r="AX70" t="inlineStr">
        <is>
          <t>641916</t>
        </is>
      </c>
      <c r="AY70" t="inlineStr">
        <is>
          <t>991001474359702656</t>
        </is>
      </c>
      <c r="AZ70" t="inlineStr">
        <is>
          <t>991001474359702656</t>
        </is>
      </c>
      <c r="BA70" t="inlineStr">
        <is>
          <t>2261915640002656</t>
        </is>
      </c>
      <c r="BB70" t="inlineStr">
        <is>
          <t>BOOK</t>
        </is>
      </c>
      <c r="BE70" t="inlineStr">
        <is>
          <t>30001000559288</t>
        </is>
      </c>
      <c r="BF70" t="inlineStr">
        <is>
          <t>893121525</t>
        </is>
      </c>
    </row>
    <row r="71">
      <c r="A71" t="inlineStr">
        <is>
          <t>No</t>
        </is>
      </c>
      <c r="B71" t="inlineStr">
        <is>
          <t>CUHSL</t>
        </is>
      </c>
      <c r="C71" t="inlineStr">
        <is>
          <t>SHELVES</t>
        </is>
      </c>
      <c r="D71" t="inlineStr">
        <is>
          <t>WA 100 M4635 1998</t>
        </is>
      </c>
      <c r="E71" t="inlineStr">
        <is>
          <t>0                      WA 0100000M  4635        1998</t>
        </is>
      </c>
      <c r="F71" t="inlineStr">
        <is>
          <t>Maxcy-Rosenau-Last public health &amp; preventive medicine / editor, Robert B. Wallace.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Stamford, Conn. : Appleton &amp; Lange, c1998.</t>
        </is>
      </c>
      <c r="O71" t="inlineStr">
        <is>
          <t>1998</t>
        </is>
      </c>
      <c r="P71" t="inlineStr">
        <is>
          <t>14th ed.</t>
        </is>
      </c>
      <c r="Q71" t="inlineStr">
        <is>
          <t>eng</t>
        </is>
      </c>
      <c r="R71" t="inlineStr">
        <is>
          <t>ctu</t>
        </is>
      </c>
      <c r="T71" t="inlineStr">
        <is>
          <t xml:space="preserve">WA </t>
        </is>
      </c>
      <c r="U71" t="n">
        <v>5</v>
      </c>
      <c r="V71" t="n">
        <v>5</v>
      </c>
      <c r="W71" t="inlineStr">
        <is>
          <t>2003-06-07</t>
        </is>
      </c>
      <c r="X71" t="inlineStr">
        <is>
          <t>2003-06-07</t>
        </is>
      </c>
      <c r="Y71" t="inlineStr">
        <is>
          <t>1998-10-09</t>
        </is>
      </c>
      <c r="Z71" t="inlineStr">
        <is>
          <t>1998-10-09</t>
        </is>
      </c>
      <c r="AA71" t="n">
        <v>408</v>
      </c>
      <c r="AB71" t="n">
        <v>349</v>
      </c>
      <c r="AC71" t="n">
        <v>515</v>
      </c>
      <c r="AD71" t="n">
        <v>1</v>
      </c>
      <c r="AE71" t="n">
        <v>2</v>
      </c>
      <c r="AF71" t="n">
        <v>6</v>
      </c>
      <c r="AG71" t="n">
        <v>10</v>
      </c>
      <c r="AH71" t="n">
        <v>2</v>
      </c>
      <c r="AI71" t="n">
        <v>3</v>
      </c>
      <c r="AJ71" t="n">
        <v>2</v>
      </c>
      <c r="AK71" t="n">
        <v>3</v>
      </c>
      <c r="AL71" t="n">
        <v>3</v>
      </c>
      <c r="AM71" t="n">
        <v>4</v>
      </c>
      <c r="AN71" t="n">
        <v>0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HYPERLINK("http://catalog.hathitrust.org/Record/003983466","HathiTrust Record")</f>
        <v/>
      </c>
      <c r="AU71">
        <f>HYPERLINK("https://creighton-primo.hosted.exlibrisgroup.com/primo-explore/search?tab=default_tab&amp;search_scope=EVERYTHING&amp;vid=01CRU&amp;lang=en_US&amp;offset=0&amp;query=any,contains,991000820829702656","Catalog Record")</f>
        <v/>
      </c>
      <c r="AV71">
        <f>HYPERLINK("http://www.worldcat.org/oclc/38180358","WorldCat Record")</f>
        <v/>
      </c>
      <c r="AW71" t="inlineStr">
        <is>
          <t>4917161096:eng</t>
        </is>
      </c>
      <c r="AX71" t="inlineStr">
        <is>
          <t>38180358</t>
        </is>
      </c>
      <c r="AY71" t="inlineStr">
        <is>
          <t>991000820829702656</t>
        </is>
      </c>
      <c r="AZ71" t="inlineStr">
        <is>
          <t>991000820829702656</t>
        </is>
      </c>
      <c r="BA71" t="inlineStr">
        <is>
          <t>2257227330002656</t>
        </is>
      </c>
      <c r="BB71" t="inlineStr">
        <is>
          <t>BOOK</t>
        </is>
      </c>
      <c r="BD71" t="inlineStr">
        <is>
          <t>9780838561850</t>
        </is>
      </c>
      <c r="BE71" t="inlineStr">
        <is>
          <t>30001004091478</t>
        </is>
      </c>
      <c r="BF71" t="inlineStr">
        <is>
          <t>893632201</t>
        </is>
      </c>
    </row>
    <row r="72">
      <c r="A72" t="inlineStr">
        <is>
          <t>No</t>
        </is>
      </c>
      <c r="B72" t="inlineStr">
        <is>
          <t>CUHSL</t>
        </is>
      </c>
      <c r="C72" t="inlineStr">
        <is>
          <t>SHELVES</t>
        </is>
      </c>
      <c r="D72" t="inlineStr">
        <is>
          <t>WA100 M476t 2004</t>
        </is>
      </c>
      <c r="E72" t="inlineStr">
        <is>
          <t>0                      WA 0100000M  476t        2004</t>
        </is>
      </c>
      <c r="F72" t="inlineStr">
        <is>
          <t>True warnings and false alarms : evaluating fears about the health risks of technology, 1948-1971 / Allan Mazur.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Mazur, Allan.</t>
        </is>
      </c>
      <c r="N72" t="inlineStr">
        <is>
          <t>Washington, DC : Resources for the Future, c2004.</t>
        </is>
      </c>
      <c r="O72" t="inlineStr">
        <is>
          <t>2004</t>
        </is>
      </c>
      <c r="Q72" t="inlineStr">
        <is>
          <t>eng</t>
        </is>
      </c>
      <c r="R72" t="inlineStr">
        <is>
          <t>dcu</t>
        </is>
      </c>
      <c r="T72" t="inlineStr">
        <is>
          <t xml:space="preserve">WA </t>
        </is>
      </c>
      <c r="U72" t="n">
        <v>2</v>
      </c>
      <c r="V72" t="n">
        <v>2</v>
      </c>
      <c r="W72" t="inlineStr">
        <is>
          <t>2007-07-30</t>
        </is>
      </c>
      <c r="X72" t="inlineStr">
        <is>
          <t>2007-07-30</t>
        </is>
      </c>
      <c r="Y72" t="inlineStr">
        <is>
          <t>2007-03-28</t>
        </is>
      </c>
      <c r="Z72" t="inlineStr">
        <is>
          <t>2007-03-28</t>
        </is>
      </c>
      <c r="AA72" t="n">
        <v>362</v>
      </c>
      <c r="AB72" t="n">
        <v>312</v>
      </c>
      <c r="AC72" t="n">
        <v>347</v>
      </c>
      <c r="AD72" t="n">
        <v>2</v>
      </c>
      <c r="AE72" t="n">
        <v>2</v>
      </c>
      <c r="AF72" t="n">
        <v>19</v>
      </c>
      <c r="AG72" t="n">
        <v>19</v>
      </c>
      <c r="AH72" t="n">
        <v>8</v>
      </c>
      <c r="AI72" t="n">
        <v>8</v>
      </c>
      <c r="AJ72" t="n">
        <v>4</v>
      </c>
      <c r="AK72" t="n">
        <v>4</v>
      </c>
      <c r="AL72" t="n">
        <v>5</v>
      </c>
      <c r="AM72" t="n">
        <v>5</v>
      </c>
      <c r="AN72" t="n">
        <v>1</v>
      </c>
      <c r="AO72" t="n">
        <v>1</v>
      </c>
      <c r="AP72" t="n">
        <v>3</v>
      </c>
      <c r="AQ72" t="n">
        <v>3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HYPERLINK("https://creighton-primo.hosted.exlibrisgroup.com/primo-explore/search?tab=default_tab&amp;search_scope=EVERYTHING&amp;vid=01CRU&amp;lang=en_US&amp;offset=0&amp;query=any,contains,991000604449702656","Catalog Record")</f>
        <v/>
      </c>
      <c r="AV72">
        <f>HYPERLINK("http://www.worldcat.org/oclc/52430782","WorldCat Record")</f>
        <v/>
      </c>
      <c r="AW72" t="inlineStr">
        <is>
          <t>803204132:eng</t>
        </is>
      </c>
      <c r="AX72" t="inlineStr">
        <is>
          <t>52430782</t>
        </is>
      </c>
      <c r="AY72" t="inlineStr">
        <is>
          <t>991000604449702656</t>
        </is>
      </c>
      <c r="AZ72" t="inlineStr">
        <is>
          <t>991000604449702656</t>
        </is>
      </c>
      <c r="BA72" t="inlineStr">
        <is>
          <t>2268932580002656</t>
        </is>
      </c>
      <c r="BB72" t="inlineStr">
        <is>
          <t>BOOK</t>
        </is>
      </c>
      <c r="BD72" t="inlineStr">
        <is>
          <t>9781891853555</t>
        </is>
      </c>
      <c r="BE72" t="inlineStr">
        <is>
          <t>30001005176765</t>
        </is>
      </c>
      <c r="BF72" t="inlineStr">
        <is>
          <t>893550813</t>
        </is>
      </c>
    </row>
    <row r="73">
      <c r="A73" t="inlineStr">
        <is>
          <t>No</t>
        </is>
      </c>
      <c r="B73" t="inlineStr">
        <is>
          <t>CUHSL</t>
        </is>
      </c>
      <c r="C73" t="inlineStr">
        <is>
          <t>SHELVES</t>
        </is>
      </c>
      <c r="D73" t="inlineStr">
        <is>
          <t>WA 100 R813p 1986</t>
        </is>
      </c>
      <c r="E73" t="inlineStr">
        <is>
          <t>0                      WA 0100000R  813p        1986</t>
        </is>
      </c>
      <c r="F73" t="inlineStr">
        <is>
          <t>Maxcy-Rosenau Public health and preventive medicine.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Rosenau, M. J. (Milton Joseph), 1869-1946.</t>
        </is>
      </c>
      <c r="N73" t="inlineStr">
        <is>
          <t>Norwalk, Conn. : Appleton-Century-Crofts, c1986.</t>
        </is>
      </c>
      <c r="O73" t="inlineStr">
        <is>
          <t>1986</t>
        </is>
      </c>
      <c r="P73" t="inlineStr">
        <is>
          <t>12th ed. / editor, John M. Last ; associate editors, James Chin ... [et al.].</t>
        </is>
      </c>
      <c r="Q73" t="inlineStr">
        <is>
          <t>eng</t>
        </is>
      </c>
      <c r="R73" t="inlineStr">
        <is>
          <t>xxu</t>
        </is>
      </c>
      <c r="T73" t="inlineStr">
        <is>
          <t xml:space="preserve">WA </t>
        </is>
      </c>
      <c r="U73" t="n">
        <v>4</v>
      </c>
      <c r="V73" t="n">
        <v>4</v>
      </c>
      <c r="W73" t="inlineStr">
        <is>
          <t>1991-05-15</t>
        </is>
      </c>
      <c r="X73" t="inlineStr">
        <is>
          <t>1991-05-15</t>
        </is>
      </c>
      <c r="Y73" t="inlineStr">
        <is>
          <t>1988-03-28</t>
        </is>
      </c>
      <c r="Z73" t="inlineStr">
        <is>
          <t>1988-03-28</t>
        </is>
      </c>
      <c r="AA73" t="n">
        <v>315</v>
      </c>
      <c r="AB73" t="n">
        <v>257</v>
      </c>
      <c r="AC73" t="n">
        <v>400</v>
      </c>
      <c r="AD73" t="n">
        <v>1</v>
      </c>
      <c r="AE73" t="n">
        <v>1</v>
      </c>
      <c r="AF73" t="n">
        <v>4</v>
      </c>
      <c r="AG73" t="n">
        <v>7</v>
      </c>
      <c r="AH73" t="n">
        <v>0</v>
      </c>
      <c r="AI73" t="n">
        <v>2</v>
      </c>
      <c r="AJ73" t="n">
        <v>2</v>
      </c>
      <c r="AK73" t="n">
        <v>2</v>
      </c>
      <c r="AL73" t="n">
        <v>2</v>
      </c>
      <c r="AM73" t="n">
        <v>4</v>
      </c>
      <c r="AN73" t="n">
        <v>0</v>
      </c>
      <c r="AO73" t="n">
        <v>0</v>
      </c>
      <c r="AP73" t="n">
        <v>1</v>
      </c>
      <c r="AQ73" t="n">
        <v>1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HYPERLINK("http://catalog.hathitrust.org/Record/000624979","HathiTrust Record")</f>
        <v/>
      </c>
      <c r="AU73">
        <f>HYPERLINK("https://creighton-primo.hosted.exlibrisgroup.com/primo-explore/search?tab=default_tab&amp;search_scope=EVERYTHING&amp;vid=01CRU&amp;lang=en_US&amp;offset=0&amp;query=any,contains,991001288119702656","Catalog Record")</f>
        <v/>
      </c>
      <c r="AV73">
        <f>HYPERLINK("http://www.worldcat.org/oclc/12262867","WorldCat Record")</f>
        <v/>
      </c>
      <c r="AW73" t="inlineStr">
        <is>
          <t>3901656342:eng</t>
        </is>
      </c>
      <c r="AX73" t="inlineStr">
        <is>
          <t>12262867</t>
        </is>
      </c>
      <c r="AY73" t="inlineStr">
        <is>
          <t>991001288119702656</t>
        </is>
      </c>
      <c r="AZ73" t="inlineStr">
        <is>
          <t>991001288119702656</t>
        </is>
      </c>
      <c r="BA73" t="inlineStr">
        <is>
          <t>2265307580002656</t>
        </is>
      </c>
      <c r="BB73" t="inlineStr">
        <is>
          <t>BOOK</t>
        </is>
      </c>
      <c r="BD73" t="inlineStr">
        <is>
          <t>9780838561874</t>
        </is>
      </c>
      <c r="BE73" t="inlineStr">
        <is>
          <t>30001001058272</t>
        </is>
      </c>
      <c r="BF73" t="inlineStr">
        <is>
          <t>893731846</t>
        </is>
      </c>
    </row>
    <row r="74">
      <c r="A74" t="inlineStr">
        <is>
          <t>No</t>
        </is>
      </c>
      <c r="B74" t="inlineStr">
        <is>
          <t>CUHSL</t>
        </is>
      </c>
      <c r="C74" t="inlineStr">
        <is>
          <t>SHELVES</t>
        </is>
      </c>
      <c r="D74" t="inlineStr">
        <is>
          <t>WA 100 S617a 1976</t>
        </is>
      </c>
      <c r="E74" t="inlineStr">
        <is>
          <t>0                      WA 0100000S  617a        1976</t>
        </is>
      </c>
      <c r="F74" t="inlineStr">
        <is>
          <t>General epidemiology / Herbert Sinnecker.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Sinnecker, Herbert.</t>
        </is>
      </c>
      <c r="N74" t="inlineStr">
        <is>
          <t>-- London ; New York : Wiley, c1976.</t>
        </is>
      </c>
      <c r="O74" t="inlineStr">
        <is>
          <t>1976</t>
        </is>
      </c>
      <c r="Q74" t="inlineStr">
        <is>
          <t>eng</t>
        </is>
      </c>
      <c r="R74" t="inlineStr">
        <is>
          <t>enk</t>
        </is>
      </c>
      <c r="S74" t="inlineStr">
        <is>
          <t>Wiley-Interscience publication</t>
        </is>
      </c>
      <c r="T74" t="inlineStr">
        <is>
          <t xml:space="preserve">WA </t>
        </is>
      </c>
      <c r="U74" t="n">
        <v>3</v>
      </c>
      <c r="V74" t="n">
        <v>3</v>
      </c>
      <c r="W74" t="inlineStr">
        <is>
          <t>1996-03-18</t>
        </is>
      </c>
      <c r="X74" t="inlineStr">
        <is>
          <t>1996-03-18</t>
        </is>
      </c>
      <c r="Y74" t="inlineStr">
        <is>
          <t>1988-09-21</t>
        </is>
      </c>
      <c r="Z74" t="inlineStr">
        <is>
          <t>1988-09-21</t>
        </is>
      </c>
      <c r="AA74" t="n">
        <v>158</v>
      </c>
      <c r="AB74" t="n">
        <v>103</v>
      </c>
      <c r="AC74" t="n">
        <v>106</v>
      </c>
      <c r="AD74" t="n">
        <v>1</v>
      </c>
      <c r="AE74" t="n">
        <v>1</v>
      </c>
      <c r="AF74" t="n">
        <v>3</v>
      </c>
      <c r="AG74" t="n">
        <v>3</v>
      </c>
      <c r="AH74" t="n">
        <v>0</v>
      </c>
      <c r="AI74" t="n">
        <v>0</v>
      </c>
      <c r="AJ74" t="n">
        <v>2</v>
      </c>
      <c r="AK74" t="n">
        <v>2</v>
      </c>
      <c r="AL74" t="n">
        <v>2</v>
      </c>
      <c r="AM74" t="n">
        <v>2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HYPERLINK("http://catalog.hathitrust.org/Record/000014607","HathiTrust Record")</f>
        <v/>
      </c>
      <c r="AU74">
        <f>HYPERLINK("https://creighton-primo.hosted.exlibrisgroup.com/primo-explore/search?tab=default_tab&amp;search_scope=EVERYTHING&amp;vid=01CRU&amp;lang=en_US&amp;offset=0&amp;query=any,contains,991000713359702656","Catalog Record")</f>
        <v/>
      </c>
      <c r="AV74">
        <f>HYPERLINK("http://www.worldcat.org/oclc/915791","WorldCat Record")</f>
        <v/>
      </c>
      <c r="AW74" t="inlineStr">
        <is>
          <t>1857378:eng</t>
        </is>
      </c>
      <c r="AX74" t="inlineStr">
        <is>
          <t>915791</t>
        </is>
      </c>
      <c r="AY74" t="inlineStr">
        <is>
          <t>991000713359702656</t>
        </is>
      </c>
      <c r="AZ74" t="inlineStr">
        <is>
          <t>991000713359702656</t>
        </is>
      </c>
      <c r="BA74" t="inlineStr">
        <is>
          <t>2264745210002656</t>
        </is>
      </c>
      <c r="BB74" t="inlineStr">
        <is>
          <t>BOOK</t>
        </is>
      </c>
      <c r="BD74" t="inlineStr">
        <is>
          <t>9780471793182</t>
        </is>
      </c>
      <c r="BE74" t="inlineStr">
        <is>
          <t>30001000705675</t>
        </is>
      </c>
      <c r="BF74" t="inlineStr">
        <is>
          <t>893454777</t>
        </is>
      </c>
    </row>
    <row r="75">
      <c r="A75" t="inlineStr">
        <is>
          <t>No</t>
        </is>
      </c>
      <c r="B75" t="inlineStr">
        <is>
          <t>CUHSL</t>
        </is>
      </c>
      <c r="C75" t="inlineStr">
        <is>
          <t>SHELVES</t>
        </is>
      </c>
      <c r="D75" t="inlineStr">
        <is>
          <t>WA 105 A285g 1990a</t>
        </is>
      </c>
      <c r="E75" t="inlineStr">
        <is>
          <t>0                      WA 0105000A  285g        1990a</t>
        </is>
      </c>
      <c r="F75" t="inlineStr">
        <is>
          <t>Introduction to modern epidemiology / Anders Ahlbom, Staffan Norell ; [translated from Swedish by Gunilla Ahlbom ; foreword by Kenneth Rothman].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Ahlbom, Anders.</t>
        </is>
      </c>
      <c r="N75" t="inlineStr">
        <is>
          <t>Chestnut Hill, MA : Epidemiology Resources, c1990.</t>
        </is>
      </c>
      <c r="O75" t="inlineStr">
        <is>
          <t>1990</t>
        </is>
      </c>
      <c r="P75" t="inlineStr">
        <is>
          <t>2nd ed.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WA </t>
        </is>
      </c>
      <c r="U75" t="n">
        <v>13</v>
      </c>
      <c r="V75" t="n">
        <v>13</v>
      </c>
      <c r="W75" t="inlineStr">
        <is>
          <t>1996-04-15</t>
        </is>
      </c>
      <c r="X75" t="inlineStr">
        <is>
          <t>1996-04-15</t>
        </is>
      </c>
      <c r="Y75" t="inlineStr">
        <is>
          <t>1991-07-02</t>
        </is>
      </c>
      <c r="Z75" t="inlineStr">
        <is>
          <t>1991-07-02</t>
        </is>
      </c>
      <c r="AA75" t="n">
        <v>121</v>
      </c>
      <c r="AB75" t="n">
        <v>82</v>
      </c>
      <c r="AC75" t="n">
        <v>140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0</v>
      </c>
      <c r="AK75" t="n">
        <v>0</v>
      </c>
      <c r="AL75" t="n">
        <v>1</v>
      </c>
      <c r="AM75" t="n">
        <v>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HYPERLINK("http://catalog.hathitrust.org/Record/004523835","HathiTrust Record")</f>
        <v/>
      </c>
      <c r="AU75">
        <f>HYPERLINK("https://creighton-primo.hosted.exlibrisgroup.com/primo-explore/search?tab=default_tab&amp;search_scope=EVERYTHING&amp;vid=01CRU&amp;lang=en_US&amp;offset=0&amp;query=any,contains,991000940439702656","Catalog Record")</f>
        <v/>
      </c>
      <c r="AV75">
        <f>HYPERLINK("http://www.worldcat.org/oclc/21376647","WorldCat Record")</f>
        <v/>
      </c>
      <c r="AW75" t="inlineStr">
        <is>
          <t>3646937:eng</t>
        </is>
      </c>
      <c r="AX75" t="inlineStr">
        <is>
          <t>21376647</t>
        </is>
      </c>
      <c r="AY75" t="inlineStr">
        <is>
          <t>991000940439702656</t>
        </is>
      </c>
      <c r="AZ75" t="inlineStr">
        <is>
          <t>991000940439702656</t>
        </is>
      </c>
      <c r="BA75" t="inlineStr">
        <is>
          <t>2257748510002656</t>
        </is>
      </c>
      <c r="BB75" t="inlineStr">
        <is>
          <t>BOOK</t>
        </is>
      </c>
      <c r="BD75" t="inlineStr">
        <is>
          <t>9780917227066</t>
        </is>
      </c>
      <c r="BE75" t="inlineStr">
        <is>
          <t>30001002192492</t>
        </is>
      </c>
      <c r="BF75" t="inlineStr">
        <is>
          <t>893363560</t>
        </is>
      </c>
    </row>
    <row r="76">
      <c r="A76" t="inlineStr">
        <is>
          <t>No</t>
        </is>
      </c>
      <c r="B76" t="inlineStr">
        <is>
          <t>CUHSL</t>
        </is>
      </c>
      <c r="C76" t="inlineStr">
        <is>
          <t>SHELVES</t>
        </is>
      </c>
      <c r="D76" t="inlineStr">
        <is>
          <t>WA 105 A652 1998</t>
        </is>
      </c>
      <c r="E76" t="inlineStr">
        <is>
          <t>0                      WA 0105000A  652         1998</t>
        </is>
      </c>
      <c r="F76" t="inlineStr">
        <is>
          <t>Applied epidemiology : theory to practice / edited by Ross C. Brownson, Diana B. Petitti.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1</t>
        </is>
      </c>
      <c r="N76" t="inlineStr">
        <is>
          <t>New York : Oxford University Press, c1998.</t>
        </is>
      </c>
      <c r="O76" t="inlineStr">
        <is>
          <t>1998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WA </t>
        </is>
      </c>
      <c r="U76" t="n">
        <v>9</v>
      </c>
      <c r="V76" t="n">
        <v>9</v>
      </c>
      <c r="W76" t="inlineStr">
        <is>
          <t>2005-09-29</t>
        </is>
      </c>
      <c r="X76" t="inlineStr">
        <is>
          <t>2005-09-29</t>
        </is>
      </c>
      <c r="Y76" t="inlineStr">
        <is>
          <t>1999-10-14</t>
        </is>
      </c>
      <c r="Z76" t="inlineStr">
        <is>
          <t>1999-10-14</t>
        </is>
      </c>
      <c r="AA76" t="n">
        <v>277</v>
      </c>
      <c r="AB76" t="n">
        <v>182</v>
      </c>
      <c r="AC76" t="n">
        <v>1167</v>
      </c>
      <c r="AD76" t="n">
        <v>1</v>
      </c>
      <c r="AE76" t="n">
        <v>15</v>
      </c>
      <c r="AF76" t="n">
        <v>6</v>
      </c>
      <c r="AG76" t="n">
        <v>49</v>
      </c>
      <c r="AH76" t="n">
        <v>1</v>
      </c>
      <c r="AI76" t="n">
        <v>14</v>
      </c>
      <c r="AJ76" t="n">
        <v>1</v>
      </c>
      <c r="AK76" t="n">
        <v>11</v>
      </c>
      <c r="AL76" t="n">
        <v>4</v>
      </c>
      <c r="AM76" t="n">
        <v>15</v>
      </c>
      <c r="AN76" t="n">
        <v>0</v>
      </c>
      <c r="AO76" t="n">
        <v>13</v>
      </c>
      <c r="AP76" t="n">
        <v>0</v>
      </c>
      <c r="AQ76" t="n">
        <v>2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HYPERLINK("https://creighton-primo.hosted.exlibrisgroup.com/primo-explore/search?tab=default_tab&amp;search_scope=EVERYTHING&amp;vid=01CRU&amp;lang=en_US&amp;offset=0&amp;query=any,contains,991000597259702656","Catalog Record")</f>
        <v/>
      </c>
      <c r="AV76">
        <f>HYPERLINK("http://www.worldcat.org/oclc/36848139","WorldCat Record")</f>
        <v/>
      </c>
      <c r="AW76" t="inlineStr">
        <is>
          <t>793990953:eng</t>
        </is>
      </c>
      <c r="AX76" t="inlineStr">
        <is>
          <t>36848139</t>
        </is>
      </c>
      <c r="AY76" t="inlineStr">
        <is>
          <t>991000597259702656</t>
        </is>
      </c>
      <c r="AZ76" t="inlineStr">
        <is>
          <t>991000597259702656</t>
        </is>
      </c>
      <c r="BA76" t="inlineStr">
        <is>
          <t>2259182610002656</t>
        </is>
      </c>
      <c r="BB76" t="inlineStr">
        <is>
          <t>BOOK</t>
        </is>
      </c>
      <c r="BD76" t="inlineStr">
        <is>
          <t>9780195111903</t>
        </is>
      </c>
      <c r="BE76" t="inlineStr">
        <is>
          <t>30001004015592</t>
        </is>
      </c>
      <c r="BF76" t="inlineStr">
        <is>
          <t>893454157</t>
        </is>
      </c>
    </row>
    <row r="77">
      <c r="A77" t="inlineStr">
        <is>
          <t>No</t>
        </is>
      </c>
      <c r="B77" t="inlineStr">
        <is>
          <t>CUHSL</t>
        </is>
      </c>
      <c r="C77" t="inlineStr">
        <is>
          <t>SHELVES</t>
        </is>
      </c>
      <c r="D77" t="inlineStr">
        <is>
          <t>WA 105 F911p 1987</t>
        </is>
      </c>
      <c r="E77" t="inlineStr">
        <is>
          <t>0                      WA 0105000F  911p        1987</t>
        </is>
      </c>
      <c r="F77" t="inlineStr">
        <is>
          <t>Primer of epidemiology / Gary D. Friedman.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0</t>
        </is>
      </c>
      <c r="M77" t="inlineStr">
        <is>
          <t>Friedman, Gary D., 1934-</t>
        </is>
      </c>
      <c r="N77" t="inlineStr">
        <is>
          <t>New York : McGraw-Hill, c1987.</t>
        </is>
      </c>
      <c r="O77" t="inlineStr">
        <is>
          <t>1987</t>
        </is>
      </c>
      <c r="P77" t="inlineStr">
        <is>
          <t>3rd ed.</t>
        </is>
      </c>
      <c r="Q77" t="inlineStr">
        <is>
          <t>eng</t>
        </is>
      </c>
      <c r="R77" t="inlineStr">
        <is>
          <t>xxu</t>
        </is>
      </c>
      <c r="T77" t="inlineStr">
        <is>
          <t xml:space="preserve">WA </t>
        </is>
      </c>
      <c r="U77" t="n">
        <v>32</v>
      </c>
      <c r="V77" t="n">
        <v>32</v>
      </c>
      <c r="W77" t="inlineStr">
        <is>
          <t>2008-01-07</t>
        </is>
      </c>
      <c r="X77" t="inlineStr">
        <is>
          <t>2008-01-07</t>
        </is>
      </c>
      <c r="Y77" t="inlineStr">
        <is>
          <t>1988-05-07</t>
        </is>
      </c>
      <c r="Z77" t="inlineStr">
        <is>
          <t>1988-05-07</t>
        </is>
      </c>
      <c r="AA77" t="n">
        <v>238</v>
      </c>
      <c r="AB77" t="n">
        <v>150</v>
      </c>
      <c r="AC77" t="n">
        <v>554</v>
      </c>
      <c r="AD77" t="n">
        <v>1</v>
      </c>
      <c r="AE77" t="n">
        <v>5</v>
      </c>
      <c r="AF77" t="n">
        <v>2</v>
      </c>
      <c r="AG77" t="n">
        <v>17</v>
      </c>
      <c r="AH77" t="n">
        <v>0</v>
      </c>
      <c r="AI77" t="n">
        <v>5</v>
      </c>
      <c r="AJ77" t="n">
        <v>0</v>
      </c>
      <c r="AK77" t="n">
        <v>4</v>
      </c>
      <c r="AL77" t="n">
        <v>2</v>
      </c>
      <c r="AM77" t="n">
        <v>7</v>
      </c>
      <c r="AN77" t="n">
        <v>0</v>
      </c>
      <c r="AO77" t="n">
        <v>3</v>
      </c>
      <c r="AP77" t="n">
        <v>0</v>
      </c>
      <c r="AQ77" t="n">
        <v>1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HYPERLINK("http://catalog.hathitrust.org/Record/000826424","HathiTrust Record")</f>
        <v/>
      </c>
      <c r="AU77">
        <f>HYPERLINK("https://creighton-primo.hosted.exlibrisgroup.com/primo-explore/search?tab=default_tab&amp;search_scope=EVERYTHING&amp;vid=01CRU&amp;lang=en_US&amp;offset=0&amp;query=any,contains,991001190149702656","Catalog Record")</f>
        <v/>
      </c>
      <c r="AV77">
        <f>HYPERLINK("http://www.worldcat.org/oclc/14967164","WorldCat Record")</f>
        <v/>
      </c>
      <c r="AW77" t="inlineStr">
        <is>
          <t>1609799:eng</t>
        </is>
      </c>
      <c r="AX77" t="inlineStr">
        <is>
          <t>14967164</t>
        </is>
      </c>
      <c r="AY77" t="inlineStr">
        <is>
          <t>991001190149702656</t>
        </is>
      </c>
      <c r="AZ77" t="inlineStr">
        <is>
          <t>991001190149702656</t>
        </is>
      </c>
      <c r="BA77" t="inlineStr">
        <is>
          <t>2264215380002656</t>
        </is>
      </c>
      <c r="BB77" t="inlineStr">
        <is>
          <t>BOOK</t>
        </is>
      </c>
      <c r="BD77" t="inlineStr">
        <is>
          <t>9780070224360</t>
        </is>
      </c>
      <c r="BE77" t="inlineStr">
        <is>
          <t>30001000979122</t>
        </is>
      </c>
      <c r="BF77" t="inlineStr">
        <is>
          <t>893465260</t>
        </is>
      </c>
    </row>
    <row r="78">
      <c r="A78" t="inlineStr">
        <is>
          <t>No</t>
        </is>
      </c>
      <c r="B78" t="inlineStr">
        <is>
          <t>CUHSL</t>
        </is>
      </c>
      <c r="C78" t="inlineStr">
        <is>
          <t>SHELVES</t>
        </is>
      </c>
      <c r="D78" t="inlineStr">
        <is>
          <t>WA 105 G383e 1998</t>
        </is>
      </c>
      <c r="E78" t="inlineStr">
        <is>
          <t>0                      WA 0105000G  383e        1998</t>
        </is>
      </c>
      <c r="F78" t="inlineStr">
        <is>
          <t>Epidemiology kept simple : an introduction to classic and modern epidemiology / B. Burt Gerstman.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Gerstman, B. Burt.</t>
        </is>
      </c>
      <c r="N78" t="inlineStr">
        <is>
          <t>New York : Wiley, c1998.</t>
        </is>
      </c>
      <c r="O78" t="inlineStr">
        <is>
          <t>1998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WA </t>
        </is>
      </c>
      <c r="U78" t="n">
        <v>11</v>
      </c>
      <c r="V78" t="n">
        <v>11</v>
      </c>
      <c r="W78" t="inlineStr">
        <is>
          <t>2009-01-16</t>
        </is>
      </c>
      <c r="X78" t="inlineStr">
        <is>
          <t>2009-01-16</t>
        </is>
      </c>
      <c r="Y78" t="inlineStr">
        <is>
          <t>1998-12-18</t>
        </is>
      </c>
      <c r="Z78" t="inlineStr">
        <is>
          <t>1998-12-18</t>
        </is>
      </c>
      <c r="AA78" t="n">
        <v>262</v>
      </c>
      <c r="AB78" t="n">
        <v>177</v>
      </c>
      <c r="AC78" t="n">
        <v>730</v>
      </c>
      <c r="AD78" t="n">
        <v>1</v>
      </c>
      <c r="AE78" t="n">
        <v>6</v>
      </c>
      <c r="AF78" t="n">
        <v>5</v>
      </c>
      <c r="AG78" t="n">
        <v>33</v>
      </c>
      <c r="AH78" t="n">
        <v>0</v>
      </c>
      <c r="AI78" t="n">
        <v>11</v>
      </c>
      <c r="AJ78" t="n">
        <v>2</v>
      </c>
      <c r="AK78" t="n">
        <v>7</v>
      </c>
      <c r="AL78" t="n">
        <v>3</v>
      </c>
      <c r="AM78" t="n">
        <v>13</v>
      </c>
      <c r="AN78" t="n">
        <v>0</v>
      </c>
      <c r="AO78" t="n">
        <v>5</v>
      </c>
      <c r="AP78" t="n">
        <v>0</v>
      </c>
      <c r="AQ78" t="n">
        <v>1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HYPERLINK("https://creighton-primo.hosted.exlibrisgroup.com/primo-explore/search?tab=default_tab&amp;search_scope=EVERYTHING&amp;vid=01CRU&amp;lang=en_US&amp;offset=0&amp;query=any,contains,991000694199702656","Catalog Record")</f>
        <v/>
      </c>
      <c r="AV78">
        <f>HYPERLINK("http://www.worldcat.org/oclc/37771040","WorldCat Record")</f>
        <v/>
      </c>
      <c r="AW78" t="inlineStr">
        <is>
          <t>796442047:eng</t>
        </is>
      </c>
      <c r="AX78" t="inlineStr">
        <is>
          <t>37771040</t>
        </is>
      </c>
      <c r="AY78" t="inlineStr">
        <is>
          <t>991000694199702656</t>
        </is>
      </c>
      <c r="AZ78" t="inlineStr">
        <is>
          <t>991000694199702656</t>
        </is>
      </c>
      <c r="BA78" t="inlineStr">
        <is>
          <t>2256545980002656</t>
        </is>
      </c>
      <c r="BB78" t="inlineStr">
        <is>
          <t>BOOK</t>
        </is>
      </c>
      <c r="BD78" t="inlineStr">
        <is>
          <t>9780471240297</t>
        </is>
      </c>
      <c r="BE78" t="inlineStr">
        <is>
          <t>30001004037661</t>
        </is>
      </c>
      <c r="BF78" t="inlineStr">
        <is>
          <t>893148065</t>
        </is>
      </c>
    </row>
    <row r="79">
      <c r="A79" t="inlineStr">
        <is>
          <t>No</t>
        </is>
      </c>
      <c r="B79" t="inlineStr">
        <is>
          <t>CUHSL</t>
        </is>
      </c>
      <c r="C79" t="inlineStr">
        <is>
          <t>SHELVES</t>
        </is>
      </c>
      <c r="D79" t="inlineStr">
        <is>
          <t>WA 105 H214e 1985</t>
        </is>
      </c>
      <c r="E79" t="inlineStr">
        <is>
          <t>0                      WA 0105000H  214e        1985</t>
        </is>
      </c>
      <c r="F79" t="inlineStr">
        <is>
          <t>Economic breakdown and the threat of global pandemics / prepared by an EIR Special Task Force ; Warren J. Hamerman, John Grauerholz, Carol Schaeffer Cleary.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Hamerman, Warren J.</t>
        </is>
      </c>
      <c r="N79" t="inlineStr">
        <is>
          <t>Washington, D.C. : Executive Intelligence Review, c1985.</t>
        </is>
      </c>
      <c r="O79" t="inlineStr">
        <is>
          <t>1985</t>
        </is>
      </c>
      <c r="Q79" t="inlineStr">
        <is>
          <t>eng</t>
        </is>
      </c>
      <c r="R79" t="inlineStr">
        <is>
          <t>dcu</t>
        </is>
      </c>
      <c r="S79" t="inlineStr">
        <is>
          <t>EIR special report</t>
        </is>
      </c>
      <c r="T79" t="inlineStr">
        <is>
          <t xml:space="preserve">WA </t>
        </is>
      </c>
      <c r="U79" t="n">
        <v>1</v>
      </c>
      <c r="V79" t="n">
        <v>1</v>
      </c>
      <c r="W79" t="inlineStr">
        <is>
          <t>1997-10-07</t>
        </is>
      </c>
      <c r="X79" t="inlineStr">
        <is>
          <t>1997-10-07</t>
        </is>
      </c>
      <c r="Y79" t="inlineStr">
        <is>
          <t>1988-05-09</t>
        </is>
      </c>
      <c r="Z79" t="inlineStr">
        <is>
          <t>1988-05-09</t>
        </is>
      </c>
      <c r="AA79" t="n">
        <v>41</v>
      </c>
      <c r="AB79" t="n">
        <v>40</v>
      </c>
      <c r="AC79" t="n">
        <v>40</v>
      </c>
      <c r="AD79" t="n">
        <v>2</v>
      </c>
      <c r="AE79" t="n">
        <v>2</v>
      </c>
      <c r="AF79" t="n">
        <v>1</v>
      </c>
      <c r="AG79" t="n">
        <v>1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HYPERLINK("https://creighton-primo.hosted.exlibrisgroup.com/primo-explore/search?tab=default_tab&amp;search_scope=EVERYTHING&amp;vid=01CRU&amp;lang=en_US&amp;offset=0&amp;query=any,contains,991001187779702656","Catalog Record")</f>
        <v/>
      </c>
      <c r="AV79">
        <f>HYPERLINK("http://www.worldcat.org/oclc/15162522","WorldCat Record")</f>
        <v/>
      </c>
      <c r="AW79" t="inlineStr">
        <is>
          <t>8489666:eng</t>
        </is>
      </c>
      <c r="AX79" t="inlineStr">
        <is>
          <t>15162522</t>
        </is>
      </c>
      <c r="AY79" t="inlineStr">
        <is>
          <t>991001187779702656</t>
        </is>
      </c>
      <c r="AZ79" t="inlineStr">
        <is>
          <t>991001187779702656</t>
        </is>
      </c>
      <c r="BA79" t="inlineStr">
        <is>
          <t>2264019230002656</t>
        </is>
      </c>
      <c r="BB79" t="inlineStr">
        <is>
          <t>BOOK</t>
        </is>
      </c>
      <c r="BE79" t="inlineStr">
        <is>
          <t>30001000978553</t>
        </is>
      </c>
      <c r="BF79" t="inlineStr">
        <is>
          <t>893363839</t>
        </is>
      </c>
    </row>
    <row r="80">
      <c r="A80" t="inlineStr">
        <is>
          <t>No</t>
        </is>
      </c>
      <c r="B80" t="inlineStr">
        <is>
          <t>CUHSL</t>
        </is>
      </c>
      <c r="C80" t="inlineStr">
        <is>
          <t>SHELVES</t>
        </is>
      </c>
      <c r="D80" t="inlineStr">
        <is>
          <t>WA 105 H282e 1995</t>
        </is>
      </c>
      <c r="E80" t="inlineStr">
        <is>
          <t>0                      WA 0105000H  282e        1995</t>
        </is>
      </c>
      <c r="F80" t="inlineStr">
        <is>
          <t>Epidemiology in nursing practice / Gail A. Harkness.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Harkness, Gail A.</t>
        </is>
      </c>
      <c r="N80" t="inlineStr">
        <is>
          <t>St. Louis : Mosby, c1995.</t>
        </is>
      </c>
      <c r="O80" t="inlineStr">
        <is>
          <t>1995</t>
        </is>
      </c>
      <c r="Q80" t="inlineStr">
        <is>
          <t>eng</t>
        </is>
      </c>
      <c r="R80" t="inlineStr">
        <is>
          <t>msu</t>
        </is>
      </c>
      <c r="T80" t="inlineStr">
        <is>
          <t xml:space="preserve">WA </t>
        </is>
      </c>
      <c r="U80" t="n">
        <v>3</v>
      </c>
      <c r="V80" t="n">
        <v>3</v>
      </c>
      <c r="W80" t="inlineStr">
        <is>
          <t>1999-02-25</t>
        </is>
      </c>
      <c r="X80" t="inlineStr">
        <is>
          <t>1999-02-25</t>
        </is>
      </c>
      <c r="Y80" t="inlineStr">
        <is>
          <t>1997-02-14</t>
        </is>
      </c>
      <c r="Z80" t="inlineStr">
        <is>
          <t>1997-02-14</t>
        </is>
      </c>
      <c r="AA80" t="n">
        <v>397</v>
      </c>
      <c r="AB80" t="n">
        <v>299</v>
      </c>
      <c r="AC80" t="n">
        <v>301</v>
      </c>
      <c r="AD80" t="n">
        <v>2</v>
      </c>
      <c r="AE80" t="n">
        <v>2</v>
      </c>
      <c r="AF80" t="n">
        <v>14</v>
      </c>
      <c r="AG80" t="n">
        <v>14</v>
      </c>
      <c r="AH80" t="n">
        <v>3</v>
      </c>
      <c r="AI80" t="n">
        <v>3</v>
      </c>
      <c r="AJ80" t="n">
        <v>3</v>
      </c>
      <c r="AK80" t="n">
        <v>3</v>
      </c>
      <c r="AL80" t="n">
        <v>10</v>
      </c>
      <c r="AM80" t="n">
        <v>10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HYPERLINK("http://catalog.hathitrust.org/Record/002961303","HathiTrust Record")</f>
        <v/>
      </c>
      <c r="AU80">
        <f>HYPERLINK("https://creighton-primo.hosted.exlibrisgroup.com/primo-explore/search?tab=default_tab&amp;search_scope=EVERYTHING&amp;vid=01CRU&amp;lang=en_US&amp;offset=0&amp;query=any,contains,991001552909702656","Catalog Record")</f>
        <v/>
      </c>
      <c r="AV80">
        <f>HYPERLINK("http://www.worldcat.org/oclc/31975103","WorldCat Record")</f>
        <v/>
      </c>
      <c r="AW80" t="inlineStr">
        <is>
          <t>34140708:eng</t>
        </is>
      </c>
      <c r="AX80" t="inlineStr">
        <is>
          <t>31975103</t>
        </is>
      </c>
      <c r="AY80" t="inlineStr">
        <is>
          <t>991001552909702656</t>
        </is>
      </c>
      <c r="AZ80" t="inlineStr">
        <is>
          <t>991001552909702656</t>
        </is>
      </c>
      <c r="BA80" t="inlineStr">
        <is>
          <t>2265325640002656</t>
        </is>
      </c>
      <c r="BB80" t="inlineStr">
        <is>
          <t>BOOK</t>
        </is>
      </c>
      <c r="BD80" t="inlineStr">
        <is>
          <t>9780801620522</t>
        </is>
      </c>
      <c r="BE80" t="inlineStr">
        <is>
          <t>30001003474873</t>
        </is>
      </c>
      <c r="BF80" t="inlineStr">
        <is>
          <t>893369475</t>
        </is>
      </c>
    </row>
    <row r="81">
      <c r="A81" t="inlineStr">
        <is>
          <t>No</t>
        </is>
      </c>
      <c r="B81" t="inlineStr">
        <is>
          <t>CUHSL</t>
        </is>
      </c>
      <c r="C81" t="inlineStr">
        <is>
          <t>SHELVES</t>
        </is>
      </c>
      <c r="D81" t="inlineStr">
        <is>
          <t>WA 105 K18m 1995</t>
        </is>
      </c>
      <c r="E81" t="inlineStr">
        <is>
          <t>0                      WA 0105000K  18m         1995</t>
        </is>
      </c>
      <c r="F81" t="inlineStr">
        <is>
          <t>Man and microbes : diseases and plagues in history and modern times / by Arno Karlen.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Karlen, Arno.</t>
        </is>
      </c>
      <c r="N81" t="inlineStr">
        <is>
          <t>New York : Putnam, c1995.</t>
        </is>
      </c>
      <c r="O81" t="inlineStr">
        <is>
          <t>1995</t>
        </is>
      </c>
      <c r="Q81" t="inlineStr">
        <is>
          <t>eng</t>
        </is>
      </c>
      <c r="R81" t="inlineStr">
        <is>
          <t>nyu</t>
        </is>
      </c>
      <c r="T81" t="inlineStr">
        <is>
          <t xml:space="preserve">WA </t>
        </is>
      </c>
      <c r="U81" t="n">
        <v>33</v>
      </c>
      <c r="V81" t="n">
        <v>33</v>
      </c>
      <c r="W81" t="inlineStr">
        <is>
          <t>2005-09-29</t>
        </is>
      </c>
      <c r="X81" t="inlineStr">
        <is>
          <t>2005-09-29</t>
        </is>
      </c>
      <c r="Y81" t="inlineStr">
        <is>
          <t>1995-05-09</t>
        </is>
      </c>
      <c r="Z81" t="inlineStr">
        <is>
          <t>1995-05-09</t>
        </is>
      </c>
      <c r="AA81" t="n">
        <v>1020</v>
      </c>
      <c r="AB81" t="n">
        <v>967</v>
      </c>
      <c r="AC81" t="n">
        <v>1147</v>
      </c>
      <c r="AD81" t="n">
        <v>5</v>
      </c>
      <c r="AE81" t="n">
        <v>8</v>
      </c>
      <c r="AF81" t="n">
        <v>23</v>
      </c>
      <c r="AG81" t="n">
        <v>28</v>
      </c>
      <c r="AH81" t="n">
        <v>8</v>
      </c>
      <c r="AI81" t="n">
        <v>9</v>
      </c>
      <c r="AJ81" t="n">
        <v>5</v>
      </c>
      <c r="AK81" t="n">
        <v>6</v>
      </c>
      <c r="AL81" t="n">
        <v>13</v>
      </c>
      <c r="AM81" t="n">
        <v>15</v>
      </c>
      <c r="AN81" t="n">
        <v>2</v>
      </c>
      <c r="AO81" t="n">
        <v>5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HYPERLINK("http://catalog.hathitrust.org/Record/002969799","HathiTrust Record")</f>
        <v/>
      </c>
      <c r="AU81">
        <f>HYPERLINK("https://creighton-primo.hosted.exlibrisgroup.com/primo-explore/search?tab=default_tab&amp;search_scope=EVERYTHING&amp;vid=01CRU&amp;lang=en_US&amp;offset=0&amp;query=any,contains,991001400119702656","Catalog Record")</f>
        <v/>
      </c>
      <c r="AV81">
        <f>HYPERLINK("http://www.worldcat.org/oclc/31172888","WorldCat Record")</f>
        <v/>
      </c>
      <c r="AW81" t="inlineStr">
        <is>
          <t>32974138:eng</t>
        </is>
      </c>
      <c r="AX81" t="inlineStr">
        <is>
          <t>31172888</t>
        </is>
      </c>
      <c r="AY81" t="inlineStr">
        <is>
          <t>991001400119702656</t>
        </is>
      </c>
      <c r="AZ81" t="inlineStr">
        <is>
          <t>991001400119702656</t>
        </is>
      </c>
      <c r="BA81" t="inlineStr">
        <is>
          <t>2257202640002656</t>
        </is>
      </c>
      <c r="BB81" t="inlineStr">
        <is>
          <t>BOOK</t>
        </is>
      </c>
      <c r="BD81" t="inlineStr">
        <is>
          <t>9780874777598</t>
        </is>
      </c>
      <c r="BE81" t="inlineStr">
        <is>
          <t>30001003147677</t>
        </is>
      </c>
      <c r="BF81" t="inlineStr">
        <is>
          <t>893455746</t>
        </is>
      </c>
    </row>
    <row r="82">
      <c r="A82" t="inlineStr">
        <is>
          <t>No</t>
        </is>
      </c>
      <c r="B82" t="inlineStr">
        <is>
          <t>CUHSL</t>
        </is>
      </c>
      <c r="C82" t="inlineStr">
        <is>
          <t>SHELVES</t>
        </is>
      </c>
      <c r="D82" t="inlineStr">
        <is>
          <t>WA 105 P957 1994</t>
        </is>
      </c>
      <c r="E82" t="inlineStr">
        <is>
          <t>0                      WA 0105000P  957         1994</t>
        </is>
      </c>
      <c r="F82" t="inlineStr">
        <is>
          <t>Principles and practice of public health surveillance / edited by Steven M. Teutsch, R. Elliott Churchill.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New York : Oxford University Press, c1994.</t>
        </is>
      </c>
      <c r="O82" t="inlineStr">
        <is>
          <t>1994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WA </t>
        </is>
      </c>
      <c r="U82" t="n">
        <v>9</v>
      </c>
      <c r="V82" t="n">
        <v>9</v>
      </c>
      <c r="W82" t="inlineStr">
        <is>
          <t>2003-05-18</t>
        </is>
      </c>
      <c r="X82" t="inlineStr">
        <is>
          <t>2003-05-18</t>
        </is>
      </c>
      <c r="Y82" t="inlineStr">
        <is>
          <t>1994-11-01</t>
        </is>
      </c>
      <c r="Z82" t="inlineStr">
        <is>
          <t>1994-11-01</t>
        </is>
      </c>
      <c r="AA82" t="n">
        <v>231</v>
      </c>
      <c r="AB82" t="n">
        <v>150</v>
      </c>
      <c r="AC82" t="n">
        <v>267</v>
      </c>
      <c r="AD82" t="n">
        <v>2</v>
      </c>
      <c r="AE82" t="n">
        <v>2</v>
      </c>
      <c r="AF82" t="n">
        <v>3</v>
      </c>
      <c r="AG82" t="n">
        <v>8</v>
      </c>
      <c r="AH82" t="n">
        <v>0</v>
      </c>
      <c r="AI82" t="n">
        <v>0</v>
      </c>
      <c r="AJ82" t="n">
        <v>1</v>
      </c>
      <c r="AK82" t="n">
        <v>4</v>
      </c>
      <c r="AL82" t="n">
        <v>1</v>
      </c>
      <c r="AM82" t="n">
        <v>4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HYPERLINK("https://creighton-primo.hosted.exlibrisgroup.com/primo-explore/search?tab=default_tab&amp;search_scope=EVERYTHING&amp;vid=01CRU&amp;lang=en_US&amp;offset=0&amp;query=any,contains,991000485939702656","Catalog Record")</f>
        <v/>
      </c>
      <c r="AV82">
        <f>HYPERLINK("http://www.worldcat.org/oclc/27849988","WorldCat Record")</f>
        <v/>
      </c>
      <c r="AW82" t="inlineStr">
        <is>
          <t>356491382:eng</t>
        </is>
      </c>
      <c r="AX82" t="inlineStr">
        <is>
          <t>27849988</t>
        </is>
      </c>
      <c r="AY82" t="inlineStr">
        <is>
          <t>991000485939702656</t>
        </is>
      </c>
      <c r="AZ82" t="inlineStr">
        <is>
          <t>991000485939702656</t>
        </is>
      </c>
      <c r="BA82" t="inlineStr">
        <is>
          <t>2270439930002656</t>
        </is>
      </c>
      <c r="BB82" t="inlineStr">
        <is>
          <t>BOOK</t>
        </is>
      </c>
      <c r="BD82" t="inlineStr">
        <is>
          <t>9780195080216</t>
        </is>
      </c>
      <c r="BE82" t="inlineStr">
        <is>
          <t>30001002697599</t>
        </is>
      </c>
      <c r="BF82" t="inlineStr">
        <is>
          <t>893822252</t>
        </is>
      </c>
    </row>
    <row r="83">
      <c r="A83" t="inlineStr">
        <is>
          <t>No</t>
        </is>
      </c>
      <c r="B83" t="inlineStr">
        <is>
          <t>CUHSL</t>
        </is>
      </c>
      <c r="C83" t="inlineStr">
        <is>
          <t>SHELVES</t>
        </is>
      </c>
      <c r="D83" t="inlineStr">
        <is>
          <t>WA 105 R854 1982 v.1</t>
        </is>
      </c>
      <c r="E83" t="inlineStr">
        <is>
          <t>0                      WA 0105000R  854         1982                                        v.1</t>
        </is>
      </c>
      <c r="F83" t="inlineStr">
        <is>
          <t>The medical detectives / Berton Roueché.</t>
        </is>
      </c>
      <c r="G83" t="inlineStr">
        <is>
          <t>V.1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Roueché, Berton, 1911-1994.</t>
        </is>
      </c>
      <c r="N83" t="inlineStr">
        <is>
          <t>New York : Washington Square Press, Pocket Books, 1982, c1980.</t>
        </is>
      </c>
      <c r="O83" t="inlineStr">
        <is>
          <t>1982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WA </t>
        </is>
      </c>
      <c r="U83" t="n">
        <v>28</v>
      </c>
      <c r="V83" t="n">
        <v>28</v>
      </c>
      <c r="W83" t="inlineStr">
        <is>
          <t>2003-05-24</t>
        </is>
      </c>
      <c r="X83" t="inlineStr">
        <is>
          <t>2003-05-24</t>
        </is>
      </c>
      <c r="Y83" t="inlineStr">
        <is>
          <t>1987-10-05</t>
        </is>
      </c>
      <c r="Z83" t="inlineStr">
        <is>
          <t>1987-10-05</t>
        </is>
      </c>
      <c r="AA83" t="n">
        <v>57</v>
      </c>
      <c r="AB83" t="n">
        <v>55</v>
      </c>
      <c r="AC83" t="n">
        <v>952</v>
      </c>
      <c r="AD83" t="n">
        <v>1</v>
      </c>
      <c r="AE83" t="n">
        <v>5</v>
      </c>
      <c r="AF83" t="n">
        <v>3</v>
      </c>
      <c r="AG83" t="n">
        <v>21</v>
      </c>
      <c r="AH83" t="n">
        <v>1</v>
      </c>
      <c r="AI83" t="n">
        <v>9</v>
      </c>
      <c r="AJ83" t="n">
        <v>0</v>
      </c>
      <c r="AK83" t="n">
        <v>6</v>
      </c>
      <c r="AL83" t="n">
        <v>2</v>
      </c>
      <c r="AM83" t="n">
        <v>8</v>
      </c>
      <c r="AN83" t="n">
        <v>0</v>
      </c>
      <c r="AO83" t="n">
        <v>1</v>
      </c>
      <c r="AP83" t="n">
        <v>1</v>
      </c>
      <c r="AQ83" t="n">
        <v>1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HYPERLINK("http://catalog.hathitrust.org/Record/000202005","HathiTrust Record")</f>
        <v/>
      </c>
      <c r="AU83">
        <f>HYPERLINK("https://creighton-primo.hosted.exlibrisgroup.com/primo-explore/search?tab=default_tab&amp;search_scope=EVERYTHING&amp;vid=01CRU&amp;lang=en_US&amp;offset=0&amp;query=any,contains,991000754079702656","Catalog Record")</f>
        <v/>
      </c>
      <c r="AV83">
        <f>HYPERLINK("http://www.worldcat.org/oclc/11955719","WorldCat Record")</f>
        <v/>
      </c>
      <c r="AW83" t="inlineStr">
        <is>
          <t>196611814:eng</t>
        </is>
      </c>
      <c r="AX83" t="inlineStr">
        <is>
          <t>11955719</t>
        </is>
      </c>
      <c r="AY83" t="inlineStr">
        <is>
          <t>991000754079702656</t>
        </is>
      </c>
      <c r="AZ83" t="inlineStr">
        <is>
          <t>991000754079702656</t>
        </is>
      </c>
      <c r="BA83" t="inlineStr">
        <is>
          <t>2260147160002656</t>
        </is>
      </c>
      <c r="BB83" t="inlineStr">
        <is>
          <t>BOOK</t>
        </is>
      </c>
      <c r="BE83" t="inlineStr">
        <is>
          <t>30001000052011</t>
        </is>
      </c>
      <c r="BF83" t="inlineStr">
        <is>
          <t>893454832</t>
        </is>
      </c>
    </row>
    <row r="84">
      <c r="A84" t="inlineStr">
        <is>
          <t>No</t>
        </is>
      </c>
      <c r="B84" t="inlineStr">
        <is>
          <t>CUHSL</t>
        </is>
      </c>
      <c r="C84" t="inlineStr">
        <is>
          <t>SHELVES</t>
        </is>
      </c>
      <c r="D84" t="inlineStr">
        <is>
          <t>WA 108 C641 1994</t>
        </is>
      </c>
      <c r="E84" t="inlineStr">
        <is>
          <t>0                      WA 0108000C  641         1994</t>
        </is>
      </c>
      <c r="F84" t="inlineStr">
        <is>
          <t>Clinician's handbook of preventive services : put prevention into family practice / American Academy of Pediatrics.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N84" t="inlineStr">
        <is>
          <t>Elk Grove Village, IL : American Academy of Pediatrics, [1994]</t>
        </is>
      </c>
      <c r="O84" t="inlineStr">
        <is>
          <t>1994</t>
        </is>
      </c>
      <c r="Q84" t="inlineStr">
        <is>
          <t>eng</t>
        </is>
      </c>
      <c r="R84" t="inlineStr">
        <is>
          <t>ilu</t>
        </is>
      </c>
      <c r="S84" t="inlineStr">
        <is>
          <t>ANA pub. no. CH-32 6M</t>
        </is>
      </c>
      <c r="T84" t="inlineStr">
        <is>
          <t xml:space="preserve">WA </t>
        </is>
      </c>
      <c r="U84" t="n">
        <v>1</v>
      </c>
      <c r="V84" t="n">
        <v>1</v>
      </c>
      <c r="W84" t="inlineStr">
        <is>
          <t>2003-06-07</t>
        </is>
      </c>
      <c r="X84" t="inlineStr">
        <is>
          <t>2003-06-07</t>
        </is>
      </c>
      <c r="Y84" t="inlineStr">
        <is>
          <t>2000-06-15</t>
        </is>
      </c>
      <c r="Z84" t="inlineStr">
        <is>
          <t>2000-06-15</t>
        </is>
      </c>
      <c r="AA84" t="n">
        <v>62</v>
      </c>
      <c r="AB84" t="n">
        <v>56</v>
      </c>
      <c r="AC84" t="n">
        <v>63</v>
      </c>
      <c r="AD84" t="n">
        <v>2</v>
      </c>
      <c r="AE84" t="n">
        <v>2</v>
      </c>
      <c r="AF84" t="n">
        <v>1</v>
      </c>
      <c r="AG84" t="n">
        <v>1</v>
      </c>
      <c r="AH84" t="n">
        <v>0</v>
      </c>
      <c r="AI84" t="n">
        <v>0</v>
      </c>
      <c r="AJ84" t="n">
        <v>0</v>
      </c>
      <c r="AK84" t="n">
        <v>0</v>
      </c>
      <c r="AL84" t="n">
        <v>1</v>
      </c>
      <c r="AM84" t="n">
        <v>1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Yes</t>
        </is>
      </c>
      <c r="AS84" t="inlineStr">
        <is>
          <t>No</t>
        </is>
      </c>
      <c r="AT84">
        <f>HYPERLINK("http://catalog.hathitrust.org/Record/102413032","HathiTrust Record")</f>
        <v/>
      </c>
      <c r="AU84">
        <f>HYPERLINK("https://creighton-primo.hosted.exlibrisgroup.com/primo-explore/search?tab=default_tab&amp;search_scope=EVERYTHING&amp;vid=01CRU&amp;lang=en_US&amp;offset=0&amp;query=any,contains,991000252889702656","Catalog Record")</f>
        <v/>
      </c>
      <c r="AV84">
        <f>HYPERLINK("http://www.worldcat.org/oclc/31213376","WorldCat Record")</f>
        <v/>
      </c>
      <c r="AW84" t="inlineStr">
        <is>
          <t>55856350:eng</t>
        </is>
      </c>
      <c r="AX84" t="inlineStr">
        <is>
          <t>31213376</t>
        </is>
      </c>
      <c r="AY84" t="inlineStr">
        <is>
          <t>991000252889702656</t>
        </is>
      </c>
      <c r="AZ84" t="inlineStr">
        <is>
          <t>991000252889702656</t>
        </is>
      </c>
      <c r="BA84" t="inlineStr">
        <is>
          <t>2260415510002656</t>
        </is>
      </c>
      <c r="BB84" t="inlineStr">
        <is>
          <t>BOOK</t>
        </is>
      </c>
      <c r="BD84" t="inlineStr">
        <is>
          <t>9780910761666</t>
        </is>
      </c>
      <c r="BE84" t="inlineStr">
        <is>
          <t>30001003205350</t>
        </is>
      </c>
      <c r="BF84" t="inlineStr">
        <is>
          <t>893633566</t>
        </is>
      </c>
    </row>
    <row r="85">
      <c r="A85" t="inlineStr">
        <is>
          <t>No</t>
        </is>
      </c>
      <c r="B85" t="inlineStr">
        <is>
          <t>CUHSL</t>
        </is>
      </c>
      <c r="C85" t="inlineStr">
        <is>
          <t>SHELVES</t>
        </is>
      </c>
      <c r="D85" t="inlineStr">
        <is>
          <t>WA108 C641 2004</t>
        </is>
      </c>
      <c r="E85" t="inlineStr">
        <is>
          <t>0                      WA 0108000C  641         2004</t>
        </is>
      </c>
      <c r="F85" t="inlineStr">
        <is>
          <t>Clinical preventive medicine / [edited by] Richard S. Lang, Donald D. Hensrud.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N85" t="inlineStr">
        <is>
          <t>Chicago : American Medical Association, c2004.</t>
        </is>
      </c>
      <c r="O85" t="inlineStr">
        <is>
          <t>2004</t>
        </is>
      </c>
      <c r="P85" t="inlineStr">
        <is>
          <t>2nd ed.</t>
        </is>
      </c>
      <c r="Q85" t="inlineStr">
        <is>
          <t>eng</t>
        </is>
      </c>
      <c r="R85" t="inlineStr">
        <is>
          <t>ilu</t>
        </is>
      </c>
      <c r="T85" t="inlineStr">
        <is>
          <t xml:space="preserve">WA </t>
        </is>
      </c>
      <c r="U85" t="n">
        <v>0</v>
      </c>
      <c r="V85" t="n">
        <v>0</v>
      </c>
      <c r="W85" t="inlineStr">
        <is>
          <t>2004-09-30</t>
        </is>
      </c>
      <c r="X85" t="inlineStr">
        <is>
          <t>2004-09-30</t>
        </is>
      </c>
      <c r="Y85" t="inlineStr">
        <is>
          <t>2004-09-22</t>
        </is>
      </c>
      <c r="Z85" t="inlineStr">
        <is>
          <t>2004-09-22</t>
        </is>
      </c>
      <c r="AA85" t="n">
        <v>186</v>
      </c>
      <c r="AB85" t="n">
        <v>161</v>
      </c>
      <c r="AC85" t="n">
        <v>269</v>
      </c>
      <c r="AD85" t="n">
        <v>1</v>
      </c>
      <c r="AE85" t="n">
        <v>1</v>
      </c>
      <c r="AF85" t="n">
        <v>7</v>
      </c>
      <c r="AG85" t="n">
        <v>11</v>
      </c>
      <c r="AH85" t="n">
        <v>2</v>
      </c>
      <c r="AI85" t="n">
        <v>3</v>
      </c>
      <c r="AJ85" t="n">
        <v>2</v>
      </c>
      <c r="AK85" t="n">
        <v>4</v>
      </c>
      <c r="AL85" t="n">
        <v>4</v>
      </c>
      <c r="AM85" t="n">
        <v>7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HYPERLINK("https://creighton-primo.hosted.exlibrisgroup.com/primo-explore/search?tab=default_tab&amp;search_scope=EVERYTHING&amp;vid=01CRU&amp;lang=en_US&amp;offset=0&amp;query=any,contains,991000393379702656","Catalog Record")</f>
        <v/>
      </c>
      <c r="AV85">
        <f>HYPERLINK("http://www.worldcat.org/oclc/54356558","WorldCat Record")</f>
        <v/>
      </c>
      <c r="AW85" t="inlineStr">
        <is>
          <t>1143752011:eng</t>
        </is>
      </c>
      <c r="AX85" t="inlineStr">
        <is>
          <t>54356558</t>
        </is>
      </c>
      <c r="AY85" t="inlineStr">
        <is>
          <t>991000393379702656</t>
        </is>
      </c>
      <c r="AZ85" t="inlineStr">
        <is>
          <t>991000393379702656</t>
        </is>
      </c>
      <c r="BA85" t="inlineStr">
        <is>
          <t>2272127300002656</t>
        </is>
      </c>
      <c r="BB85" t="inlineStr">
        <is>
          <t>BOOK</t>
        </is>
      </c>
      <c r="BD85" t="inlineStr">
        <is>
          <t>9781579474171</t>
        </is>
      </c>
      <c r="BE85" t="inlineStr">
        <is>
          <t>30001004923076</t>
        </is>
      </c>
      <c r="BF85" t="inlineStr">
        <is>
          <t>893547795</t>
        </is>
      </c>
    </row>
    <row r="86">
      <c r="A86" t="inlineStr">
        <is>
          <t>No</t>
        </is>
      </c>
      <c r="B86" t="inlineStr">
        <is>
          <t>CUHSL</t>
        </is>
      </c>
      <c r="C86" t="inlineStr">
        <is>
          <t>SHELVES</t>
        </is>
      </c>
      <c r="D86" t="inlineStr">
        <is>
          <t>WA 108 C678h 1988</t>
        </is>
      </c>
      <c r="E86" t="inlineStr">
        <is>
          <t>0                      WA 0108000C  678h        1988</t>
        </is>
      </c>
      <c r="F86" t="inlineStr">
        <is>
          <t>Health, prevention, and economics / David R. Cohen and John B. Henderson.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Cohen, David, 1951-</t>
        </is>
      </c>
      <c r="N86" t="inlineStr">
        <is>
          <t>Oxford ; New York : Oxford University Press, 1991 c1988.</t>
        </is>
      </c>
      <c r="O86" t="inlineStr">
        <is>
          <t>1988</t>
        </is>
      </c>
      <c r="Q86" t="inlineStr">
        <is>
          <t>eng</t>
        </is>
      </c>
      <c r="R86" t="inlineStr">
        <is>
          <t>enk</t>
        </is>
      </c>
      <c r="T86" t="inlineStr">
        <is>
          <t xml:space="preserve">WA </t>
        </is>
      </c>
      <c r="U86" t="n">
        <v>10</v>
      </c>
      <c r="V86" t="n">
        <v>10</v>
      </c>
      <c r="W86" t="inlineStr">
        <is>
          <t>1998-10-15</t>
        </is>
      </c>
      <c r="X86" t="inlineStr">
        <is>
          <t>1998-10-15</t>
        </is>
      </c>
      <c r="Y86" t="inlineStr">
        <is>
          <t>1993-12-15</t>
        </is>
      </c>
      <c r="Z86" t="inlineStr">
        <is>
          <t>1993-12-15</t>
        </is>
      </c>
      <c r="AA86" t="n">
        <v>253</v>
      </c>
      <c r="AB86" t="n">
        <v>147</v>
      </c>
      <c r="AC86" t="n">
        <v>150</v>
      </c>
      <c r="AD86" t="n">
        <v>1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HYPERLINK("https://creighton-primo.hosted.exlibrisgroup.com/primo-explore/search?tab=default_tab&amp;search_scope=EVERYTHING&amp;vid=01CRU&amp;lang=en_US&amp;offset=0&amp;query=any,contains,991000647419702656","Catalog Record")</f>
        <v/>
      </c>
      <c r="AV86">
        <f>HYPERLINK("http://www.worldcat.org/oclc/18072132","WorldCat Record")</f>
        <v/>
      </c>
      <c r="AW86" t="inlineStr">
        <is>
          <t>27105978:eng</t>
        </is>
      </c>
      <c r="AX86" t="inlineStr">
        <is>
          <t>18072132</t>
        </is>
      </c>
      <c r="AY86" t="inlineStr">
        <is>
          <t>991000647419702656</t>
        </is>
      </c>
      <c r="AZ86" t="inlineStr">
        <is>
          <t>991000647419702656</t>
        </is>
      </c>
      <c r="BA86" t="inlineStr">
        <is>
          <t>2267390620002656</t>
        </is>
      </c>
      <c r="BB86" t="inlineStr">
        <is>
          <t>BOOK</t>
        </is>
      </c>
      <c r="BD86" t="inlineStr">
        <is>
          <t>9780192617781</t>
        </is>
      </c>
      <c r="BE86" t="inlineStr">
        <is>
          <t>30001002690552</t>
        </is>
      </c>
      <c r="BF86" t="inlineStr">
        <is>
          <t>893739838</t>
        </is>
      </c>
    </row>
    <row r="87">
      <c r="A87" t="inlineStr">
        <is>
          <t>No</t>
        </is>
      </c>
      <c r="B87" t="inlineStr">
        <is>
          <t>CUHSL</t>
        </is>
      </c>
      <c r="C87" t="inlineStr">
        <is>
          <t>SHELVES</t>
        </is>
      </c>
      <c r="D87" t="inlineStr">
        <is>
          <t>WA 108 H2365 2004</t>
        </is>
      </c>
      <c r="E87" t="inlineStr">
        <is>
          <t>0                      WA 0108000H  2365        2004</t>
        </is>
      </c>
      <c r="F87" t="inlineStr">
        <is>
          <t>Handbook of preventive interventions for children and adolescents / Lisa A. Rapp-Paglicci, Catherine N. Dulmus, John S. Wodarski.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Hoboken, NJ : John Wiley, 2004.</t>
        </is>
      </c>
      <c r="O87" t="inlineStr">
        <is>
          <t>2004</t>
        </is>
      </c>
      <c r="Q87" t="inlineStr">
        <is>
          <t>eng</t>
        </is>
      </c>
      <c r="R87" t="inlineStr">
        <is>
          <t>nju</t>
        </is>
      </c>
      <c r="T87" t="inlineStr">
        <is>
          <t xml:space="preserve">WA </t>
        </is>
      </c>
      <c r="U87" t="n">
        <v>1</v>
      </c>
      <c r="V87" t="n">
        <v>1</v>
      </c>
      <c r="W87" t="inlineStr">
        <is>
          <t>2010-09-13</t>
        </is>
      </c>
      <c r="X87" t="inlineStr">
        <is>
          <t>2010-09-13</t>
        </is>
      </c>
      <c r="Y87" t="inlineStr">
        <is>
          <t>2004-09-24</t>
        </is>
      </c>
      <c r="Z87" t="inlineStr">
        <is>
          <t>2004-09-24</t>
        </is>
      </c>
      <c r="AA87" t="n">
        <v>359</v>
      </c>
      <c r="AB87" t="n">
        <v>254</v>
      </c>
      <c r="AC87" t="n">
        <v>260</v>
      </c>
      <c r="AD87" t="n">
        <v>2</v>
      </c>
      <c r="AE87" t="n">
        <v>2</v>
      </c>
      <c r="AF87" t="n">
        <v>10</v>
      </c>
      <c r="AG87" t="n">
        <v>10</v>
      </c>
      <c r="AH87" t="n">
        <v>3</v>
      </c>
      <c r="AI87" t="n">
        <v>3</v>
      </c>
      <c r="AJ87" t="n">
        <v>2</v>
      </c>
      <c r="AK87" t="n">
        <v>2</v>
      </c>
      <c r="AL87" t="n">
        <v>5</v>
      </c>
      <c r="AM87" t="n">
        <v>5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HYPERLINK("http://catalog.hathitrust.org/Record/004370627","HathiTrust Record")</f>
        <v/>
      </c>
      <c r="AU87">
        <f>HYPERLINK("https://creighton-primo.hosted.exlibrisgroup.com/primo-explore/search?tab=default_tab&amp;search_scope=EVERYTHING&amp;vid=01CRU&amp;lang=en_US&amp;offset=0&amp;query=any,contains,991000396329702656","Catalog Record")</f>
        <v/>
      </c>
      <c r="AV87">
        <f>HYPERLINK("http://www.worldcat.org/oclc/52706275","WorldCat Record")</f>
        <v/>
      </c>
      <c r="AW87" t="inlineStr">
        <is>
          <t>351258724:eng</t>
        </is>
      </c>
      <c r="AX87" t="inlineStr">
        <is>
          <t>52706275</t>
        </is>
      </c>
      <c r="AY87" t="inlineStr">
        <is>
          <t>991000396329702656</t>
        </is>
      </c>
      <c r="AZ87" t="inlineStr">
        <is>
          <t>991000396329702656</t>
        </is>
      </c>
      <c r="BA87" t="inlineStr">
        <is>
          <t>2272129470002656</t>
        </is>
      </c>
      <c r="BB87" t="inlineStr">
        <is>
          <t>BOOK</t>
        </is>
      </c>
      <c r="BD87" t="inlineStr">
        <is>
          <t>9780471274339</t>
        </is>
      </c>
      <c r="BE87" t="inlineStr">
        <is>
          <t>30001004978880</t>
        </is>
      </c>
      <c r="BF87" t="inlineStr">
        <is>
          <t>893365398</t>
        </is>
      </c>
    </row>
    <row r="88">
      <c r="A88" t="inlineStr">
        <is>
          <t>No</t>
        </is>
      </c>
      <c r="B88" t="inlineStr">
        <is>
          <t>CUHSL</t>
        </is>
      </c>
      <c r="C88" t="inlineStr">
        <is>
          <t>SHELVES</t>
        </is>
      </c>
      <c r="D88" t="inlineStr">
        <is>
          <t>WA 108 H434 1990</t>
        </is>
      </c>
      <c r="E88" t="inlineStr">
        <is>
          <t>0                      WA 0108000H  434         1990</t>
        </is>
      </c>
      <c r="F88" t="inlineStr">
        <is>
          <t>Health enhancement, disease prevention, and early intervention : biobehavioral perspectives / Kenneth D. Craig, Stephen M. Weiss, editors.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New York : Springer Pub. Co., c1990.</t>
        </is>
      </c>
      <c r="O88" t="inlineStr">
        <is>
          <t>1990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WA </t>
        </is>
      </c>
      <c r="U88" t="n">
        <v>12</v>
      </c>
      <c r="V88" t="n">
        <v>12</v>
      </c>
      <c r="W88" t="inlineStr">
        <is>
          <t>1998-03-14</t>
        </is>
      </c>
      <c r="X88" t="inlineStr">
        <is>
          <t>1998-03-14</t>
        </is>
      </c>
      <c r="Y88" t="inlineStr">
        <is>
          <t>1991-03-01</t>
        </is>
      </c>
      <c r="Z88" t="inlineStr">
        <is>
          <t>1991-03-01</t>
        </is>
      </c>
      <c r="AA88" t="n">
        <v>207</v>
      </c>
      <c r="AB88" t="n">
        <v>173</v>
      </c>
      <c r="AC88" t="n">
        <v>179</v>
      </c>
      <c r="AD88" t="n">
        <v>2</v>
      </c>
      <c r="AE88" t="n">
        <v>2</v>
      </c>
      <c r="AF88" t="n">
        <v>11</v>
      </c>
      <c r="AG88" t="n">
        <v>11</v>
      </c>
      <c r="AH88" t="n">
        <v>3</v>
      </c>
      <c r="AI88" t="n">
        <v>3</v>
      </c>
      <c r="AJ88" t="n">
        <v>5</v>
      </c>
      <c r="AK88" t="n">
        <v>5</v>
      </c>
      <c r="AL88" t="n">
        <v>5</v>
      </c>
      <c r="AM88" t="n">
        <v>5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HYPERLINK("http://catalog.hathitrust.org/Record/001950111","HathiTrust Record")</f>
        <v/>
      </c>
      <c r="AU88">
        <f>HYPERLINK("https://creighton-primo.hosted.exlibrisgroup.com/primo-explore/search?tab=default_tab&amp;search_scope=EVERYTHING&amp;vid=01CRU&amp;lang=en_US&amp;offset=0&amp;query=any,contains,991000814979702656","Catalog Record")</f>
        <v/>
      </c>
      <c r="AV88">
        <f>HYPERLINK("http://www.worldcat.org/oclc/19814864","WorldCat Record")</f>
        <v/>
      </c>
      <c r="AW88" t="inlineStr">
        <is>
          <t>365868028:eng</t>
        </is>
      </c>
      <c r="AX88" t="inlineStr">
        <is>
          <t>19814864</t>
        </is>
      </c>
      <c r="AY88" t="inlineStr">
        <is>
          <t>991000814979702656</t>
        </is>
      </c>
      <c r="AZ88" t="inlineStr">
        <is>
          <t>991000814979702656</t>
        </is>
      </c>
      <c r="BA88" t="inlineStr">
        <is>
          <t>2272489310002656</t>
        </is>
      </c>
      <c r="BB88" t="inlineStr">
        <is>
          <t>BOOK</t>
        </is>
      </c>
      <c r="BD88" t="inlineStr">
        <is>
          <t>9780826161604</t>
        </is>
      </c>
      <c r="BE88" t="inlineStr">
        <is>
          <t>30001002085845</t>
        </is>
      </c>
      <c r="BF88" t="inlineStr">
        <is>
          <t>893825903</t>
        </is>
      </c>
    </row>
    <row r="89">
      <c r="A89" t="inlineStr">
        <is>
          <t>No</t>
        </is>
      </c>
      <c r="B89" t="inlineStr">
        <is>
          <t>CUHSL</t>
        </is>
      </c>
      <c r="C89" t="inlineStr">
        <is>
          <t>SHELVES</t>
        </is>
      </c>
      <c r="D89" t="inlineStr">
        <is>
          <t>WA 108 P94224 1992</t>
        </is>
      </c>
      <c r="E89" t="inlineStr">
        <is>
          <t>0                      WA 0108000P  94224       1992</t>
        </is>
      </c>
      <c r="F89" t="inlineStr">
        <is>
          <t>Prevention practice : strategies for physical therapy and occupational therapy / [edited by] Jeffrey Rothman, Ruth Levine.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Philadelphia : Saunders, c1992.</t>
        </is>
      </c>
      <c r="O89" t="inlineStr">
        <is>
          <t>1992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WA </t>
        </is>
      </c>
      <c r="U89" t="n">
        <v>80</v>
      </c>
      <c r="V89" t="n">
        <v>80</v>
      </c>
      <c r="W89" t="inlineStr">
        <is>
          <t>2005-08-29</t>
        </is>
      </c>
      <c r="X89" t="inlineStr">
        <is>
          <t>2005-08-29</t>
        </is>
      </c>
      <c r="Y89" t="inlineStr">
        <is>
          <t>1993-05-04</t>
        </is>
      </c>
      <c r="Z89" t="inlineStr">
        <is>
          <t>1993-05-04</t>
        </is>
      </c>
      <c r="AA89" t="n">
        <v>237</v>
      </c>
      <c r="AB89" t="n">
        <v>184</v>
      </c>
      <c r="AC89" t="n">
        <v>190</v>
      </c>
      <c r="AD89" t="n">
        <v>1</v>
      </c>
      <c r="AE89" t="n">
        <v>1</v>
      </c>
      <c r="AF89" t="n">
        <v>7</v>
      </c>
      <c r="AG89" t="n">
        <v>7</v>
      </c>
      <c r="AH89" t="n">
        <v>4</v>
      </c>
      <c r="AI89" t="n">
        <v>4</v>
      </c>
      <c r="AJ89" t="n">
        <v>2</v>
      </c>
      <c r="AK89" t="n">
        <v>2</v>
      </c>
      <c r="AL89" t="n">
        <v>4</v>
      </c>
      <c r="AM89" t="n">
        <v>4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HYPERLINK("http://catalog.hathitrust.org/Record/002551475","HathiTrust Record")</f>
        <v/>
      </c>
      <c r="AU89">
        <f>HYPERLINK("https://creighton-primo.hosted.exlibrisgroup.com/primo-explore/search?tab=default_tab&amp;search_scope=EVERYTHING&amp;vid=01CRU&amp;lang=en_US&amp;offset=0&amp;query=any,contains,991001508099702656","Catalog Record")</f>
        <v/>
      </c>
      <c r="AV89">
        <f>HYPERLINK("http://www.worldcat.org/oclc/24064993","WorldCat Record")</f>
        <v/>
      </c>
      <c r="AW89" t="inlineStr">
        <is>
          <t>836884626:eng</t>
        </is>
      </c>
      <c r="AX89" t="inlineStr">
        <is>
          <t>24064993</t>
        </is>
      </c>
      <c r="AY89" t="inlineStr">
        <is>
          <t>991001508099702656</t>
        </is>
      </c>
      <c r="AZ89" t="inlineStr">
        <is>
          <t>991001508099702656</t>
        </is>
      </c>
      <c r="BA89" t="inlineStr">
        <is>
          <t>2264184050002656</t>
        </is>
      </c>
      <c r="BB89" t="inlineStr">
        <is>
          <t>BOOK</t>
        </is>
      </c>
      <c r="BD89" t="inlineStr">
        <is>
          <t>9780721632612</t>
        </is>
      </c>
      <c r="BE89" t="inlineStr">
        <is>
          <t>30001002600056</t>
        </is>
      </c>
      <c r="BF89" t="inlineStr">
        <is>
          <t>893274225</t>
        </is>
      </c>
    </row>
    <row r="90">
      <c r="A90" t="inlineStr">
        <is>
          <t>No</t>
        </is>
      </c>
      <c r="B90" t="inlineStr">
        <is>
          <t>CUHSL</t>
        </is>
      </c>
      <c r="C90" t="inlineStr">
        <is>
          <t>SHELVES</t>
        </is>
      </c>
      <c r="D90" t="inlineStr">
        <is>
          <t>WA 108 P944 1992</t>
        </is>
      </c>
      <c r="E90" t="inlineStr">
        <is>
          <t>0                      WA 0108000P  944         1992</t>
        </is>
      </c>
      <c r="F90" t="inlineStr">
        <is>
          <t>Prevention '91/'92 : federal programs and progress / U.S. Department of Health and Human Services, Public Health Service, Office of Disease Prevention and Health Promotion.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Washington, D.C.. : The Dept. : U.S.G.P.O., 1992.</t>
        </is>
      </c>
      <c r="O90" t="inlineStr">
        <is>
          <t>1992</t>
        </is>
      </c>
      <c r="Q90" t="inlineStr">
        <is>
          <t>eng</t>
        </is>
      </c>
      <c r="R90" t="inlineStr">
        <is>
          <t>dcu</t>
        </is>
      </c>
      <c r="T90" t="inlineStr">
        <is>
          <t xml:space="preserve">WA </t>
        </is>
      </c>
      <c r="U90" t="n">
        <v>7</v>
      </c>
      <c r="V90" t="n">
        <v>7</v>
      </c>
      <c r="W90" t="inlineStr">
        <is>
          <t>1994-11-27</t>
        </is>
      </c>
      <c r="X90" t="inlineStr">
        <is>
          <t>1994-11-27</t>
        </is>
      </c>
      <c r="Y90" t="inlineStr">
        <is>
          <t>1992-12-23</t>
        </is>
      </c>
      <c r="Z90" t="inlineStr">
        <is>
          <t>1992-12-23</t>
        </is>
      </c>
      <c r="AA90" t="n">
        <v>29</v>
      </c>
      <c r="AB90" t="n">
        <v>29</v>
      </c>
      <c r="AC90" t="n">
        <v>29</v>
      </c>
      <c r="AD90" t="n">
        <v>1</v>
      </c>
      <c r="AE90" t="n">
        <v>1</v>
      </c>
      <c r="AF90" t="n">
        <v>1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HYPERLINK("https://creighton-primo.hosted.exlibrisgroup.com/primo-explore/search?tab=default_tab&amp;search_scope=EVERYTHING&amp;vid=01CRU&amp;lang=en_US&amp;offset=0&amp;query=any,contains,991001352199702656","Catalog Record")</f>
        <v/>
      </c>
      <c r="AV90">
        <f>HYPERLINK("http://www.worldcat.org/oclc/27166251","WorldCat Record")</f>
        <v/>
      </c>
      <c r="AW90" t="inlineStr">
        <is>
          <t>29649918:eng</t>
        </is>
      </c>
      <c r="AX90" t="inlineStr">
        <is>
          <t>27166251</t>
        </is>
      </c>
      <c r="AY90" t="inlineStr">
        <is>
          <t>991001352199702656</t>
        </is>
      </c>
      <c r="AZ90" t="inlineStr">
        <is>
          <t>991001352199702656</t>
        </is>
      </c>
      <c r="BA90" t="inlineStr">
        <is>
          <t>2265318750002656</t>
        </is>
      </c>
      <c r="BB90" t="inlineStr">
        <is>
          <t>BOOK</t>
        </is>
      </c>
      <c r="BE90" t="inlineStr">
        <is>
          <t>30001002459834</t>
        </is>
      </c>
      <c r="BF90" t="inlineStr">
        <is>
          <t>893552397</t>
        </is>
      </c>
    </row>
    <row r="91">
      <c r="A91" t="inlineStr">
        <is>
          <t>No</t>
        </is>
      </c>
      <c r="B91" t="inlineStr">
        <is>
          <t>CUHSL</t>
        </is>
      </c>
      <c r="C91" t="inlineStr">
        <is>
          <t>SHELVES</t>
        </is>
      </c>
      <c r="D91" t="inlineStr">
        <is>
          <t>WA 108 P993 1988</t>
        </is>
      </c>
      <c r="E91" t="inlineStr">
        <is>
          <t>0                      WA 0108000P  993         1988</t>
        </is>
      </c>
      <c r="F91" t="inlineStr">
        <is>
          <t>Putting prevention into practice : problem solving in clinical prevention / edited by Richard K. Riegelman, Gail J. Povar.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Boston : Little, Brown, c1988.</t>
        </is>
      </c>
      <c r="O91" t="inlineStr">
        <is>
          <t>1988</t>
        </is>
      </c>
      <c r="P91" t="inlineStr">
        <is>
          <t>1st ed.</t>
        </is>
      </c>
      <c r="Q91" t="inlineStr">
        <is>
          <t>eng</t>
        </is>
      </c>
      <c r="R91" t="inlineStr">
        <is>
          <t>mau</t>
        </is>
      </c>
      <c r="T91" t="inlineStr">
        <is>
          <t xml:space="preserve">WA </t>
        </is>
      </c>
      <c r="U91" t="n">
        <v>3</v>
      </c>
      <c r="V91" t="n">
        <v>3</v>
      </c>
      <c r="W91" t="inlineStr">
        <is>
          <t>1994-03-18</t>
        </is>
      </c>
      <c r="X91" t="inlineStr">
        <is>
          <t>1994-03-18</t>
        </is>
      </c>
      <c r="Y91" t="inlineStr">
        <is>
          <t>1988-06-02</t>
        </is>
      </c>
      <c r="Z91" t="inlineStr">
        <is>
          <t>1988-06-02</t>
        </is>
      </c>
      <c r="AA91" t="n">
        <v>169</v>
      </c>
      <c r="AB91" t="n">
        <v>129</v>
      </c>
      <c r="AC91" t="n">
        <v>132</v>
      </c>
      <c r="AD91" t="n">
        <v>1</v>
      </c>
      <c r="AE91" t="n">
        <v>1</v>
      </c>
      <c r="AF91" t="n">
        <v>1</v>
      </c>
      <c r="AG91" t="n">
        <v>1</v>
      </c>
      <c r="AH91" t="n">
        <v>0</v>
      </c>
      <c r="AI91" t="n">
        <v>0</v>
      </c>
      <c r="AJ91" t="n">
        <v>1</v>
      </c>
      <c r="AK91" t="n">
        <v>1</v>
      </c>
      <c r="AL91" t="n">
        <v>1</v>
      </c>
      <c r="AM91" t="n">
        <v>1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HYPERLINK("http://catalog.hathitrust.org/Record/001089462","HathiTrust Record")</f>
        <v/>
      </c>
      <c r="AU91">
        <f>HYPERLINK("https://creighton-primo.hosted.exlibrisgroup.com/primo-explore/search?tab=default_tab&amp;search_scope=EVERYTHING&amp;vid=01CRU&amp;lang=en_US&amp;offset=0&amp;query=any,contains,991001192989702656","Catalog Record")</f>
        <v/>
      </c>
      <c r="AV91">
        <f>HYPERLINK("http://www.worldcat.org/oclc/17696066","WorldCat Record")</f>
        <v/>
      </c>
      <c r="AW91" t="inlineStr">
        <is>
          <t>890190707:eng</t>
        </is>
      </c>
      <c r="AX91" t="inlineStr">
        <is>
          <t>17696066</t>
        </is>
      </c>
      <c r="AY91" t="inlineStr">
        <is>
          <t>991001192989702656</t>
        </is>
      </c>
      <c r="AZ91" t="inlineStr">
        <is>
          <t>991001192989702656</t>
        </is>
      </c>
      <c r="BA91" t="inlineStr">
        <is>
          <t>2262518490002656</t>
        </is>
      </c>
      <c r="BB91" t="inlineStr">
        <is>
          <t>BOOK</t>
        </is>
      </c>
      <c r="BD91" t="inlineStr">
        <is>
          <t>9780316745192</t>
        </is>
      </c>
      <c r="BE91" t="inlineStr">
        <is>
          <t>30001000979759</t>
        </is>
      </c>
      <c r="BF91" t="inlineStr">
        <is>
          <t>893161755</t>
        </is>
      </c>
    </row>
    <row r="92">
      <c r="A92" t="inlineStr">
        <is>
          <t>No</t>
        </is>
      </c>
      <c r="B92" t="inlineStr">
        <is>
          <t>CUHSL</t>
        </is>
      </c>
      <c r="C92" t="inlineStr">
        <is>
          <t>SHELVES</t>
        </is>
      </c>
      <c r="D92" t="inlineStr">
        <is>
          <t>WA 108 T337h 1988</t>
        </is>
      </c>
      <c r="E92" t="inlineStr">
        <is>
          <t>0                      WA 0108000T  337h        1988</t>
        </is>
      </c>
      <c r="F92" t="inlineStr">
        <is>
          <t>Hidden arguments : political ideology and disease prevention policy / Sylvia Noble Tesh.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Tesh, Sylvia Noble, 1937-</t>
        </is>
      </c>
      <c r="N92" t="inlineStr">
        <is>
          <t>New Brunswick, N.J. : Rutgers University Press, c1988.</t>
        </is>
      </c>
      <c r="O92" t="inlineStr">
        <is>
          <t>1988</t>
        </is>
      </c>
      <c r="Q92" t="inlineStr">
        <is>
          <t>eng</t>
        </is>
      </c>
      <c r="R92" t="inlineStr">
        <is>
          <t>nju</t>
        </is>
      </c>
      <c r="T92" t="inlineStr">
        <is>
          <t xml:space="preserve">WA </t>
        </is>
      </c>
      <c r="U92" t="n">
        <v>5</v>
      </c>
      <c r="V92" t="n">
        <v>5</v>
      </c>
      <c r="W92" t="inlineStr">
        <is>
          <t>1991-03-18</t>
        </is>
      </c>
      <c r="X92" t="inlineStr">
        <is>
          <t>1991-03-18</t>
        </is>
      </c>
      <c r="Y92" t="inlineStr">
        <is>
          <t>1988-07-20</t>
        </is>
      </c>
      <c r="Z92" t="inlineStr">
        <is>
          <t>1988-07-20</t>
        </is>
      </c>
      <c r="AA92" t="n">
        <v>431</v>
      </c>
      <c r="AB92" t="n">
        <v>351</v>
      </c>
      <c r="AC92" t="n">
        <v>352</v>
      </c>
      <c r="AD92" t="n">
        <v>1</v>
      </c>
      <c r="AE92" t="n">
        <v>1</v>
      </c>
      <c r="AF92" t="n">
        <v>13</v>
      </c>
      <c r="AG92" t="n">
        <v>13</v>
      </c>
      <c r="AH92" t="n">
        <v>4</v>
      </c>
      <c r="AI92" t="n">
        <v>4</v>
      </c>
      <c r="AJ92" t="n">
        <v>4</v>
      </c>
      <c r="AK92" t="n">
        <v>4</v>
      </c>
      <c r="AL92" t="n">
        <v>10</v>
      </c>
      <c r="AM92" t="n">
        <v>10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HYPERLINK("https://creighton-primo.hosted.exlibrisgroup.com/primo-explore/search?tab=default_tab&amp;search_scope=EVERYTHING&amp;vid=01CRU&amp;lang=en_US&amp;offset=0&amp;query=any,contains,991001418779702656","Catalog Record")</f>
        <v/>
      </c>
      <c r="AV92">
        <f>HYPERLINK("http://www.worldcat.org/oclc/15628354","WorldCat Record")</f>
        <v/>
      </c>
      <c r="AW92" t="inlineStr">
        <is>
          <t>354602154:eng</t>
        </is>
      </c>
      <c r="AX92" t="inlineStr">
        <is>
          <t>15628354</t>
        </is>
      </c>
      <c r="AY92" t="inlineStr">
        <is>
          <t>991001418779702656</t>
        </is>
      </c>
      <c r="AZ92" t="inlineStr">
        <is>
          <t>991001418779702656</t>
        </is>
      </c>
      <c r="BA92" t="inlineStr">
        <is>
          <t>2270536390002656</t>
        </is>
      </c>
      <c r="BB92" t="inlineStr">
        <is>
          <t>BOOK</t>
        </is>
      </c>
      <c r="BD92" t="inlineStr">
        <is>
          <t>9780813512693</t>
        </is>
      </c>
      <c r="BE92" t="inlineStr">
        <is>
          <t>30001001181611</t>
        </is>
      </c>
      <c r="BF92" t="inlineStr">
        <is>
          <t>893374538</t>
        </is>
      </c>
    </row>
    <row r="93">
      <c r="A93" t="inlineStr">
        <is>
          <t>No</t>
        </is>
      </c>
      <c r="B93" t="inlineStr">
        <is>
          <t>CUHSL</t>
        </is>
      </c>
      <c r="C93" t="inlineStr">
        <is>
          <t>SHELVES</t>
        </is>
      </c>
      <c r="D93" t="inlineStr">
        <is>
          <t>WA 108 U845g 1996</t>
        </is>
      </c>
      <c r="E93" t="inlineStr">
        <is>
          <t>0                      WA 0108000U  845g        1996</t>
        </is>
      </c>
      <c r="F93" t="inlineStr">
        <is>
          <t>Guide to clinical preventive services : report of the U.S. Preventive Services Task Force.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Yes</t>
        </is>
      </c>
      <c r="L93" t="inlineStr">
        <is>
          <t>1</t>
        </is>
      </c>
      <c r="M93" t="inlineStr">
        <is>
          <t>U.S. Preventive Services Task Force.</t>
        </is>
      </c>
      <c r="N93" t="inlineStr">
        <is>
          <t>Alexandria, Va. : International Medical Pub., 1996.</t>
        </is>
      </c>
      <c r="O93" t="inlineStr">
        <is>
          <t>1996</t>
        </is>
      </c>
      <c r="P93" t="inlineStr">
        <is>
          <t>2nd ed.</t>
        </is>
      </c>
      <c r="Q93" t="inlineStr">
        <is>
          <t>eng</t>
        </is>
      </c>
      <c r="R93" t="inlineStr">
        <is>
          <t>vau</t>
        </is>
      </c>
      <c r="T93" t="inlineStr">
        <is>
          <t xml:space="preserve">WA </t>
        </is>
      </c>
      <c r="U93" t="n">
        <v>3</v>
      </c>
      <c r="V93" t="n">
        <v>3</v>
      </c>
      <c r="W93" t="inlineStr">
        <is>
          <t>2003-06-07</t>
        </is>
      </c>
      <c r="X93" t="inlineStr">
        <is>
          <t>2003-06-07</t>
        </is>
      </c>
      <c r="Y93" t="inlineStr">
        <is>
          <t>2000-06-15</t>
        </is>
      </c>
      <c r="Z93" t="inlineStr">
        <is>
          <t>2000-06-15</t>
        </is>
      </c>
      <c r="AA93" t="n">
        <v>107</v>
      </c>
      <c r="AB93" t="n">
        <v>99</v>
      </c>
      <c r="AC93" t="n">
        <v>438</v>
      </c>
      <c r="AD93" t="n">
        <v>1</v>
      </c>
      <c r="AE93" t="n">
        <v>1</v>
      </c>
      <c r="AF93" t="n">
        <v>5</v>
      </c>
      <c r="AG93" t="n">
        <v>13</v>
      </c>
      <c r="AH93" t="n">
        <v>1</v>
      </c>
      <c r="AI93" t="n">
        <v>4</v>
      </c>
      <c r="AJ93" t="n">
        <v>1</v>
      </c>
      <c r="AK93" t="n">
        <v>3</v>
      </c>
      <c r="AL93" t="n">
        <v>3</v>
      </c>
      <c r="AM93" t="n">
        <v>7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HYPERLINK("https://creighton-primo.hosted.exlibrisgroup.com/primo-explore/search?tab=default_tab&amp;search_scope=EVERYTHING&amp;vid=01CRU&amp;lang=en_US&amp;offset=0&amp;query=any,contains,991000261779702656","Catalog Record")</f>
        <v/>
      </c>
      <c r="AV93">
        <f>HYPERLINK("http://www.worldcat.org/oclc/34774243","WorldCat Record")</f>
        <v/>
      </c>
      <c r="AW93" t="inlineStr">
        <is>
          <t>9206974863:eng</t>
        </is>
      </c>
      <c r="AX93" t="inlineStr">
        <is>
          <t>34774243</t>
        </is>
      </c>
      <c r="AY93" t="inlineStr">
        <is>
          <t>991000261779702656</t>
        </is>
      </c>
      <c r="AZ93" t="inlineStr">
        <is>
          <t>991000261779702656</t>
        </is>
      </c>
      <c r="BA93" t="inlineStr">
        <is>
          <t>2260089000002656</t>
        </is>
      </c>
      <c r="BB93" t="inlineStr">
        <is>
          <t>BOOK</t>
        </is>
      </c>
      <c r="BD93" t="inlineStr">
        <is>
          <t>9781883205133</t>
        </is>
      </c>
      <c r="BE93" t="inlineStr">
        <is>
          <t>30001003561927</t>
        </is>
      </c>
      <c r="BF93" t="inlineStr">
        <is>
          <t>893811286</t>
        </is>
      </c>
    </row>
    <row r="94">
      <c r="A94" t="inlineStr">
        <is>
          <t>No</t>
        </is>
      </c>
      <c r="B94" t="inlineStr">
        <is>
          <t>CUHSL</t>
        </is>
      </c>
      <c r="C94" t="inlineStr">
        <is>
          <t>SHELVES</t>
        </is>
      </c>
      <c r="D94" t="inlineStr">
        <is>
          <t>WA 108 U84g 1996</t>
        </is>
      </c>
      <c r="E94" t="inlineStr">
        <is>
          <t>0                      WA 0108000U  84g         1996</t>
        </is>
      </c>
      <c r="F94" t="inlineStr">
        <is>
          <t>Guide to clinical preventive services : report of the U.S. Preventive Services Task Force.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Yes</t>
        </is>
      </c>
      <c r="L94" t="inlineStr">
        <is>
          <t>1</t>
        </is>
      </c>
      <c r="M94" t="inlineStr">
        <is>
          <t>U.S. Preventive Services Task Force.</t>
        </is>
      </c>
      <c r="N94" t="inlineStr">
        <is>
          <t>Baltimore : Williams &amp; Wilkins, c1996.</t>
        </is>
      </c>
      <c r="O94" t="inlineStr">
        <is>
          <t>1996</t>
        </is>
      </c>
      <c r="P94" t="inlineStr">
        <is>
          <t>2nd ed.</t>
        </is>
      </c>
      <c r="Q94" t="inlineStr">
        <is>
          <t>eng</t>
        </is>
      </c>
      <c r="R94" t="inlineStr">
        <is>
          <t>mdu</t>
        </is>
      </c>
      <c r="T94" t="inlineStr">
        <is>
          <t xml:space="preserve">WA </t>
        </is>
      </c>
      <c r="U94" t="n">
        <v>3</v>
      </c>
      <c r="V94" t="n">
        <v>3</v>
      </c>
      <c r="W94" t="inlineStr">
        <is>
          <t>1999-01-22</t>
        </is>
      </c>
      <c r="X94" t="inlineStr">
        <is>
          <t>1999-01-22</t>
        </is>
      </c>
      <c r="Y94" t="inlineStr">
        <is>
          <t>1996-09-10</t>
        </is>
      </c>
      <c r="Z94" t="inlineStr">
        <is>
          <t>1996-09-10</t>
        </is>
      </c>
      <c r="AA94" t="n">
        <v>324</v>
      </c>
      <c r="AB94" t="n">
        <v>285</v>
      </c>
      <c r="AC94" t="n">
        <v>438</v>
      </c>
      <c r="AD94" t="n">
        <v>1</v>
      </c>
      <c r="AE94" t="n">
        <v>1</v>
      </c>
      <c r="AF94" t="n">
        <v>8</v>
      </c>
      <c r="AG94" t="n">
        <v>13</v>
      </c>
      <c r="AH94" t="n">
        <v>3</v>
      </c>
      <c r="AI94" t="n">
        <v>4</v>
      </c>
      <c r="AJ94" t="n">
        <v>1</v>
      </c>
      <c r="AK94" t="n">
        <v>3</v>
      </c>
      <c r="AL94" t="n">
        <v>5</v>
      </c>
      <c r="AM94" t="n">
        <v>7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HYPERLINK("http://catalog.hathitrust.org/Record/003065039","HathiTrust Record")</f>
        <v/>
      </c>
      <c r="AU94">
        <f>HYPERLINK("https://creighton-primo.hosted.exlibrisgroup.com/primo-explore/search?tab=default_tab&amp;search_scope=EVERYTHING&amp;vid=01CRU&amp;lang=en_US&amp;offset=0&amp;query=any,contains,991001551229702656","Catalog Record")</f>
        <v/>
      </c>
      <c r="AV94">
        <f>HYPERLINK("http://www.worldcat.org/oclc/32821331","WorldCat Record")</f>
        <v/>
      </c>
      <c r="AW94" t="inlineStr">
        <is>
          <t>9206974863:eng</t>
        </is>
      </c>
      <c r="AX94" t="inlineStr">
        <is>
          <t>32821331</t>
        </is>
      </c>
      <c r="AY94" t="inlineStr">
        <is>
          <t>991001551229702656</t>
        </is>
      </c>
      <c r="AZ94" t="inlineStr">
        <is>
          <t>991001551229702656</t>
        </is>
      </c>
      <c r="BA94" t="inlineStr">
        <is>
          <t>2263358190002656</t>
        </is>
      </c>
      <c r="BB94" t="inlineStr">
        <is>
          <t>BOOK</t>
        </is>
      </c>
      <c r="BD94" t="inlineStr">
        <is>
          <t>9780683085082</t>
        </is>
      </c>
      <c r="BE94" t="inlineStr">
        <is>
          <t>30001003441716</t>
        </is>
      </c>
      <c r="BF94" t="inlineStr">
        <is>
          <t>893369474</t>
        </is>
      </c>
    </row>
    <row r="95">
      <c r="A95" t="inlineStr">
        <is>
          <t>No</t>
        </is>
      </c>
      <c r="B95" t="inlineStr">
        <is>
          <t>CUHSL</t>
        </is>
      </c>
      <c r="C95" t="inlineStr">
        <is>
          <t>SHELVES</t>
        </is>
      </c>
      <c r="D95" t="inlineStr">
        <is>
          <t>WA 110 C851p 1991</t>
        </is>
      </c>
      <c r="E95" t="inlineStr">
        <is>
          <t>0                      WA 0110000C  851p        1991</t>
        </is>
      </c>
      <c r="F95" t="inlineStr">
        <is>
          <t>Practical infection control in dentistry / [edited by] James A. Cottone, Geza T. Terezhalmy, John A. Molinari.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N95" t="inlineStr">
        <is>
          <t>Philadelphia : Lea &amp; Febiger, c1991.</t>
        </is>
      </c>
      <c r="O95" t="inlineStr">
        <is>
          <t>1991</t>
        </is>
      </c>
      <c r="Q95" t="inlineStr">
        <is>
          <t>eng</t>
        </is>
      </c>
      <c r="R95" t="inlineStr">
        <is>
          <t>pau</t>
        </is>
      </c>
      <c r="T95" t="inlineStr">
        <is>
          <t xml:space="preserve">WA </t>
        </is>
      </c>
      <c r="U95" t="n">
        <v>11</v>
      </c>
      <c r="V95" t="n">
        <v>11</v>
      </c>
      <c r="W95" t="inlineStr">
        <is>
          <t>1999-08-09</t>
        </is>
      </c>
      <c r="X95" t="inlineStr">
        <is>
          <t>1999-08-09</t>
        </is>
      </c>
      <c r="Y95" t="inlineStr">
        <is>
          <t>1993-12-08</t>
        </is>
      </c>
      <c r="Z95" t="inlineStr">
        <is>
          <t>1993-12-08</t>
        </is>
      </c>
      <c r="AA95" t="n">
        <v>165</v>
      </c>
      <c r="AB95" t="n">
        <v>112</v>
      </c>
      <c r="AC95" t="n">
        <v>174</v>
      </c>
      <c r="AD95" t="n">
        <v>2</v>
      </c>
      <c r="AE95" t="n">
        <v>2</v>
      </c>
      <c r="AF95" t="n">
        <v>3</v>
      </c>
      <c r="AG95" t="n">
        <v>5</v>
      </c>
      <c r="AH95" t="n">
        <v>0</v>
      </c>
      <c r="AI95" t="n">
        <v>1</v>
      </c>
      <c r="AJ95" t="n">
        <v>1</v>
      </c>
      <c r="AK95" t="n">
        <v>1</v>
      </c>
      <c r="AL95" t="n">
        <v>2</v>
      </c>
      <c r="AM95" t="n">
        <v>3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HYPERLINK("http://catalog.hathitrust.org/Record/002208641","HathiTrust Record")</f>
        <v/>
      </c>
      <c r="AU95">
        <f>HYPERLINK("https://creighton-primo.hosted.exlibrisgroup.com/primo-explore/search?tab=default_tab&amp;search_scope=EVERYTHING&amp;vid=01CRU&amp;lang=en_US&amp;offset=0&amp;query=any,contains,991000551489702656","Catalog Record")</f>
        <v/>
      </c>
      <c r="AV95">
        <f>HYPERLINK("http://www.worldcat.org/oclc/21162954","WorldCat Record")</f>
        <v/>
      </c>
      <c r="AW95" t="inlineStr">
        <is>
          <t>365219440:eng</t>
        </is>
      </c>
      <c r="AX95" t="inlineStr">
        <is>
          <t>21162954</t>
        </is>
      </c>
      <c r="AY95" t="inlineStr">
        <is>
          <t>991000551489702656</t>
        </is>
      </c>
      <c r="AZ95" t="inlineStr">
        <is>
          <t>991000551489702656</t>
        </is>
      </c>
      <c r="BA95" t="inlineStr">
        <is>
          <t>2258489470002656</t>
        </is>
      </c>
      <c r="BB95" t="inlineStr">
        <is>
          <t>BOOK</t>
        </is>
      </c>
      <c r="BD95" t="inlineStr">
        <is>
          <t>9780812113266</t>
        </is>
      </c>
      <c r="BE95" t="inlineStr">
        <is>
          <t>30001002671420</t>
        </is>
      </c>
      <c r="BF95" t="inlineStr">
        <is>
          <t>893276890</t>
        </is>
      </c>
    </row>
    <row r="96">
      <c r="A96" t="inlineStr">
        <is>
          <t>No</t>
        </is>
      </c>
      <c r="B96" t="inlineStr">
        <is>
          <t>CUHSL</t>
        </is>
      </c>
      <c r="C96" t="inlineStr">
        <is>
          <t>SHELVES</t>
        </is>
      </c>
      <c r="D96" t="inlineStr">
        <is>
          <t>WA 110 E5356 2007</t>
        </is>
      </c>
      <c r="E96" t="inlineStr">
        <is>
          <t>0                      WA 0110000E  5356        2007</t>
        </is>
      </c>
      <c r="F96" t="inlineStr">
        <is>
          <t>Emerging infectious diseases : trends and issues / edited by Felissa R. Lashley and Jerry D. Durham.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New York : Springer Pub. Co., c2007.</t>
        </is>
      </c>
      <c r="O96" t="inlineStr">
        <is>
          <t>2007</t>
        </is>
      </c>
      <c r="P96" t="inlineStr">
        <is>
          <t>2nd ed.</t>
        </is>
      </c>
      <c r="Q96" t="inlineStr">
        <is>
          <t>eng</t>
        </is>
      </c>
      <c r="R96" t="inlineStr">
        <is>
          <t>nyu</t>
        </is>
      </c>
      <c r="T96" t="inlineStr">
        <is>
          <t xml:space="preserve">WA </t>
        </is>
      </c>
      <c r="U96" t="n">
        <v>0</v>
      </c>
      <c r="V96" t="n">
        <v>0</v>
      </c>
      <c r="W96" t="inlineStr">
        <is>
          <t>2007-08-01</t>
        </is>
      </c>
      <c r="X96" t="inlineStr">
        <is>
          <t>2007-08-01</t>
        </is>
      </c>
      <c r="Y96" t="inlineStr">
        <is>
          <t>2007-08-01</t>
        </is>
      </c>
      <c r="Z96" t="inlineStr">
        <is>
          <t>2007-08-01</t>
        </is>
      </c>
      <c r="AA96" t="n">
        <v>629</v>
      </c>
      <c r="AB96" t="n">
        <v>548</v>
      </c>
      <c r="AC96" t="n">
        <v>1302</v>
      </c>
      <c r="AD96" t="n">
        <v>3</v>
      </c>
      <c r="AE96" t="n">
        <v>8</v>
      </c>
      <c r="AF96" t="n">
        <v>27</v>
      </c>
      <c r="AG96" t="n">
        <v>50</v>
      </c>
      <c r="AH96" t="n">
        <v>13</v>
      </c>
      <c r="AI96" t="n">
        <v>21</v>
      </c>
      <c r="AJ96" t="n">
        <v>6</v>
      </c>
      <c r="AK96" t="n">
        <v>10</v>
      </c>
      <c r="AL96" t="n">
        <v>13</v>
      </c>
      <c r="AM96" t="n">
        <v>21</v>
      </c>
      <c r="AN96" t="n">
        <v>2</v>
      </c>
      <c r="AO96" t="n">
        <v>7</v>
      </c>
      <c r="AP96" t="n">
        <v>0</v>
      </c>
      <c r="AQ96" t="n">
        <v>1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HYPERLINK("https://creighton-primo.hosted.exlibrisgroup.com/primo-explore/search?tab=default_tab&amp;search_scope=EVERYTHING&amp;vid=01CRU&amp;lang=en_US&amp;offset=0&amp;query=any,contains,991000639129702656","Catalog Record")</f>
        <v/>
      </c>
      <c r="AV96">
        <f>HYPERLINK("http://www.worldcat.org/oclc/77476593","WorldCat Record")</f>
        <v/>
      </c>
      <c r="AW96" t="inlineStr">
        <is>
          <t>1077482848:eng</t>
        </is>
      </c>
      <c r="AX96" t="inlineStr">
        <is>
          <t>77476593</t>
        </is>
      </c>
      <c r="AY96" t="inlineStr">
        <is>
          <t>991000639129702656</t>
        </is>
      </c>
      <c r="AZ96" t="inlineStr">
        <is>
          <t>991000639129702656</t>
        </is>
      </c>
      <c r="BA96" t="inlineStr">
        <is>
          <t>2262253690002656</t>
        </is>
      </c>
      <c r="BB96" t="inlineStr">
        <is>
          <t>BOOK</t>
        </is>
      </c>
      <c r="BD96" t="inlineStr">
        <is>
          <t>9780826102508</t>
        </is>
      </c>
      <c r="BE96" t="inlineStr">
        <is>
          <t>30001005218013</t>
        </is>
      </c>
      <c r="BF96" t="inlineStr">
        <is>
          <t>893651402</t>
        </is>
      </c>
    </row>
    <row r="97">
      <c r="A97" t="inlineStr">
        <is>
          <t>No</t>
        </is>
      </c>
      <c r="B97" t="inlineStr">
        <is>
          <t>CUHSL</t>
        </is>
      </c>
      <c r="C97" t="inlineStr">
        <is>
          <t>SHELVES</t>
        </is>
      </c>
      <c r="D97" t="inlineStr">
        <is>
          <t>WA 110 H177b 1993</t>
        </is>
      </c>
      <c r="E97" t="inlineStr">
        <is>
          <t>0                      WA 0110000H  177b        1993</t>
        </is>
      </c>
      <c r="F97" t="inlineStr">
        <is>
          <t>Bloodborne pathogens / National Safety Council.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Hall, Karen, 1963-</t>
        </is>
      </c>
      <c r="N97" t="inlineStr">
        <is>
          <t>Boston, MA : Jones and Bartlett : Distributed by National Safety Council, c1993.</t>
        </is>
      </c>
      <c r="O97" t="inlineStr">
        <is>
          <t>1993</t>
        </is>
      </c>
      <c r="Q97" t="inlineStr">
        <is>
          <t>eng</t>
        </is>
      </c>
      <c r="R97" t="inlineStr">
        <is>
          <t>mau</t>
        </is>
      </c>
      <c r="T97" t="inlineStr">
        <is>
          <t xml:space="preserve">WA </t>
        </is>
      </c>
      <c r="U97" t="n">
        <v>9</v>
      </c>
      <c r="V97" t="n">
        <v>9</v>
      </c>
      <c r="W97" t="inlineStr">
        <is>
          <t>1997-09-13</t>
        </is>
      </c>
      <c r="X97" t="inlineStr">
        <is>
          <t>1997-09-13</t>
        </is>
      </c>
      <c r="Y97" t="inlineStr">
        <is>
          <t>1993-08-23</t>
        </is>
      </c>
      <c r="Z97" t="inlineStr">
        <is>
          <t>1993-08-23</t>
        </is>
      </c>
      <c r="AA97" t="n">
        <v>62</v>
      </c>
      <c r="AB97" t="n">
        <v>51</v>
      </c>
      <c r="AC97" t="n">
        <v>54</v>
      </c>
      <c r="AD97" t="n">
        <v>1</v>
      </c>
      <c r="AE97" t="n">
        <v>1</v>
      </c>
      <c r="AF97" t="n">
        <v>2</v>
      </c>
      <c r="AG97" t="n">
        <v>2</v>
      </c>
      <c r="AH97" t="n">
        <v>2</v>
      </c>
      <c r="AI97" t="n">
        <v>2</v>
      </c>
      <c r="AJ97" t="n">
        <v>0</v>
      </c>
      <c r="AK97" t="n">
        <v>0</v>
      </c>
      <c r="AL97" t="n">
        <v>1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HYPERLINK("http://catalog.hathitrust.org/Record/012269133","HathiTrust Record")</f>
        <v/>
      </c>
      <c r="AU97">
        <f>HYPERLINK("https://creighton-primo.hosted.exlibrisgroup.com/primo-explore/search?tab=default_tab&amp;search_scope=EVERYTHING&amp;vid=01CRU&amp;lang=en_US&amp;offset=0&amp;query=any,contains,991001547169702656","Catalog Record")</f>
        <v/>
      </c>
      <c r="AV97">
        <f>HYPERLINK("http://www.worldcat.org/oclc/26587789","WorldCat Record")</f>
        <v/>
      </c>
      <c r="AW97" t="inlineStr">
        <is>
          <t>14283581:eng</t>
        </is>
      </c>
      <c r="AX97" t="inlineStr">
        <is>
          <t>26587789</t>
        </is>
      </c>
      <c r="AY97" t="inlineStr">
        <is>
          <t>991001547169702656</t>
        </is>
      </c>
      <c r="AZ97" t="inlineStr">
        <is>
          <t>991001547169702656</t>
        </is>
      </c>
      <c r="BA97" t="inlineStr">
        <is>
          <t>2262985650002656</t>
        </is>
      </c>
      <c r="BB97" t="inlineStr">
        <is>
          <t>BOOK</t>
        </is>
      </c>
      <c r="BD97" t="inlineStr">
        <is>
          <t>9780867207712</t>
        </is>
      </c>
      <c r="BE97" t="inlineStr">
        <is>
          <t>30001002643668</t>
        </is>
      </c>
      <c r="BF97" t="inlineStr">
        <is>
          <t>893826855</t>
        </is>
      </c>
    </row>
    <row r="98">
      <c r="A98" t="inlineStr">
        <is>
          <t>No</t>
        </is>
      </c>
      <c r="B98" t="inlineStr">
        <is>
          <t>CUHSL</t>
        </is>
      </c>
      <c r="C98" t="inlineStr">
        <is>
          <t>SHELVES</t>
        </is>
      </c>
      <c r="D98" t="inlineStr">
        <is>
          <t>WA 110 H4345 1996</t>
        </is>
      </c>
      <c r="E98" t="inlineStr">
        <is>
          <t>0                      WA 0110000H  4345        1996</t>
        </is>
      </c>
      <c r="F98" t="inlineStr">
        <is>
          <t>Health promotion and disease prevention in clinical practice / editors, Steven H. Woolf, Steven Jonas, Robert S. Lawrence.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Baltimore : Williams &amp; Wilkins, c1996.</t>
        </is>
      </c>
      <c r="O98" t="inlineStr">
        <is>
          <t>1996</t>
        </is>
      </c>
      <c r="Q98" t="inlineStr">
        <is>
          <t>eng</t>
        </is>
      </c>
      <c r="R98" t="inlineStr">
        <is>
          <t>mdu</t>
        </is>
      </c>
      <c r="T98" t="inlineStr">
        <is>
          <t xml:space="preserve">WA </t>
        </is>
      </c>
      <c r="U98" t="n">
        <v>10</v>
      </c>
      <c r="V98" t="n">
        <v>10</v>
      </c>
      <c r="W98" t="inlineStr">
        <is>
          <t>2006-11-10</t>
        </is>
      </c>
      <c r="X98" t="inlineStr">
        <is>
          <t>2006-11-10</t>
        </is>
      </c>
      <c r="Y98" t="inlineStr">
        <is>
          <t>1996-09-10</t>
        </is>
      </c>
      <c r="Z98" t="inlineStr">
        <is>
          <t>1996-09-10</t>
        </is>
      </c>
      <c r="AA98" t="n">
        <v>291</v>
      </c>
      <c r="AB98" t="n">
        <v>239</v>
      </c>
      <c r="AC98" t="n">
        <v>351</v>
      </c>
      <c r="AD98" t="n">
        <v>2</v>
      </c>
      <c r="AE98" t="n">
        <v>3</v>
      </c>
      <c r="AF98" t="n">
        <v>9</v>
      </c>
      <c r="AG98" t="n">
        <v>14</v>
      </c>
      <c r="AH98" t="n">
        <v>3</v>
      </c>
      <c r="AI98" t="n">
        <v>5</v>
      </c>
      <c r="AJ98" t="n">
        <v>3</v>
      </c>
      <c r="AK98" t="n">
        <v>4</v>
      </c>
      <c r="AL98" t="n">
        <v>5</v>
      </c>
      <c r="AM98" t="n">
        <v>6</v>
      </c>
      <c r="AN98" t="n">
        <v>1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HYPERLINK("https://creighton-primo.hosted.exlibrisgroup.com/primo-explore/search?tab=default_tab&amp;search_scope=EVERYTHING&amp;vid=01CRU&amp;lang=en_US&amp;offset=0&amp;query=any,contains,991001551299702656","Catalog Record")</f>
        <v/>
      </c>
      <c r="AV98">
        <f>HYPERLINK("http://www.worldcat.org/oclc/32052880","WorldCat Record")</f>
        <v/>
      </c>
      <c r="AW98" t="inlineStr">
        <is>
          <t>1077214744:eng</t>
        </is>
      </c>
      <c r="AX98" t="inlineStr">
        <is>
          <t>32052880</t>
        </is>
      </c>
      <c r="AY98" t="inlineStr">
        <is>
          <t>991001551299702656</t>
        </is>
      </c>
      <c r="AZ98" t="inlineStr">
        <is>
          <t>991001551299702656</t>
        </is>
      </c>
      <c r="BA98" t="inlineStr">
        <is>
          <t>2267050200002656</t>
        </is>
      </c>
      <c r="BB98" t="inlineStr">
        <is>
          <t>BOOK</t>
        </is>
      </c>
      <c r="BD98" t="inlineStr">
        <is>
          <t>9780683092707</t>
        </is>
      </c>
      <c r="BE98" t="inlineStr">
        <is>
          <t>30001003441724</t>
        </is>
      </c>
      <c r="BF98" t="inlineStr">
        <is>
          <t>893364253</t>
        </is>
      </c>
    </row>
    <row r="99">
      <c r="A99" t="inlineStr">
        <is>
          <t>No</t>
        </is>
      </c>
      <c r="B99" t="inlineStr">
        <is>
          <t>CUHSL</t>
        </is>
      </c>
      <c r="C99" t="inlineStr">
        <is>
          <t>SHELVES</t>
        </is>
      </c>
      <c r="D99" t="inlineStr">
        <is>
          <t>WA 110 N277i 1970</t>
        </is>
      </c>
      <c r="E99" t="inlineStr">
        <is>
          <t>0                      WA 0110000N  277i        1970</t>
        </is>
      </c>
      <c r="F99" t="inlineStr">
        <is>
          <t>Isolation techniques for use in hospitals / National Communication Center.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National Communicable Disease Center (U.S.)</t>
        </is>
      </c>
      <c r="O99" t="inlineStr">
        <is>
          <t>1970</t>
        </is>
      </c>
      <c r="Q99" t="inlineStr">
        <is>
          <t>eng</t>
        </is>
      </c>
      <c r="R99" t="inlineStr">
        <is>
          <t>gau</t>
        </is>
      </c>
      <c r="S99" t="inlineStr">
        <is>
          <t>Public Health Service publication no. 2054</t>
        </is>
      </c>
      <c r="T99" t="inlineStr">
        <is>
          <t xml:space="preserve">WA </t>
        </is>
      </c>
      <c r="U99" t="n">
        <v>3</v>
      </c>
      <c r="V99" t="n">
        <v>3</v>
      </c>
      <c r="W99" t="inlineStr">
        <is>
          <t>1999-03-03</t>
        </is>
      </c>
      <c r="X99" t="inlineStr">
        <is>
          <t>1999-03-03</t>
        </is>
      </c>
      <c r="Y99" t="inlineStr">
        <is>
          <t>1988-01-05</t>
        </is>
      </c>
      <c r="Z99" t="inlineStr">
        <is>
          <t>1988-01-05</t>
        </is>
      </c>
      <c r="AA99" t="n">
        <v>74</v>
      </c>
      <c r="AB99" t="n">
        <v>65</v>
      </c>
      <c r="AC99" t="n">
        <v>72</v>
      </c>
      <c r="AD99" t="n">
        <v>1</v>
      </c>
      <c r="AE99" t="n">
        <v>1</v>
      </c>
      <c r="AF99" t="n">
        <v>1</v>
      </c>
      <c r="AG99" t="n">
        <v>1</v>
      </c>
      <c r="AH99" t="n">
        <v>0</v>
      </c>
      <c r="AI99" t="n">
        <v>0</v>
      </c>
      <c r="AJ99" t="n">
        <v>1</v>
      </c>
      <c r="AK99" t="n">
        <v>1</v>
      </c>
      <c r="AL99" t="n">
        <v>1</v>
      </c>
      <c r="AM99" t="n">
        <v>1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Yes</t>
        </is>
      </c>
      <c r="AS99" t="inlineStr">
        <is>
          <t>No</t>
        </is>
      </c>
      <c r="AT99">
        <f>HYPERLINK("http://catalog.hathitrust.org/Record/001577856","HathiTrust Record")</f>
        <v/>
      </c>
      <c r="AU99">
        <f>HYPERLINK("https://creighton-primo.hosted.exlibrisgroup.com/primo-explore/search?tab=default_tab&amp;search_scope=EVERYTHING&amp;vid=01CRU&amp;lang=en_US&amp;offset=0&amp;query=any,contains,991000719309702656","Catalog Record")</f>
        <v/>
      </c>
      <c r="AV99">
        <f>HYPERLINK("http://www.worldcat.org/oclc/2316855","WorldCat Record")</f>
        <v/>
      </c>
      <c r="AW99" t="inlineStr">
        <is>
          <t>1154374593:eng</t>
        </is>
      </c>
      <c r="AX99" t="inlineStr">
        <is>
          <t>2316855</t>
        </is>
      </c>
      <c r="AY99" t="inlineStr">
        <is>
          <t>991000719309702656</t>
        </is>
      </c>
      <c r="AZ99" t="inlineStr">
        <is>
          <t>991000719309702656</t>
        </is>
      </c>
      <c r="BA99" t="inlineStr">
        <is>
          <t>2262347330002656</t>
        </is>
      </c>
      <c r="BB99" t="inlineStr">
        <is>
          <t>BOOK</t>
        </is>
      </c>
      <c r="BE99" t="inlineStr">
        <is>
          <t>30001000705824</t>
        </is>
      </c>
      <c r="BF99" t="inlineStr">
        <is>
          <t>893631934</t>
        </is>
      </c>
    </row>
    <row r="100">
      <c r="A100" t="inlineStr">
        <is>
          <t>No</t>
        </is>
      </c>
      <c r="B100" t="inlineStr">
        <is>
          <t>CUHSL</t>
        </is>
      </c>
      <c r="C100" t="inlineStr">
        <is>
          <t>SHELVES</t>
        </is>
      </c>
      <c r="D100" t="inlineStr">
        <is>
          <t>WA110 N736c 2000</t>
        </is>
      </c>
      <c r="E100" t="inlineStr">
        <is>
          <t>0                      WA 0110000N  736c        2000</t>
        </is>
      </c>
      <c r="F100" t="inlineStr">
        <is>
          <t>Communicable diseases and infection control for EMS / Robert G. Nixon.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Nixon, Robert G.</t>
        </is>
      </c>
      <c r="N100" t="inlineStr">
        <is>
          <t>Upper Saddle River, N.J. : Brady/Prentice Hall, 2000.</t>
        </is>
      </c>
      <c r="O100" t="inlineStr">
        <is>
          <t>2000</t>
        </is>
      </c>
      <c r="Q100" t="inlineStr">
        <is>
          <t>eng</t>
        </is>
      </c>
      <c r="R100" t="inlineStr">
        <is>
          <t>nju</t>
        </is>
      </c>
      <c r="T100" t="inlineStr">
        <is>
          <t xml:space="preserve">WA </t>
        </is>
      </c>
      <c r="U100" t="n">
        <v>2</v>
      </c>
      <c r="V100" t="n">
        <v>2</v>
      </c>
      <c r="W100" t="inlineStr">
        <is>
          <t>2006-03-31</t>
        </is>
      </c>
      <c r="X100" t="inlineStr">
        <is>
          <t>2006-03-31</t>
        </is>
      </c>
      <c r="Y100" t="inlineStr">
        <is>
          <t>2002-07-10</t>
        </is>
      </c>
      <c r="Z100" t="inlineStr">
        <is>
          <t>2002-07-10</t>
        </is>
      </c>
      <c r="AA100" t="n">
        <v>136</v>
      </c>
      <c r="AB100" t="n">
        <v>105</v>
      </c>
      <c r="AC100" t="n">
        <v>107</v>
      </c>
      <c r="AD100" t="n">
        <v>1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HYPERLINK("http://catalog.hathitrust.org/Record/010380648","HathiTrust Record")</f>
        <v/>
      </c>
      <c r="AU100">
        <f>HYPERLINK("https://creighton-primo.hosted.exlibrisgroup.com/primo-explore/search?tab=default_tab&amp;search_scope=EVERYTHING&amp;vid=01CRU&amp;lang=en_US&amp;offset=0&amp;query=any,contains,991000324739702656","Catalog Record")</f>
        <v/>
      </c>
      <c r="AV100">
        <f>HYPERLINK("http://www.worldcat.org/oclc/42290532","WorldCat Record")</f>
        <v/>
      </c>
      <c r="AW100" t="inlineStr">
        <is>
          <t>870054:eng</t>
        </is>
      </c>
      <c r="AX100" t="inlineStr">
        <is>
          <t>42290532</t>
        </is>
      </c>
      <c r="AY100" t="inlineStr">
        <is>
          <t>991000324739702656</t>
        </is>
      </c>
      <c r="AZ100" t="inlineStr">
        <is>
          <t>991000324739702656</t>
        </is>
      </c>
      <c r="BA100" t="inlineStr">
        <is>
          <t>2259363300002656</t>
        </is>
      </c>
      <c r="BB100" t="inlineStr">
        <is>
          <t>BOOK</t>
        </is>
      </c>
      <c r="BD100" t="inlineStr">
        <is>
          <t>9780130843845</t>
        </is>
      </c>
      <c r="BE100" t="inlineStr">
        <is>
          <t>30001004442762</t>
        </is>
      </c>
      <c r="BF100" t="inlineStr">
        <is>
          <t>893629098</t>
        </is>
      </c>
    </row>
    <row r="101">
      <c r="A101" t="inlineStr">
        <is>
          <t>No</t>
        </is>
      </c>
      <c r="B101" t="inlineStr">
        <is>
          <t>CUHSL</t>
        </is>
      </c>
      <c r="C101" t="inlineStr">
        <is>
          <t>SHELVES</t>
        </is>
      </c>
      <c r="D101" t="inlineStr">
        <is>
          <t>WA 110 P831 2006</t>
        </is>
      </c>
      <c r="E101" t="inlineStr">
        <is>
          <t>0                      WA 0110000P  831         2006</t>
        </is>
      </c>
      <c r="F101" t="inlineStr">
        <is>
          <t>Population dynamics and infectious diseases in Asia / editors, Adrian C. Sleigh ... [et al.].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1</t>
        </is>
      </c>
      <c r="N101" t="inlineStr">
        <is>
          <t>Singapore ; Hackensack, N.J. : World Scientific, c2006.</t>
        </is>
      </c>
      <c r="O101" t="inlineStr">
        <is>
          <t>2006</t>
        </is>
      </c>
      <c r="Q101" t="inlineStr">
        <is>
          <t>eng</t>
        </is>
      </c>
      <c r="R101" t="inlineStr">
        <is>
          <t xml:space="preserve">si </t>
        </is>
      </c>
      <c r="T101" t="inlineStr">
        <is>
          <t xml:space="preserve">WA </t>
        </is>
      </c>
      <c r="U101" t="n">
        <v>0</v>
      </c>
      <c r="V101" t="n">
        <v>0</v>
      </c>
      <c r="W101" t="inlineStr">
        <is>
          <t>2010-04-07</t>
        </is>
      </c>
      <c r="X101" t="inlineStr">
        <is>
          <t>2010-04-07</t>
        </is>
      </c>
      <c r="Y101" t="inlineStr">
        <is>
          <t>2008-01-10</t>
        </is>
      </c>
      <c r="Z101" t="inlineStr">
        <is>
          <t>2008-01-10</t>
        </is>
      </c>
      <c r="AA101" t="n">
        <v>87</v>
      </c>
      <c r="AB101" t="n">
        <v>50</v>
      </c>
      <c r="AC101" t="n">
        <v>1085</v>
      </c>
      <c r="AD101" t="n">
        <v>2</v>
      </c>
      <c r="AE101" t="n">
        <v>15</v>
      </c>
      <c r="AF101" t="n">
        <v>2</v>
      </c>
      <c r="AG101" t="n">
        <v>42</v>
      </c>
      <c r="AH101" t="n">
        <v>0</v>
      </c>
      <c r="AI101" t="n">
        <v>12</v>
      </c>
      <c r="AJ101" t="n">
        <v>1</v>
      </c>
      <c r="AK101" t="n">
        <v>10</v>
      </c>
      <c r="AL101" t="n">
        <v>0</v>
      </c>
      <c r="AM101" t="n">
        <v>11</v>
      </c>
      <c r="AN101" t="n">
        <v>1</v>
      </c>
      <c r="AO101" t="n">
        <v>13</v>
      </c>
      <c r="AP101" t="n">
        <v>0</v>
      </c>
      <c r="AQ101" t="n">
        <v>2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HYPERLINK("https://creighton-primo.hosted.exlibrisgroup.com/primo-explore/search?tab=default_tab&amp;search_scope=EVERYTHING&amp;vid=01CRU&amp;lang=en_US&amp;offset=0&amp;query=any,contains,991000670009702656","Catalog Record")</f>
        <v/>
      </c>
      <c r="AV101">
        <f>HYPERLINK("http://www.worldcat.org/oclc/123215857","WorldCat Record")</f>
        <v/>
      </c>
      <c r="AW101" t="inlineStr">
        <is>
          <t>998378367:eng</t>
        </is>
      </c>
      <c r="AX101" t="inlineStr">
        <is>
          <t>123215857</t>
        </is>
      </c>
      <c r="AY101" t="inlineStr">
        <is>
          <t>991000670009702656</t>
        </is>
      </c>
      <c r="AZ101" t="inlineStr">
        <is>
          <t>991000670009702656</t>
        </is>
      </c>
      <c r="BA101" t="inlineStr">
        <is>
          <t>2271476800002656</t>
        </is>
      </c>
      <c r="BB101" t="inlineStr">
        <is>
          <t>BOOK</t>
        </is>
      </c>
      <c r="BD101" t="inlineStr">
        <is>
          <t>9789812568335</t>
        </is>
      </c>
      <c r="BE101" t="inlineStr">
        <is>
          <t>30001005242021</t>
        </is>
      </c>
      <c r="BF101" t="inlineStr">
        <is>
          <t>893735332</t>
        </is>
      </c>
    </row>
    <row r="102">
      <c r="A102" t="inlineStr">
        <is>
          <t>No</t>
        </is>
      </c>
      <c r="B102" t="inlineStr">
        <is>
          <t>CUHSL</t>
        </is>
      </c>
      <c r="C102" t="inlineStr">
        <is>
          <t>SHELVES</t>
        </is>
      </c>
      <c r="D102" t="inlineStr">
        <is>
          <t>WA 110 T779 2004</t>
        </is>
      </c>
      <c r="E102" t="inlineStr">
        <is>
          <t>0                      WA 0110000T  779         2004</t>
        </is>
      </c>
      <c r="F102" t="inlineStr">
        <is>
          <t>Travel medicine / Jay S. Keystone ... [et al.].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1</t>
        </is>
      </c>
      <c r="N102" t="inlineStr">
        <is>
          <t>St. Louis, Mo. ; London : Mosby, 2003.</t>
        </is>
      </c>
      <c r="O102" t="inlineStr">
        <is>
          <t>2003</t>
        </is>
      </c>
      <c r="Q102" t="inlineStr">
        <is>
          <t>eng</t>
        </is>
      </c>
      <c r="R102" t="inlineStr">
        <is>
          <t>mou</t>
        </is>
      </c>
      <c r="T102" t="inlineStr">
        <is>
          <t xml:space="preserve">WA </t>
        </is>
      </c>
      <c r="U102" t="n">
        <v>1</v>
      </c>
      <c r="V102" t="n">
        <v>1</v>
      </c>
      <c r="W102" t="inlineStr">
        <is>
          <t>2008-02-11</t>
        </is>
      </c>
      <c r="X102" t="inlineStr">
        <is>
          <t>2008-02-11</t>
        </is>
      </c>
      <c r="Y102" t="inlineStr">
        <is>
          <t>2005-02-18</t>
        </is>
      </c>
      <c r="Z102" t="inlineStr">
        <is>
          <t>2005-02-18</t>
        </is>
      </c>
      <c r="AA102" t="n">
        <v>38</v>
      </c>
      <c r="AB102" t="n">
        <v>29</v>
      </c>
      <c r="AC102" t="n">
        <v>373</v>
      </c>
      <c r="AD102" t="n">
        <v>1</v>
      </c>
      <c r="AE102" t="n">
        <v>5</v>
      </c>
      <c r="AF102" t="n">
        <v>1</v>
      </c>
      <c r="AG102" t="n">
        <v>14</v>
      </c>
      <c r="AH102" t="n">
        <v>1</v>
      </c>
      <c r="AI102" t="n">
        <v>4</v>
      </c>
      <c r="AJ102" t="n">
        <v>0</v>
      </c>
      <c r="AK102" t="n">
        <v>4</v>
      </c>
      <c r="AL102" t="n">
        <v>0</v>
      </c>
      <c r="AM102" t="n">
        <v>4</v>
      </c>
      <c r="AN102" t="n">
        <v>0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HYPERLINK("https://creighton-primo.hosted.exlibrisgroup.com/primo-explore/search?tab=default_tab&amp;search_scope=EVERYTHING&amp;vid=01CRU&amp;lang=en_US&amp;offset=0&amp;query=any,contains,991000428999702656","Catalog Record")</f>
        <v/>
      </c>
      <c r="AV102">
        <f>HYPERLINK("http://www.worldcat.org/oclc/82535910","WorldCat Record")</f>
        <v/>
      </c>
      <c r="AW102" t="inlineStr">
        <is>
          <t>1017360483:eng</t>
        </is>
      </c>
      <c r="AX102" t="inlineStr">
        <is>
          <t>82535910</t>
        </is>
      </c>
      <c r="AY102" t="inlineStr">
        <is>
          <t>991000428999702656</t>
        </is>
      </c>
      <c r="AZ102" t="inlineStr">
        <is>
          <t>991000428999702656</t>
        </is>
      </c>
      <c r="BA102" t="inlineStr">
        <is>
          <t>2260032300002656</t>
        </is>
      </c>
      <c r="BB102" t="inlineStr">
        <is>
          <t>BOOK</t>
        </is>
      </c>
      <c r="BD102" t="inlineStr">
        <is>
          <t>9780323025218</t>
        </is>
      </c>
      <c r="BE102" t="inlineStr">
        <is>
          <t>30001004927796</t>
        </is>
      </c>
      <c r="BF102" t="inlineStr">
        <is>
          <t>893461480</t>
        </is>
      </c>
    </row>
    <row r="103">
      <c r="A103" t="inlineStr">
        <is>
          <t>No</t>
        </is>
      </c>
      <c r="B103" t="inlineStr">
        <is>
          <t>CUHSL</t>
        </is>
      </c>
      <c r="C103" t="inlineStr">
        <is>
          <t>SHELVES</t>
        </is>
      </c>
      <c r="D103" t="inlineStr">
        <is>
          <t>WA240 T7558 2006</t>
        </is>
      </c>
      <c r="E103" t="inlineStr">
        <is>
          <t>0                      WA 0240000T  7558        2006</t>
        </is>
      </c>
      <c r="F103" t="inlineStr">
        <is>
          <t>Toxicology of organophosphate and carbamate compounds / edited by Ramesh C. Gupta.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Amsterdam ; Boston : Elsevier Academic Press, c2006.</t>
        </is>
      </c>
      <c r="O103" t="inlineStr">
        <is>
          <t>2006</t>
        </is>
      </c>
      <c r="Q103" t="inlineStr">
        <is>
          <t>eng</t>
        </is>
      </c>
      <c r="R103" t="inlineStr">
        <is>
          <t xml:space="preserve">ne </t>
        </is>
      </c>
      <c r="T103" t="inlineStr">
        <is>
          <t xml:space="preserve">WA </t>
        </is>
      </c>
      <c r="U103" t="n">
        <v>1</v>
      </c>
      <c r="V103" t="n">
        <v>1</v>
      </c>
      <c r="W103" t="inlineStr">
        <is>
          <t>2010-04-11</t>
        </is>
      </c>
      <c r="X103" t="inlineStr">
        <is>
          <t>2010-04-11</t>
        </is>
      </c>
      <c r="Y103" t="inlineStr">
        <is>
          <t>2006-04-25</t>
        </is>
      </c>
      <c r="Z103" t="inlineStr">
        <is>
          <t>2006-04-25</t>
        </is>
      </c>
      <c r="AA103" t="n">
        <v>114</v>
      </c>
      <c r="AB103" t="n">
        <v>77</v>
      </c>
      <c r="AC103" t="n">
        <v>132</v>
      </c>
      <c r="AD103" t="n">
        <v>2</v>
      </c>
      <c r="AE103" t="n">
        <v>2</v>
      </c>
      <c r="AF103" t="n">
        <v>3</v>
      </c>
      <c r="AG103" t="n">
        <v>5</v>
      </c>
      <c r="AH103" t="n">
        <v>0</v>
      </c>
      <c r="AI103" t="n">
        <v>1</v>
      </c>
      <c r="AJ103" t="n">
        <v>2</v>
      </c>
      <c r="AK103" t="n">
        <v>3</v>
      </c>
      <c r="AL103" t="n">
        <v>1</v>
      </c>
      <c r="AM103" t="n">
        <v>1</v>
      </c>
      <c r="AN103" t="n">
        <v>1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HYPERLINK("https://creighton-primo.hosted.exlibrisgroup.com/primo-explore/search?tab=default_tab&amp;search_scope=EVERYTHING&amp;vid=01CRU&amp;lang=en_US&amp;offset=0&amp;query=any,contains,991000477059702656","Catalog Record")</f>
        <v/>
      </c>
      <c r="AV103">
        <f>HYPERLINK("http://www.worldcat.org/oclc/63144922","WorldCat Record")</f>
        <v/>
      </c>
      <c r="AW103" t="inlineStr">
        <is>
          <t>766951005:eng</t>
        </is>
      </c>
      <c r="AX103" t="inlineStr">
        <is>
          <t>63144922</t>
        </is>
      </c>
      <c r="AY103" t="inlineStr">
        <is>
          <t>991000477059702656</t>
        </is>
      </c>
      <c r="AZ103" t="inlineStr">
        <is>
          <t>991000477059702656</t>
        </is>
      </c>
      <c r="BA103" t="inlineStr">
        <is>
          <t>2258152910002656</t>
        </is>
      </c>
      <c r="BB103" t="inlineStr">
        <is>
          <t>BOOK</t>
        </is>
      </c>
      <c r="BD103" t="inlineStr">
        <is>
          <t>9780120885237</t>
        </is>
      </c>
      <c r="BE103" t="inlineStr">
        <is>
          <t>30001005126513</t>
        </is>
      </c>
      <c r="BF103" t="inlineStr">
        <is>
          <t>893811526</t>
        </is>
      </c>
    </row>
    <row r="104">
      <c r="A104" t="inlineStr">
        <is>
          <t>No</t>
        </is>
      </c>
      <c r="B104" t="inlineStr">
        <is>
          <t>CUHSL</t>
        </is>
      </c>
      <c r="C104" t="inlineStr">
        <is>
          <t>SHELVES</t>
        </is>
      </c>
      <c r="D104" t="inlineStr">
        <is>
          <t>WA243  S433 2004</t>
        </is>
      </c>
      <c r="E104" t="inlineStr">
        <is>
          <t>0                      WA 0243000S  433         2004</t>
        </is>
      </c>
      <c r="F104" t="inlineStr">
        <is>
          <t>Screening for diseases : prevention in primary care / Vincenza Snow, editor.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Philadelphia : American College of Physicians, c2004.</t>
        </is>
      </c>
      <c r="O104" t="inlineStr">
        <is>
          <t>2004</t>
        </is>
      </c>
      <c r="Q104" t="inlineStr">
        <is>
          <t>eng</t>
        </is>
      </c>
      <c r="R104" t="inlineStr">
        <is>
          <t>pau</t>
        </is>
      </c>
      <c r="T104" t="inlineStr">
        <is>
          <t xml:space="preserve">WA </t>
        </is>
      </c>
      <c r="U104" t="n">
        <v>1</v>
      </c>
      <c r="V104" t="n">
        <v>1</v>
      </c>
      <c r="W104" t="inlineStr">
        <is>
          <t>2005-03-14</t>
        </is>
      </c>
      <c r="X104" t="inlineStr">
        <is>
          <t>2005-03-14</t>
        </is>
      </c>
      <c r="Y104" t="inlineStr">
        <is>
          <t>2004-11-22</t>
        </is>
      </c>
      <c r="Z104" t="inlineStr">
        <is>
          <t>2004-11-22</t>
        </is>
      </c>
      <c r="AA104" t="n">
        <v>116</v>
      </c>
      <c r="AB104" t="n">
        <v>85</v>
      </c>
      <c r="AC104" t="n">
        <v>87</v>
      </c>
      <c r="AD104" t="n">
        <v>1</v>
      </c>
      <c r="AE104" t="n">
        <v>1</v>
      </c>
      <c r="AF104" t="n">
        <v>5</v>
      </c>
      <c r="AG104" t="n">
        <v>5</v>
      </c>
      <c r="AH104" t="n">
        <v>1</v>
      </c>
      <c r="AI104" t="n">
        <v>1</v>
      </c>
      <c r="AJ104" t="n">
        <v>2</v>
      </c>
      <c r="AK104" t="n">
        <v>2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HYPERLINK("https://creighton-primo.hosted.exlibrisgroup.com/primo-explore/search?tab=default_tab&amp;search_scope=EVERYTHING&amp;vid=01CRU&amp;lang=en_US&amp;offset=0&amp;query=any,contains,991000414019702656","Catalog Record")</f>
        <v/>
      </c>
      <c r="AV104">
        <f>HYPERLINK("http://www.worldcat.org/oclc/54356678","WorldCat Record")</f>
        <v/>
      </c>
      <c r="AW104" t="inlineStr">
        <is>
          <t>819657709:eng</t>
        </is>
      </c>
      <c r="AX104" t="inlineStr">
        <is>
          <t>54356678</t>
        </is>
      </c>
      <c r="AY104" t="inlineStr">
        <is>
          <t>991000414019702656</t>
        </is>
      </c>
      <c r="AZ104" t="inlineStr">
        <is>
          <t>991000414019702656</t>
        </is>
      </c>
      <c r="BA104" t="inlineStr">
        <is>
          <t>2272171370002656</t>
        </is>
      </c>
      <c r="BB104" t="inlineStr">
        <is>
          <t>BOOK</t>
        </is>
      </c>
      <c r="BD104" t="inlineStr">
        <is>
          <t>9781930513563</t>
        </is>
      </c>
      <c r="BE104" t="inlineStr">
        <is>
          <t>30001004925618</t>
        </is>
      </c>
      <c r="BF104" t="inlineStr">
        <is>
          <t>893109526</t>
        </is>
      </c>
    </row>
    <row r="105">
      <c r="A105" t="inlineStr">
        <is>
          <t>No</t>
        </is>
      </c>
      <c r="B105" t="inlineStr">
        <is>
          <t>CUHSL</t>
        </is>
      </c>
      <c r="C105" t="inlineStr">
        <is>
          <t>SHELVES</t>
        </is>
      </c>
      <c r="D105" t="inlineStr">
        <is>
          <t>WA 245 R847ma 1989</t>
        </is>
      </c>
      <c r="E105" t="inlineStr">
        <is>
          <t>0                      WA 0245000R  847ma       1989</t>
        </is>
      </c>
      <c r="F105" t="inlineStr">
        <is>
          <t>Medical screening and employee health costs / Mark A. Rothstein.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Rothstein, Mark A.</t>
        </is>
      </c>
      <c r="N105" t="inlineStr">
        <is>
          <t>Washington, D.C. : Bureau of National Affairs, c1989.</t>
        </is>
      </c>
      <c r="O105" t="inlineStr">
        <is>
          <t>1989</t>
        </is>
      </c>
      <c r="Q105" t="inlineStr">
        <is>
          <t>eng</t>
        </is>
      </c>
      <c r="R105" t="inlineStr">
        <is>
          <t>xxu</t>
        </is>
      </c>
      <c r="T105" t="inlineStr">
        <is>
          <t xml:space="preserve">WA </t>
        </is>
      </c>
      <c r="U105" t="n">
        <v>4</v>
      </c>
      <c r="V105" t="n">
        <v>4</v>
      </c>
      <c r="W105" t="inlineStr">
        <is>
          <t>1989-09-18</t>
        </is>
      </c>
      <c r="X105" t="inlineStr">
        <is>
          <t>1989-09-18</t>
        </is>
      </c>
      <c r="Y105" t="inlineStr">
        <is>
          <t>1989-08-16</t>
        </is>
      </c>
      <c r="Z105" t="inlineStr">
        <is>
          <t>1989-08-16</t>
        </is>
      </c>
      <c r="AA105" t="n">
        <v>339</v>
      </c>
      <c r="AB105" t="n">
        <v>322</v>
      </c>
      <c r="AC105" t="n">
        <v>329</v>
      </c>
      <c r="AD105" t="n">
        <v>2</v>
      </c>
      <c r="AE105" t="n">
        <v>2</v>
      </c>
      <c r="AF105" t="n">
        <v>23</v>
      </c>
      <c r="AG105" t="n">
        <v>23</v>
      </c>
      <c r="AH105" t="n">
        <v>5</v>
      </c>
      <c r="AI105" t="n">
        <v>5</v>
      </c>
      <c r="AJ105" t="n">
        <v>1</v>
      </c>
      <c r="AK105" t="n">
        <v>1</v>
      </c>
      <c r="AL105" t="n">
        <v>6</v>
      </c>
      <c r="AM105" t="n">
        <v>6</v>
      </c>
      <c r="AN105" t="n">
        <v>1</v>
      </c>
      <c r="AO105" t="n">
        <v>1</v>
      </c>
      <c r="AP105" t="n">
        <v>12</v>
      </c>
      <c r="AQ105" t="n">
        <v>12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HYPERLINK("http://catalog.hathitrust.org/Record/001540547","HathiTrust Record")</f>
        <v/>
      </c>
      <c r="AU105">
        <f>HYPERLINK("https://creighton-primo.hosted.exlibrisgroup.com/primo-explore/search?tab=default_tab&amp;search_scope=EVERYTHING&amp;vid=01CRU&amp;lang=en_US&amp;offset=0&amp;query=any,contains,991001313499702656","Catalog Record")</f>
        <v/>
      </c>
      <c r="AV105">
        <f>HYPERLINK("http://www.worldcat.org/oclc/19455951","WorldCat Record")</f>
        <v/>
      </c>
      <c r="AW105" t="inlineStr">
        <is>
          <t>21185756:eng</t>
        </is>
      </c>
      <c r="AX105" t="inlineStr">
        <is>
          <t>19455951</t>
        </is>
      </c>
      <c r="AY105" t="inlineStr">
        <is>
          <t>991001313499702656</t>
        </is>
      </c>
      <c r="AZ105" t="inlineStr">
        <is>
          <t>991001313499702656</t>
        </is>
      </c>
      <c r="BA105" t="inlineStr">
        <is>
          <t>2256722360002656</t>
        </is>
      </c>
      <c r="BB105" t="inlineStr">
        <is>
          <t>BOOK</t>
        </is>
      </c>
      <c r="BD105" t="inlineStr">
        <is>
          <t>9780871796288</t>
        </is>
      </c>
      <c r="BE105" t="inlineStr">
        <is>
          <t>30001001751868</t>
        </is>
      </c>
      <c r="BF105" t="inlineStr">
        <is>
          <t>893821115</t>
        </is>
      </c>
    </row>
    <row r="106">
      <c r="A106" t="inlineStr">
        <is>
          <t>No</t>
        </is>
      </c>
      <c r="B106" t="inlineStr">
        <is>
          <t>CUHSL</t>
        </is>
      </c>
      <c r="C106" t="inlineStr">
        <is>
          <t>SHELVES</t>
        </is>
      </c>
      <c r="D106" t="inlineStr">
        <is>
          <t>WA 250 A512i 1987</t>
        </is>
      </c>
      <c r="E106" t="inlineStr">
        <is>
          <t>0                      WA 0250000A  512i        1987</t>
        </is>
      </c>
      <c r="F106" t="inlineStr">
        <is>
          <t>Injury control for children and youth / author: Committee on Accident and Poison Prevention, American Academy of Pediatrics ; editor: Matilda S. McIntire.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American Academy of Pediatrics. Committee on Accident and Poison Prevention.</t>
        </is>
      </c>
      <c r="N106" t="inlineStr">
        <is>
          <t>Elk Grove Village, IL : The Academy, c1987.</t>
        </is>
      </c>
      <c r="O106" t="inlineStr">
        <is>
          <t>1987</t>
        </is>
      </c>
      <c r="Q106" t="inlineStr">
        <is>
          <t>eng</t>
        </is>
      </c>
      <c r="R106" t="inlineStr">
        <is>
          <t>ilu</t>
        </is>
      </c>
      <c r="T106" t="inlineStr">
        <is>
          <t xml:space="preserve">WA </t>
        </is>
      </c>
      <c r="U106" t="n">
        <v>3</v>
      </c>
      <c r="V106" t="n">
        <v>3</v>
      </c>
      <c r="W106" t="inlineStr">
        <is>
          <t>1993-12-30</t>
        </is>
      </c>
      <c r="X106" t="inlineStr">
        <is>
          <t>1993-12-30</t>
        </is>
      </c>
      <c r="Y106" t="inlineStr">
        <is>
          <t>1987-11-17</t>
        </is>
      </c>
      <c r="Z106" t="inlineStr">
        <is>
          <t>1987-11-17</t>
        </is>
      </c>
      <c r="AA106" t="n">
        <v>53</v>
      </c>
      <c r="AB106" t="n">
        <v>43</v>
      </c>
      <c r="AC106" t="n">
        <v>43</v>
      </c>
      <c r="AD106" t="n">
        <v>1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HYPERLINK("https://creighton-primo.hosted.exlibrisgroup.com/primo-explore/search?tab=default_tab&amp;search_scope=EVERYTHING&amp;vid=01CRU&amp;lang=en_US&amp;offset=0&amp;query=any,contains,991001531959702656","Catalog Record")</f>
        <v/>
      </c>
      <c r="AV106">
        <f>HYPERLINK("http://www.worldcat.org/oclc/18881963","WorldCat Record")</f>
        <v/>
      </c>
      <c r="AW106" t="inlineStr">
        <is>
          <t>3856117040:eng</t>
        </is>
      </c>
      <c r="AX106" t="inlineStr">
        <is>
          <t>18881963</t>
        </is>
      </c>
      <c r="AY106" t="inlineStr">
        <is>
          <t>991001531959702656</t>
        </is>
      </c>
      <c r="AZ106" t="inlineStr">
        <is>
          <t>991001531959702656</t>
        </is>
      </c>
      <c r="BA106" t="inlineStr">
        <is>
          <t>2267651180002656</t>
        </is>
      </c>
      <c r="BB106" t="inlineStr">
        <is>
          <t>BOOK</t>
        </is>
      </c>
      <c r="BD106" t="inlineStr">
        <is>
          <t>9780910761116</t>
        </is>
      </c>
      <c r="BE106" t="inlineStr">
        <is>
          <t>30001000621773</t>
        </is>
      </c>
      <c r="BF106" t="inlineStr">
        <is>
          <t>893455907</t>
        </is>
      </c>
    </row>
    <row r="107">
      <c r="A107" t="inlineStr">
        <is>
          <t>No</t>
        </is>
      </c>
      <c r="B107" t="inlineStr">
        <is>
          <t>CUHSL</t>
        </is>
      </c>
      <c r="C107" t="inlineStr">
        <is>
          <t>SHELVES</t>
        </is>
      </c>
      <c r="D107" t="inlineStr">
        <is>
          <t>WA 250 N275i 1989</t>
        </is>
      </c>
      <c r="E107" t="inlineStr">
        <is>
          <t>0                      WA 0250000N  275i        1989</t>
        </is>
      </c>
      <c r="F107" t="inlineStr">
        <is>
          <t>Injury prevention : meeting the challenge / the National Committee for Injury Prevention and Control.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National Committee for Injury Prevention and Control (U.S.)</t>
        </is>
      </c>
      <c r="N107" t="inlineStr">
        <is>
          <t>New York : Oxford University Press, c1989.</t>
        </is>
      </c>
      <c r="O107" t="inlineStr">
        <is>
          <t>1989</t>
        </is>
      </c>
      <c r="Q107" t="inlineStr">
        <is>
          <t>eng</t>
        </is>
      </c>
      <c r="R107" t="inlineStr">
        <is>
          <t>xxu</t>
        </is>
      </c>
      <c r="T107" t="inlineStr">
        <is>
          <t xml:space="preserve">WA </t>
        </is>
      </c>
      <c r="U107" t="n">
        <v>4</v>
      </c>
      <c r="V107" t="n">
        <v>4</v>
      </c>
      <c r="W107" t="inlineStr">
        <is>
          <t>1990-03-16</t>
        </is>
      </c>
      <c r="X107" t="inlineStr">
        <is>
          <t>1990-03-16</t>
        </is>
      </c>
      <c r="Y107" t="inlineStr">
        <is>
          <t>1990-03-16</t>
        </is>
      </c>
      <c r="Z107" t="inlineStr">
        <is>
          <t>1990-03-16</t>
        </is>
      </c>
      <c r="AA107" t="n">
        <v>223</v>
      </c>
      <c r="AB107" t="n">
        <v>186</v>
      </c>
      <c r="AC107" t="n">
        <v>194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HYPERLINK("http://catalog.hathitrust.org/Record/001820493","HathiTrust Record")</f>
        <v/>
      </c>
      <c r="AU107">
        <f>HYPERLINK("https://creighton-primo.hosted.exlibrisgroup.com/primo-explore/search?tab=default_tab&amp;search_scope=EVERYTHING&amp;vid=01CRU&amp;lang=en_US&amp;offset=0&amp;query=any,contains,991001447499702656","Catalog Record")</f>
        <v/>
      </c>
      <c r="AV107">
        <f>HYPERLINK("http://www.worldcat.org/oclc/19724253","WorldCat Record")</f>
        <v/>
      </c>
      <c r="AW107" t="inlineStr">
        <is>
          <t>133802453:eng</t>
        </is>
      </c>
      <c r="AX107" t="inlineStr">
        <is>
          <t>19724253</t>
        </is>
      </c>
      <c r="AY107" t="inlineStr">
        <is>
          <t>991001447499702656</t>
        </is>
      </c>
      <c r="AZ107" t="inlineStr">
        <is>
          <t>991001447499702656</t>
        </is>
      </c>
      <c r="BA107" t="inlineStr">
        <is>
          <t>2265491580002656</t>
        </is>
      </c>
      <c r="BB107" t="inlineStr">
        <is>
          <t>BOOK</t>
        </is>
      </c>
      <c r="BD107" t="inlineStr">
        <is>
          <t>9780195062489</t>
        </is>
      </c>
      <c r="BE107" t="inlineStr">
        <is>
          <t>30001001881137</t>
        </is>
      </c>
      <c r="BF107" t="inlineStr">
        <is>
          <t>893455822</t>
        </is>
      </c>
    </row>
    <row r="108">
      <c r="A108" t="inlineStr">
        <is>
          <t>No</t>
        </is>
      </c>
      <c r="B108" t="inlineStr">
        <is>
          <t>CUHSL</t>
        </is>
      </c>
      <c r="C108" t="inlineStr">
        <is>
          <t>SHELVES</t>
        </is>
      </c>
      <c r="D108" t="inlineStr">
        <is>
          <t>WA 288 H993a 1996</t>
        </is>
      </c>
      <c r="E108" t="inlineStr">
        <is>
          <t>0                      WA 0288000H  993a        1996</t>
        </is>
      </c>
      <c r="F108" t="inlineStr">
        <is>
          <t>Accidental falls : their causes and their injuries : fundamentals of slipping, tripping, stumbling, tumbling and crumpling / by Alvin S. Hyde ; with ill. by Caitlin B. Hyde.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Hyde, A. S.</t>
        </is>
      </c>
      <c r="N108" t="inlineStr">
        <is>
          <t>Key Biscayne, FL : HAI, c1996.</t>
        </is>
      </c>
      <c r="O108" t="inlineStr">
        <is>
          <t>1996</t>
        </is>
      </c>
      <c r="Q108" t="inlineStr">
        <is>
          <t>eng</t>
        </is>
      </c>
      <c r="R108" t="inlineStr">
        <is>
          <t>flu</t>
        </is>
      </c>
      <c r="T108" t="inlineStr">
        <is>
          <t xml:space="preserve">WA </t>
        </is>
      </c>
      <c r="U108" t="n">
        <v>9</v>
      </c>
      <c r="V108" t="n">
        <v>9</v>
      </c>
      <c r="W108" t="inlineStr">
        <is>
          <t>2000-09-05</t>
        </is>
      </c>
      <c r="X108" t="inlineStr">
        <is>
          <t>2000-09-05</t>
        </is>
      </c>
      <c r="Y108" t="inlineStr">
        <is>
          <t>1997-03-24</t>
        </is>
      </c>
      <c r="Z108" t="inlineStr">
        <is>
          <t>1997-03-24</t>
        </is>
      </c>
      <c r="AA108" t="n">
        <v>17</v>
      </c>
      <c r="AB108" t="n">
        <v>15</v>
      </c>
      <c r="AC108" t="n">
        <v>15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HYPERLINK("https://creighton-primo.hosted.exlibrisgroup.com/primo-explore/search?tab=default_tab&amp;search_scope=EVERYTHING&amp;vid=01CRU&amp;lang=en_US&amp;offset=0&amp;query=any,contains,991000838409702656","Catalog Record")</f>
        <v/>
      </c>
      <c r="AV108">
        <f>HYPERLINK("http://www.worldcat.org/oclc/36318121","WorldCat Record")</f>
        <v/>
      </c>
      <c r="AW108" t="inlineStr">
        <is>
          <t>1124483701:eng</t>
        </is>
      </c>
      <c r="AX108" t="inlineStr">
        <is>
          <t>36318121</t>
        </is>
      </c>
      <c r="AY108" t="inlineStr">
        <is>
          <t>991000838409702656</t>
        </is>
      </c>
      <c r="AZ108" t="inlineStr">
        <is>
          <t>991000838409702656</t>
        </is>
      </c>
      <c r="BA108" t="inlineStr">
        <is>
          <t>2272191960002656</t>
        </is>
      </c>
      <c r="BB108" t="inlineStr">
        <is>
          <t>BOOK</t>
        </is>
      </c>
      <c r="BD108" t="inlineStr">
        <is>
          <t>9780963705716</t>
        </is>
      </c>
      <c r="BE108" t="inlineStr">
        <is>
          <t>30001003442672</t>
        </is>
      </c>
      <c r="BF108" t="inlineStr">
        <is>
          <t>893632320</t>
        </is>
      </c>
    </row>
    <row r="109">
      <c r="A109" t="inlineStr">
        <is>
          <t>No</t>
        </is>
      </c>
      <c r="B109" t="inlineStr">
        <is>
          <t>CUHSL</t>
        </is>
      </c>
      <c r="C109" t="inlineStr">
        <is>
          <t>SHELVES</t>
        </is>
      </c>
      <c r="D109" t="inlineStr">
        <is>
          <t>WA288 R321 2005</t>
        </is>
      </c>
      <c r="E109" t="inlineStr">
        <is>
          <t>0                      WA 0288000R  321         2005</t>
        </is>
      </c>
      <c r="F109" t="inlineStr">
        <is>
          <t>Reducing the risk of falls in your health care organization / Joint Commission Resources ; [editor, Ilese J. Smith].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Oakbrook Terrace, IL : Joint Commission Resources, c2005.</t>
        </is>
      </c>
      <c r="O109" t="inlineStr">
        <is>
          <t>2005</t>
        </is>
      </c>
      <c r="Q109" t="inlineStr">
        <is>
          <t>eng</t>
        </is>
      </c>
      <c r="R109" t="inlineStr">
        <is>
          <t>ilu</t>
        </is>
      </c>
      <c r="T109" t="inlineStr">
        <is>
          <t xml:space="preserve">WA </t>
        </is>
      </c>
      <c r="U109" t="n">
        <v>0</v>
      </c>
      <c r="V109" t="n">
        <v>0</v>
      </c>
      <c r="W109" t="inlineStr">
        <is>
          <t>2008-11-05</t>
        </is>
      </c>
      <c r="X109" t="inlineStr">
        <is>
          <t>2008-11-05</t>
        </is>
      </c>
      <c r="Y109" t="inlineStr">
        <is>
          <t>2005-11-16</t>
        </is>
      </c>
      <c r="Z109" t="inlineStr">
        <is>
          <t>2005-11-16</t>
        </is>
      </c>
      <c r="AA109" t="n">
        <v>53</v>
      </c>
      <c r="AB109" t="n">
        <v>46</v>
      </c>
      <c r="AC109" t="n">
        <v>48</v>
      </c>
      <c r="AD109" t="n">
        <v>1</v>
      </c>
      <c r="AE109" t="n">
        <v>1</v>
      </c>
      <c r="AF109" t="n">
        <v>2</v>
      </c>
      <c r="AG109" t="n">
        <v>2</v>
      </c>
      <c r="AH109" t="n">
        <v>0</v>
      </c>
      <c r="AI109" t="n">
        <v>0</v>
      </c>
      <c r="AJ109" t="n">
        <v>2</v>
      </c>
      <c r="AK109" t="n">
        <v>2</v>
      </c>
      <c r="AL109" t="n">
        <v>1</v>
      </c>
      <c r="AM109" t="n">
        <v>1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HYPERLINK("http://catalog.hathitrust.org/Record/005070490","HathiTrust Record")</f>
        <v/>
      </c>
      <c r="AU109">
        <f>HYPERLINK("https://creighton-primo.hosted.exlibrisgroup.com/primo-explore/search?tab=default_tab&amp;search_scope=EVERYTHING&amp;vid=01CRU&amp;lang=en_US&amp;offset=0&amp;query=any,contains,991000449359702656","Catalog Record")</f>
        <v/>
      </c>
      <c r="AV109">
        <f>HYPERLINK("http://www.worldcat.org/oclc/61658993","WorldCat Record")</f>
        <v/>
      </c>
      <c r="AW109" t="inlineStr">
        <is>
          <t>46208958:eng</t>
        </is>
      </c>
      <c r="AX109" t="inlineStr">
        <is>
          <t>61658993</t>
        </is>
      </c>
      <c r="AY109" t="inlineStr">
        <is>
          <t>991000449359702656</t>
        </is>
      </c>
      <c r="AZ109" t="inlineStr">
        <is>
          <t>991000449359702656</t>
        </is>
      </c>
      <c r="BA109" t="inlineStr">
        <is>
          <t>2272304430002656</t>
        </is>
      </c>
      <c r="BB109" t="inlineStr">
        <is>
          <t>BOOK</t>
        </is>
      </c>
      <c r="BD109" t="inlineStr">
        <is>
          <t>9780866889421</t>
        </is>
      </c>
      <c r="BE109" t="inlineStr">
        <is>
          <t>30001004914570</t>
        </is>
      </c>
      <c r="BF109" t="inlineStr">
        <is>
          <t>893644439</t>
        </is>
      </c>
    </row>
    <row r="110">
      <c r="A110" t="inlineStr">
        <is>
          <t>No</t>
        </is>
      </c>
      <c r="B110" t="inlineStr">
        <is>
          <t>CUHSL</t>
        </is>
      </c>
      <c r="C110" t="inlineStr">
        <is>
          <t>SHELVES</t>
        </is>
      </c>
      <c r="D110" t="inlineStr">
        <is>
          <t>WA 292 A512 1992</t>
        </is>
      </c>
      <c r="E110" t="inlineStr">
        <is>
          <t>0                      WA 0292000A  512         1992</t>
        </is>
      </c>
      <c r="F110" t="inlineStr">
        <is>
          <t>The American Red Cross first aid and safety handbook / [prepared by] the American Red Cross and Kathleen A. Handal.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Boston : Little, Brown, c1992.</t>
        </is>
      </c>
      <c r="O110" t="inlineStr">
        <is>
          <t>1992</t>
        </is>
      </c>
      <c r="P110" t="inlineStr">
        <is>
          <t>1st ed.</t>
        </is>
      </c>
      <c r="Q110" t="inlineStr">
        <is>
          <t>eng</t>
        </is>
      </c>
      <c r="R110" t="inlineStr">
        <is>
          <t>mau</t>
        </is>
      </c>
      <c r="T110" t="inlineStr">
        <is>
          <t xml:space="preserve">WA </t>
        </is>
      </c>
      <c r="U110" t="n">
        <v>20</v>
      </c>
      <c r="V110" t="n">
        <v>20</v>
      </c>
      <c r="W110" t="inlineStr">
        <is>
          <t>2006-09-18</t>
        </is>
      </c>
      <c r="X110" t="inlineStr">
        <is>
          <t>2006-09-18</t>
        </is>
      </c>
      <c r="Y110" t="inlineStr">
        <is>
          <t>1992-05-06</t>
        </is>
      </c>
      <c r="Z110" t="inlineStr">
        <is>
          <t>1992-05-06</t>
        </is>
      </c>
      <c r="AA110" t="n">
        <v>936</v>
      </c>
      <c r="AB110" t="n">
        <v>919</v>
      </c>
      <c r="AC110" t="n">
        <v>923</v>
      </c>
      <c r="AD110" t="n">
        <v>8</v>
      </c>
      <c r="AE110" t="n">
        <v>8</v>
      </c>
      <c r="AF110" t="n">
        <v>5</v>
      </c>
      <c r="AG110" t="n">
        <v>5</v>
      </c>
      <c r="AH110" t="n">
        <v>3</v>
      </c>
      <c r="AI110" t="n">
        <v>3</v>
      </c>
      <c r="AJ110" t="n">
        <v>0</v>
      </c>
      <c r="AK110" t="n">
        <v>0</v>
      </c>
      <c r="AL110" t="n">
        <v>3</v>
      </c>
      <c r="AM110" t="n">
        <v>3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HYPERLINK("https://creighton-primo.hosted.exlibrisgroup.com/primo-explore/search?tab=default_tab&amp;search_scope=EVERYTHING&amp;vid=01CRU&amp;lang=en_US&amp;offset=0&amp;query=any,contains,991001301029702656","Catalog Record")</f>
        <v/>
      </c>
      <c r="AV110">
        <f>HYPERLINK("http://www.worldcat.org/oclc/24143982","WorldCat Record")</f>
        <v/>
      </c>
      <c r="AW110" t="inlineStr">
        <is>
          <t>376035400:eng</t>
        </is>
      </c>
      <c r="AX110" t="inlineStr">
        <is>
          <t>24143982</t>
        </is>
      </c>
      <c r="AY110" t="inlineStr">
        <is>
          <t>991001301029702656</t>
        </is>
      </c>
      <c r="AZ110" t="inlineStr">
        <is>
          <t>991001301029702656</t>
        </is>
      </c>
      <c r="BA110" t="inlineStr">
        <is>
          <t>2266386740002656</t>
        </is>
      </c>
      <c r="BB110" t="inlineStr">
        <is>
          <t>BOOK</t>
        </is>
      </c>
      <c r="BD110" t="inlineStr">
        <is>
          <t>9780316736459</t>
        </is>
      </c>
      <c r="BE110" t="inlineStr">
        <is>
          <t>30001002411744</t>
        </is>
      </c>
      <c r="BF110" t="inlineStr">
        <is>
          <t>893557810</t>
        </is>
      </c>
    </row>
    <row r="111">
      <c r="A111" t="inlineStr">
        <is>
          <t>No</t>
        </is>
      </c>
      <c r="B111" t="inlineStr">
        <is>
          <t>CUHSL</t>
        </is>
      </c>
      <c r="C111" t="inlineStr">
        <is>
          <t>SHELVES</t>
        </is>
      </c>
      <c r="D111" t="inlineStr">
        <is>
          <t>WA 292 A512c 1987</t>
        </is>
      </c>
      <c r="E111" t="inlineStr">
        <is>
          <t>0                      WA 0292000A  512c        1987</t>
        </is>
      </c>
      <c r="F111" t="inlineStr">
        <is>
          <t>CPR / American Red Cross.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American Red Cross.</t>
        </is>
      </c>
      <c r="N111" t="inlineStr">
        <is>
          <t>[Washington, D.C.?] : American Red Cross, [c1987]</t>
        </is>
      </c>
      <c r="O111" t="inlineStr">
        <is>
          <t>1987</t>
        </is>
      </c>
      <c r="Q111" t="inlineStr">
        <is>
          <t>eng</t>
        </is>
      </c>
      <c r="R111" t="inlineStr">
        <is>
          <t>dcu</t>
        </is>
      </c>
      <c r="T111" t="inlineStr">
        <is>
          <t xml:space="preserve">WA </t>
        </is>
      </c>
      <c r="U111" t="n">
        <v>12</v>
      </c>
      <c r="V111" t="n">
        <v>12</v>
      </c>
      <c r="W111" t="inlineStr">
        <is>
          <t>2002-06-13</t>
        </is>
      </c>
      <c r="X111" t="inlineStr">
        <is>
          <t>2002-06-13</t>
        </is>
      </c>
      <c r="Y111" t="inlineStr">
        <is>
          <t>1990-10-31</t>
        </is>
      </c>
      <c r="Z111" t="inlineStr">
        <is>
          <t>1990-10-31</t>
        </is>
      </c>
      <c r="AA111" t="n">
        <v>98</v>
      </c>
      <c r="AB111" t="n">
        <v>93</v>
      </c>
      <c r="AC111" t="n">
        <v>229</v>
      </c>
      <c r="AD111" t="n">
        <v>1</v>
      </c>
      <c r="AE111" t="n">
        <v>1</v>
      </c>
      <c r="AF111" t="n">
        <v>1</v>
      </c>
      <c r="AG111" t="n">
        <v>3</v>
      </c>
      <c r="AH111" t="n">
        <v>0</v>
      </c>
      <c r="AI111" t="n">
        <v>1</v>
      </c>
      <c r="AJ111" t="n">
        <v>1</v>
      </c>
      <c r="AK111" t="n">
        <v>2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HYPERLINK("https://creighton-primo.hosted.exlibrisgroup.com/primo-explore/search?tab=default_tab&amp;search_scope=EVERYTHING&amp;vid=01CRU&amp;lang=en_US&amp;offset=0&amp;query=any,contains,991000773059702656","Catalog Record")</f>
        <v/>
      </c>
      <c r="AV111">
        <f>HYPERLINK("http://www.worldcat.org/oclc/16960227","WorldCat Record")</f>
        <v/>
      </c>
      <c r="AW111" t="inlineStr">
        <is>
          <t>917520952:eng</t>
        </is>
      </c>
      <c r="AX111" t="inlineStr">
        <is>
          <t>16960227</t>
        </is>
      </c>
      <c r="AY111" t="inlineStr">
        <is>
          <t>991000773059702656</t>
        </is>
      </c>
      <c r="AZ111" t="inlineStr">
        <is>
          <t>991000773059702656</t>
        </is>
      </c>
      <c r="BA111" t="inlineStr">
        <is>
          <t>2266294130002656</t>
        </is>
      </c>
      <c r="BB111" t="inlineStr">
        <is>
          <t>BOOK</t>
        </is>
      </c>
      <c r="BD111" t="inlineStr">
        <is>
          <t>9780865360754</t>
        </is>
      </c>
      <c r="BE111" t="inlineStr">
        <is>
          <t>30001002062570</t>
        </is>
      </c>
      <c r="BF111" t="inlineStr">
        <is>
          <t>893454843</t>
        </is>
      </c>
    </row>
    <row r="112">
      <c r="A112" t="inlineStr">
        <is>
          <t>No</t>
        </is>
      </c>
      <c r="B112" t="inlineStr">
        <is>
          <t>CUHSL</t>
        </is>
      </c>
      <c r="C112" t="inlineStr">
        <is>
          <t>SHELVES</t>
        </is>
      </c>
      <c r="D112" t="inlineStr">
        <is>
          <t>WA 292 B311 1990</t>
        </is>
      </c>
      <c r="E112" t="inlineStr">
        <is>
          <t>0                      WA 0292000B  311         1990</t>
        </is>
      </c>
      <c r="F112" t="inlineStr">
        <is>
          <t>Basic emergency care of the sick and injured / [edited by] Guy S. Parcel, Charles E. Rinear.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St. Louis : Times Mirror/Mosby College Pub., c1990.</t>
        </is>
      </c>
      <c r="O112" t="inlineStr">
        <is>
          <t>1990</t>
        </is>
      </c>
      <c r="P112" t="inlineStr">
        <is>
          <t>4th ed.</t>
        </is>
      </c>
      <c r="Q112" t="inlineStr">
        <is>
          <t>eng</t>
        </is>
      </c>
      <c r="R112" t="inlineStr">
        <is>
          <t>xxu</t>
        </is>
      </c>
      <c r="T112" t="inlineStr">
        <is>
          <t xml:space="preserve">WA </t>
        </is>
      </c>
      <c r="U112" t="n">
        <v>15</v>
      </c>
      <c r="V112" t="n">
        <v>15</v>
      </c>
      <c r="W112" t="inlineStr">
        <is>
          <t>1997-11-29</t>
        </is>
      </c>
      <c r="X112" t="inlineStr">
        <is>
          <t>1997-11-29</t>
        </is>
      </c>
      <c r="Y112" t="inlineStr">
        <is>
          <t>1990-06-28</t>
        </is>
      </c>
      <c r="Z112" t="inlineStr">
        <is>
          <t>1990-06-28</t>
        </is>
      </c>
      <c r="AA112" t="n">
        <v>145</v>
      </c>
      <c r="AB112" t="n">
        <v>124</v>
      </c>
      <c r="AC112" t="n">
        <v>306</v>
      </c>
      <c r="AD112" t="n">
        <v>2</v>
      </c>
      <c r="AE112" t="n">
        <v>2</v>
      </c>
      <c r="AF112" t="n">
        <v>1</v>
      </c>
      <c r="AG112" t="n">
        <v>5</v>
      </c>
      <c r="AH112" t="n">
        <v>0</v>
      </c>
      <c r="AI112" t="n">
        <v>2</v>
      </c>
      <c r="AJ112" t="n">
        <v>0</v>
      </c>
      <c r="AK112" t="n">
        <v>0</v>
      </c>
      <c r="AL112" t="n">
        <v>0</v>
      </c>
      <c r="AM112" t="n">
        <v>2</v>
      </c>
      <c r="AN112" t="n">
        <v>1</v>
      </c>
      <c r="AO112" t="n">
        <v>1</v>
      </c>
      <c r="AP112" t="n">
        <v>0</v>
      </c>
      <c r="AQ112" t="n">
        <v>1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HYPERLINK("https://creighton-primo.hosted.exlibrisgroup.com/primo-explore/search?tab=default_tab&amp;search_scope=EVERYTHING&amp;vid=01CRU&amp;lang=en_US&amp;offset=0&amp;query=any,contains,991001450209702656","Catalog Record")</f>
        <v/>
      </c>
      <c r="AV112">
        <f>HYPERLINK("http://www.worldcat.org/oclc/20353559","WorldCat Record")</f>
        <v/>
      </c>
      <c r="AW112" t="inlineStr">
        <is>
          <t>365269241:eng</t>
        </is>
      </c>
      <c r="AX112" t="inlineStr">
        <is>
          <t>20353559</t>
        </is>
      </c>
      <c r="AY112" t="inlineStr">
        <is>
          <t>991001450209702656</t>
        </is>
      </c>
      <c r="AZ112" t="inlineStr">
        <is>
          <t>991001450209702656</t>
        </is>
      </c>
      <c r="BA112" t="inlineStr">
        <is>
          <t>2264575250002656</t>
        </is>
      </c>
      <c r="BB112" t="inlineStr">
        <is>
          <t>BOOK</t>
        </is>
      </c>
      <c r="BD112" t="inlineStr">
        <is>
          <t>9780801642678</t>
        </is>
      </c>
      <c r="BE112" t="inlineStr">
        <is>
          <t>30001001882689</t>
        </is>
      </c>
      <c r="BF112" t="inlineStr">
        <is>
          <t>893274189</t>
        </is>
      </c>
    </row>
    <row r="113">
      <c r="A113" t="inlineStr">
        <is>
          <t>No</t>
        </is>
      </c>
      <c r="B113" t="inlineStr">
        <is>
          <t>CUHSL</t>
        </is>
      </c>
      <c r="C113" t="inlineStr">
        <is>
          <t>SHELVES</t>
        </is>
      </c>
      <c r="D113" t="inlineStr">
        <is>
          <t>WA 292 C882 1993</t>
        </is>
      </c>
      <c r="E113" t="inlineStr">
        <is>
          <t>0                      WA 0292000C  882         1993</t>
        </is>
      </c>
      <c r="F113" t="inlineStr">
        <is>
          <t>CPR for the professional rescuer / American Red Cross.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St. Louis : Mosby Lifeline, c1993.</t>
        </is>
      </c>
      <c r="O113" t="inlineStr">
        <is>
          <t>1993</t>
        </is>
      </c>
      <c r="Q113" t="inlineStr">
        <is>
          <t>eng</t>
        </is>
      </c>
      <c r="R113" t="inlineStr">
        <is>
          <t>mou</t>
        </is>
      </c>
      <c r="T113" t="inlineStr">
        <is>
          <t xml:space="preserve">WA </t>
        </is>
      </c>
      <c r="U113" t="n">
        <v>9</v>
      </c>
      <c r="V113" t="n">
        <v>9</v>
      </c>
      <c r="W113" t="inlineStr">
        <is>
          <t>2010-11-18</t>
        </is>
      </c>
      <c r="X113" t="inlineStr">
        <is>
          <t>2010-11-18</t>
        </is>
      </c>
      <c r="Y113" t="inlineStr">
        <is>
          <t>1998-09-29</t>
        </is>
      </c>
      <c r="Z113" t="inlineStr">
        <is>
          <t>1998-09-29</t>
        </is>
      </c>
      <c r="AA113" t="n">
        <v>173</v>
      </c>
      <c r="AB113" t="n">
        <v>164</v>
      </c>
      <c r="AC113" t="n">
        <v>191</v>
      </c>
      <c r="AD113" t="n">
        <v>1</v>
      </c>
      <c r="AE113" t="n">
        <v>1</v>
      </c>
      <c r="AF113" t="n">
        <v>1</v>
      </c>
      <c r="AG113" t="n">
        <v>1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HYPERLINK("https://creighton-primo.hosted.exlibrisgroup.com/primo-explore/search?tab=default_tab&amp;search_scope=EVERYTHING&amp;vid=01CRU&amp;lang=en_US&amp;offset=0&amp;query=any,contains,991000666899702656","Catalog Record")</f>
        <v/>
      </c>
      <c r="AV113">
        <f>HYPERLINK("http://www.worldcat.org/oclc/27070269","WorldCat Record")</f>
        <v/>
      </c>
      <c r="AW113" t="inlineStr">
        <is>
          <t>3857345620:eng</t>
        </is>
      </c>
      <c r="AX113" t="inlineStr">
        <is>
          <t>27070269</t>
        </is>
      </c>
      <c r="AY113" t="inlineStr">
        <is>
          <t>991000666899702656</t>
        </is>
      </c>
      <c r="AZ113" t="inlineStr">
        <is>
          <t>991000666899702656</t>
        </is>
      </c>
      <c r="BA113" t="inlineStr">
        <is>
          <t>2264625750002656</t>
        </is>
      </c>
      <c r="BB113" t="inlineStr">
        <is>
          <t>BOOK</t>
        </is>
      </c>
      <c r="BD113" t="inlineStr">
        <is>
          <t>9780801670671</t>
        </is>
      </c>
      <c r="BE113" t="inlineStr">
        <is>
          <t>30001004030682</t>
        </is>
      </c>
      <c r="BF113" t="inlineStr">
        <is>
          <t>893815124</t>
        </is>
      </c>
    </row>
    <row r="114">
      <c r="A114" t="inlineStr">
        <is>
          <t>No</t>
        </is>
      </c>
      <c r="B114" t="inlineStr">
        <is>
          <t>CUHSL</t>
        </is>
      </c>
      <c r="C114" t="inlineStr">
        <is>
          <t>SHELVES</t>
        </is>
      </c>
      <c r="D114" t="inlineStr">
        <is>
          <t>WA292 F5266 2001</t>
        </is>
      </c>
      <c r="E114" t="inlineStr">
        <is>
          <t>0                      WA 0292000F  5266        2001</t>
        </is>
      </c>
      <c r="F114" t="inlineStr">
        <is>
          <t>First aid and CPR / Alton Thygerson.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Thygerson, Alton L.</t>
        </is>
      </c>
      <c r="N114" t="inlineStr">
        <is>
          <t>Sudbury, Mass. : Jones and Bartlett, c2001.</t>
        </is>
      </c>
      <c r="O114" t="inlineStr">
        <is>
          <t>2001</t>
        </is>
      </c>
      <c r="P114" t="inlineStr">
        <is>
          <t>4th ed., [advanced].</t>
        </is>
      </c>
      <c r="Q114" t="inlineStr">
        <is>
          <t>eng</t>
        </is>
      </c>
      <c r="R114" t="inlineStr">
        <is>
          <t>mau</t>
        </is>
      </c>
      <c r="T114" t="inlineStr">
        <is>
          <t xml:space="preserve">WA </t>
        </is>
      </c>
      <c r="U114" t="n">
        <v>4</v>
      </c>
      <c r="V114" t="n">
        <v>4</v>
      </c>
      <c r="W114" t="inlineStr">
        <is>
          <t>2010-02-19</t>
        </is>
      </c>
      <c r="X114" t="inlineStr">
        <is>
          <t>2010-02-19</t>
        </is>
      </c>
      <c r="Y114" t="inlineStr">
        <is>
          <t>2005-04-07</t>
        </is>
      </c>
      <c r="Z114" t="inlineStr">
        <is>
          <t>2005-04-07</t>
        </is>
      </c>
      <c r="AA114" t="n">
        <v>14</v>
      </c>
      <c r="AB114" t="n">
        <v>14</v>
      </c>
      <c r="AC114" t="n">
        <v>738</v>
      </c>
      <c r="AD114" t="n">
        <v>1</v>
      </c>
      <c r="AE114" t="n">
        <v>3</v>
      </c>
      <c r="AF114" t="n">
        <v>0</v>
      </c>
      <c r="AG114" t="n">
        <v>10</v>
      </c>
      <c r="AH114" t="n">
        <v>0</v>
      </c>
      <c r="AI114" t="n">
        <v>5</v>
      </c>
      <c r="AJ114" t="n">
        <v>0</v>
      </c>
      <c r="AK114" t="n">
        <v>2</v>
      </c>
      <c r="AL114" t="n">
        <v>0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HYPERLINK("https://creighton-primo.hosted.exlibrisgroup.com/primo-explore/search?tab=default_tab&amp;search_scope=EVERYTHING&amp;vid=01CRU&amp;lang=en_US&amp;offset=0&amp;query=any,contains,991000435579702656","Catalog Record")</f>
        <v/>
      </c>
      <c r="AV114">
        <f>HYPERLINK("http://www.worldcat.org/oclc/47283361","WorldCat Record")</f>
        <v/>
      </c>
      <c r="AW114" t="inlineStr">
        <is>
          <t>4917213869:eng</t>
        </is>
      </c>
      <c r="AX114" t="inlineStr">
        <is>
          <t>47283361</t>
        </is>
      </c>
      <c r="AY114" t="inlineStr">
        <is>
          <t>991000435579702656</t>
        </is>
      </c>
      <c r="AZ114" t="inlineStr">
        <is>
          <t>991000435579702656</t>
        </is>
      </c>
      <c r="BA114" t="inlineStr">
        <is>
          <t>2264769960002656</t>
        </is>
      </c>
      <c r="BB114" t="inlineStr">
        <is>
          <t>BOOK</t>
        </is>
      </c>
      <c r="BD114" t="inlineStr">
        <is>
          <t>9780763717728</t>
        </is>
      </c>
      <c r="BE114" t="inlineStr">
        <is>
          <t>30001004929115</t>
        </is>
      </c>
      <c r="BF114" t="inlineStr">
        <is>
          <t>893822142</t>
        </is>
      </c>
    </row>
    <row r="115">
      <c r="A115" t="inlineStr">
        <is>
          <t>No</t>
        </is>
      </c>
      <c r="B115" t="inlineStr">
        <is>
          <t>CUHSL</t>
        </is>
      </c>
      <c r="C115" t="inlineStr">
        <is>
          <t>SHELVES</t>
        </is>
      </c>
      <c r="D115" t="inlineStr">
        <is>
          <t>WA 292 F527 1995</t>
        </is>
      </c>
      <c r="E115" t="inlineStr">
        <is>
          <t>0                      WA 0292000F  527         1995</t>
        </is>
      </c>
      <c r="F115" t="inlineStr">
        <is>
          <t>First aid fast / American Red Cross.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St. Louis, MO : Mosby Lifeline, c1995.</t>
        </is>
      </c>
      <c r="O115" t="inlineStr">
        <is>
          <t>1995</t>
        </is>
      </c>
      <c r="Q115" t="inlineStr">
        <is>
          <t>eng</t>
        </is>
      </c>
      <c r="R115" t="inlineStr">
        <is>
          <t>mou</t>
        </is>
      </c>
      <c r="T115" t="inlineStr">
        <is>
          <t xml:space="preserve">WA </t>
        </is>
      </c>
      <c r="U115" t="n">
        <v>3</v>
      </c>
      <c r="V115" t="n">
        <v>3</v>
      </c>
      <c r="W115" t="inlineStr">
        <is>
          <t>1998-11-05</t>
        </is>
      </c>
      <c r="X115" t="inlineStr">
        <is>
          <t>1998-11-05</t>
        </is>
      </c>
      <c r="Y115" t="inlineStr">
        <is>
          <t>1998-09-29</t>
        </is>
      </c>
      <c r="Z115" t="inlineStr">
        <is>
          <t>1998-09-29</t>
        </is>
      </c>
      <c r="AA115" t="n">
        <v>25</v>
      </c>
      <c r="AB115" t="n">
        <v>23</v>
      </c>
      <c r="AC115" t="n">
        <v>28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HYPERLINK("https://creighton-primo.hosted.exlibrisgroup.com/primo-explore/search?tab=default_tab&amp;search_scope=EVERYTHING&amp;vid=01CRU&amp;lang=en_US&amp;offset=0&amp;query=any,contains,991000666799702656","Catalog Record")</f>
        <v/>
      </c>
      <c r="AV115">
        <f>HYPERLINK("http://www.worldcat.org/oclc/33059990","WorldCat Record")</f>
        <v/>
      </c>
      <c r="AW115" t="inlineStr">
        <is>
          <t>3857875943:eng</t>
        </is>
      </c>
      <c r="AX115" t="inlineStr">
        <is>
          <t>33059990</t>
        </is>
      </c>
      <c r="AY115" t="inlineStr">
        <is>
          <t>991000666799702656</t>
        </is>
      </c>
      <c r="AZ115" t="inlineStr">
        <is>
          <t>991000666799702656</t>
        </is>
      </c>
      <c r="BA115" t="inlineStr">
        <is>
          <t>2265705120002656</t>
        </is>
      </c>
      <c r="BB115" t="inlineStr">
        <is>
          <t>BOOK</t>
        </is>
      </c>
      <c r="BD115" t="inlineStr">
        <is>
          <t>9780815102588</t>
        </is>
      </c>
      <c r="BE115" t="inlineStr">
        <is>
          <t>30001004030666</t>
        </is>
      </c>
      <c r="BF115" t="inlineStr">
        <is>
          <t>893545478</t>
        </is>
      </c>
    </row>
    <row r="116">
      <c r="A116" t="inlineStr">
        <is>
          <t>No</t>
        </is>
      </c>
      <c r="B116" t="inlineStr">
        <is>
          <t>CUHSL</t>
        </is>
      </c>
      <c r="C116" t="inlineStr">
        <is>
          <t>SHELVES</t>
        </is>
      </c>
      <c r="D116" t="inlineStr">
        <is>
          <t>WA 292 P2218 1997</t>
        </is>
      </c>
      <c r="E116" t="inlineStr">
        <is>
          <t>0                      WA 0292000P  2218        1997</t>
        </is>
      </c>
      <c r="F116" t="inlineStr">
        <is>
          <t>Paramedic field care : a complaint-based approach / chief editors, Peter T. Pons, Debra Cason.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St. Louis : Mosby Lifeline, c1997.</t>
        </is>
      </c>
      <c r="O116" t="inlineStr">
        <is>
          <t>1997</t>
        </is>
      </c>
      <c r="Q116" t="inlineStr">
        <is>
          <t>eng</t>
        </is>
      </c>
      <c r="R116" t="inlineStr">
        <is>
          <t>mou</t>
        </is>
      </c>
      <c r="T116" t="inlineStr">
        <is>
          <t xml:space="preserve">WA </t>
        </is>
      </c>
      <c r="U116" t="n">
        <v>2</v>
      </c>
      <c r="V116" t="n">
        <v>2</v>
      </c>
      <c r="W116" t="inlineStr">
        <is>
          <t>2003-11-22</t>
        </is>
      </c>
      <c r="X116" t="inlineStr">
        <is>
          <t>2003-11-22</t>
        </is>
      </c>
      <c r="Y116" t="inlineStr">
        <is>
          <t>1997-12-15</t>
        </is>
      </c>
      <c r="Z116" t="inlineStr">
        <is>
          <t>1997-12-15</t>
        </is>
      </c>
      <c r="AA116" t="n">
        <v>101</v>
      </c>
      <c r="AB116" t="n">
        <v>82</v>
      </c>
      <c r="AC116" t="n">
        <v>87</v>
      </c>
      <c r="AD116" t="n">
        <v>1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HYPERLINK("https://creighton-primo.hosted.exlibrisgroup.com/primo-explore/search?tab=default_tab&amp;search_scope=EVERYTHING&amp;vid=01CRU&amp;lang=en_US&amp;offset=0&amp;query=any,contains,991001269469702656","Catalog Record")</f>
        <v/>
      </c>
      <c r="AV116">
        <f>HYPERLINK("http://www.worldcat.org/oclc/36923358","WorldCat Record")</f>
        <v/>
      </c>
      <c r="AW116" t="inlineStr">
        <is>
          <t>41110392:eng</t>
        </is>
      </c>
      <c r="AX116" t="inlineStr">
        <is>
          <t>36923358</t>
        </is>
      </c>
      <c r="AY116" t="inlineStr">
        <is>
          <t>991001269469702656</t>
        </is>
      </c>
      <c r="AZ116" t="inlineStr">
        <is>
          <t>991001269469702656</t>
        </is>
      </c>
      <c r="BA116" t="inlineStr">
        <is>
          <t>2271826630002656</t>
        </is>
      </c>
      <c r="BB116" t="inlineStr">
        <is>
          <t>BOOK</t>
        </is>
      </c>
      <c r="BD116" t="inlineStr">
        <is>
          <t>9780801663611</t>
        </is>
      </c>
      <c r="BE116" t="inlineStr">
        <is>
          <t>30001003694454</t>
        </is>
      </c>
      <c r="BF116" t="inlineStr">
        <is>
          <t>893278919</t>
        </is>
      </c>
    </row>
    <row r="117">
      <c r="A117" t="inlineStr">
        <is>
          <t>No</t>
        </is>
      </c>
      <c r="B117" t="inlineStr">
        <is>
          <t>CUHSL</t>
        </is>
      </c>
      <c r="C117" t="inlineStr">
        <is>
          <t>SHELVES</t>
        </is>
      </c>
      <c r="D117" t="inlineStr">
        <is>
          <t>WA 292 T549t 1988</t>
        </is>
      </c>
      <c r="E117" t="inlineStr">
        <is>
          <t>0                      WA 0292000T  549t        1988</t>
        </is>
      </c>
      <c r="F117" t="inlineStr">
        <is>
          <t>Teaching first aid resource book / Alton L. Thygerson.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Thygerson, Alton L.</t>
        </is>
      </c>
      <c r="N117" t="inlineStr">
        <is>
          <t>Boston : Jones and Bartlett, c1988.</t>
        </is>
      </c>
      <c r="O117" t="inlineStr">
        <is>
          <t>1988</t>
        </is>
      </c>
      <c r="Q117" t="inlineStr">
        <is>
          <t>eng</t>
        </is>
      </c>
      <c r="R117" t="inlineStr">
        <is>
          <t>mau</t>
        </is>
      </c>
      <c r="T117" t="inlineStr">
        <is>
          <t xml:space="preserve">WA </t>
        </is>
      </c>
      <c r="U117" t="n">
        <v>6</v>
      </c>
      <c r="V117" t="n">
        <v>6</v>
      </c>
      <c r="W117" t="inlineStr">
        <is>
          <t>1989-06-14</t>
        </is>
      </c>
      <c r="X117" t="inlineStr">
        <is>
          <t>1989-06-14</t>
        </is>
      </c>
      <c r="Y117" t="inlineStr">
        <is>
          <t>1988-08-24</t>
        </is>
      </c>
      <c r="Z117" t="inlineStr">
        <is>
          <t>1988-08-24</t>
        </is>
      </c>
      <c r="AA117" t="n">
        <v>8</v>
      </c>
      <c r="AB117" t="n">
        <v>8</v>
      </c>
      <c r="AC117" t="n">
        <v>8</v>
      </c>
      <c r="AD117" t="n">
        <v>1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HYPERLINK("https://creighton-primo.hosted.exlibrisgroup.com/primo-explore/search?tab=default_tab&amp;search_scope=EVERYTHING&amp;vid=01CRU&amp;lang=en_US&amp;offset=0&amp;query=any,contains,991001414599702656","Catalog Record")</f>
        <v/>
      </c>
      <c r="AV117">
        <f>HYPERLINK("http://www.worldcat.org/oclc/18321172","WorldCat Record")</f>
        <v/>
      </c>
      <c r="AW117" t="inlineStr">
        <is>
          <t>17542705:eng</t>
        </is>
      </c>
      <c r="AX117" t="inlineStr">
        <is>
          <t>18321172</t>
        </is>
      </c>
      <c r="AY117" t="inlineStr">
        <is>
          <t>991001414599702656</t>
        </is>
      </c>
      <c r="AZ117" t="inlineStr">
        <is>
          <t>991001414599702656</t>
        </is>
      </c>
      <c r="BA117" t="inlineStr">
        <is>
          <t>2256890600002656</t>
        </is>
      </c>
      <c r="BB117" t="inlineStr">
        <is>
          <t>BOOK</t>
        </is>
      </c>
      <c r="BD117" t="inlineStr">
        <is>
          <t>9780867200966</t>
        </is>
      </c>
      <c r="BE117" t="inlineStr">
        <is>
          <t>30001001180019</t>
        </is>
      </c>
      <c r="BF117" t="inlineStr">
        <is>
          <t>893358560</t>
        </is>
      </c>
    </row>
    <row r="118">
      <c r="A118" t="inlineStr">
        <is>
          <t>No</t>
        </is>
      </c>
      <c r="B118" t="inlineStr">
        <is>
          <t>CUHSL</t>
        </is>
      </c>
      <c r="C118" t="inlineStr">
        <is>
          <t>SHELVES</t>
        </is>
      </c>
      <c r="D118" t="inlineStr">
        <is>
          <t>WA295 D611 2006</t>
        </is>
      </c>
      <c r="E118" t="inlineStr">
        <is>
          <t>0                      WA 0295000D  611         2006</t>
        </is>
      </c>
      <c r="F118" t="inlineStr">
        <is>
          <t>Disaster medicine / [editor-in-chief] Gregory R. Ciottone ; associate editors, Philip D. Anderson ... [et al.].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Philadelphia, PA : Mosby Elsevier, c2006.</t>
        </is>
      </c>
      <c r="O118" t="inlineStr">
        <is>
          <t>2006</t>
        </is>
      </c>
      <c r="P118" t="inlineStr">
        <is>
          <t>1st ed.</t>
        </is>
      </c>
      <c r="Q118" t="inlineStr">
        <is>
          <t>eng</t>
        </is>
      </c>
      <c r="R118" t="inlineStr">
        <is>
          <t>pau</t>
        </is>
      </c>
      <c r="T118" t="inlineStr">
        <is>
          <t xml:space="preserve">WA </t>
        </is>
      </c>
      <c r="U118" t="n">
        <v>5</v>
      </c>
      <c r="V118" t="n">
        <v>5</v>
      </c>
      <c r="W118" t="inlineStr">
        <is>
          <t>2010-11-02</t>
        </is>
      </c>
      <c r="X118" t="inlineStr">
        <is>
          <t>2010-11-02</t>
        </is>
      </c>
      <c r="Y118" t="inlineStr">
        <is>
          <t>2006-08-29</t>
        </is>
      </c>
      <c r="Z118" t="inlineStr">
        <is>
          <t>2006-08-29</t>
        </is>
      </c>
      <c r="AA118" t="n">
        <v>203</v>
      </c>
      <c r="AB118" t="n">
        <v>145</v>
      </c>
      <c r="AC118" t="n">
        <v>269</v>
      </c>
      <c r="AD118" t="n">
        <v>1</v>
      </c>
      <c r="AE118" t="n">
        <v>2</v>
      </c>
      <c r="AF118" t="n">
        <v>4</v>
      </c>
      <c r="AG118" t="n">
        <v>10</v>
      </c>
      <c r="AH118" t="n">
        <v>1</v>
      </c>
      <c r="AI118" t="n">
        <v>2</v>
      </c>
      <c r="AJ118" t="n">
        <v>1</v>
      </c>
      <c r="AK118" t="n">
        <v>3</v>
      </c>
      <c r="AL118" t="n">
        <v>1</v>
      </c>
      <c r="AM118" t="n">
        <v>4</v>
      </c>
      <c r="AN118" t="n">
        <v>0</v>
      </c>
      <c r="AO118" t="n">
        <v>1</v>
      </c>
      <c r="AP118" t="n">
        <v>1</v>
      </c>
      <c r="AQ118" t="n">
        <v>1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HYPERLINK("http://catalog.hathitrust.org/Record/005250376","HathiTrust Record")</f>
        <v/>
      </c>
      <c r="AU118">
        <f>HYPERLINK("https://creighton-primo.hosted.exlibrisgroup.com/primo-explore/search?tab=default_tab&amp;search_scope=EVERYTHING&amp;vid=01CRU&amp;lang=en_US&amp;offset=0&amp;query=any,contains,991000532779702656","Catalog Record")</f>
        <v/>
      </c>
      <c r="AV118">
        <f>HYPERLINK("http://www.worldcat.org/oclc/59003652","WorldCat Record")</f>
        <v/>
      </c>
      <c r="AW118" t="inlineStr">
        <is>
          <t>1017347790:eng</t>
        </is>
      </c>
      <c r="AX118" t="inlineStr">
        <is>
          <t>59003652</t>
        </is>
      </c>
      <c r="AY118" t="inlineStr">
        <is>
          <t>991000532779702656</t>
        </is>
      </c>
      <c r="AZ118" t="inlineStr">
        <is>
          <t>991000532779702656</t>
        </is>
      </c>
      <c r="BA118" t="inlineStr">
        <is>
          <t>2255492980002656</t>
        </is>
      </c>
      <c r="BB118" t="inlineStr">
        <is>
          <t>BOOK</t>
        </is>
      </c>
      <c r="BD118" t="inlineStr">
        <is>
          <t>9780323032537</t>
        </is>
      </c>
      <c r="BE118" t="inlineStr">
        <is>
          <t>30001005170073</t>
        </is>
      </c>
      <c r="BF118" t="inlineStr">
        <is>
          <t>893462978</t>
        </is>
      </c>
    </row>
    <row r="119">
      <c r="A119" t="inlineStr">
        <is>
          <t>No</t>
        </is>
      </c>
      <c r="B119" t="inlineStr">
        <is>
          <t>CUHSL</t>
        </is>
      </c>
      <c r="C119" t="inlineStr">
        <is>
          <t>SHELVES</t>
        </is>
      </c>
      <c r="D119" t="inlineStr">
        <is>
          <t>WA 295 D612 2008</t>
        </is>
      </c>
      <c r="E119" t="inlineStr">
        <is>
          <t>0                      WA 0295000D  612         2008</t>
        </is>
      </c>
      <c r="F119" t="inlineStr">
        <is>
          <t>Dispensing medical countermeasures for public health emergencies : workshop summary / Miriam Davis, Marnina S. Kammersall, and Bruce M. Altevogt, rapporteurs ; Forum on Medical and Public Health Preparedness for Catastrophic Events, Board on Health Sciences Policy, Institute of Medicine of the National Academies.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2</t>
        </is>
      </c>
      <c r="N119" t="inlineStr">
        <is>
          <t>Washington, D.C. : National Academies Press, c2008.</t>
        </is>
      </c>
      <c r="O119" t="inlineStr">
        <is>
          <t>2008</t>
        </is>
      </c>
      <c r="Q119" t="inlineStr">
        <is>
          <t>eng</t>
        </is>
      </c>
      <c r="R119" t="inlineStr">
        <is>
          <t>dcu</t>
        </is>
      </c>
      <c r="T119" t="inlineStr">
        <is>
          <t xml:space="preserve">WA </t>
        </is>
      </c>
      <c r="U119" t="n">
        <v>3</v>
      </c>
      <c r="V119" t="n">
        <v>3</v>
      </c>
      <c r="W119" t="inlineStr">
        <is>
          <t>2010-11-02</t>
        </is>
      </c>
      <c r="X119" t="inlineStr">
        <is>
          <t>2010-11-02</t>
        </is>
      </c>
      <c r="Y119" t="inlineStr">
        <is>
          <t>2009-06-29</t>
        </is>
      </c>
      <c r="Z119" t="inlineStr">
        <is>
          <t>2009-06-29</t>
        </is>
      </c>
      <c r="AA119" t="n">
        <v>87</v>
      </c>
      <c r="AB119" t="n">
        <v>79</v>
      </c>
      <c r="AC119" t="n">
        <v>1113</v>
      </c>
      <c r="AD119" t="n">
        <v>1</v>
      </c>
      <c r="AE119" t="n">
        <v>14</v>
      </c>
      <c r="AF119" t="n">
        <v>0</v>
      </c>
      <c r="AG119" t="n">
        <v>41</v>
      </c>
      <c r="AH119" t="n">
        <v>0</v>
      </c>
      <c r="AI119" t="n">
        <v>12</v>
      </c>
      <c r="AJ119" t="n">
        <v>0</v>
      </c>
      <c r="AK119" t="n">
        <v>9</v>
      </c>
      <c r="AL119" t="n">
        <v>0</v>
      </c>
      <c r="AM119" t="n">
        <v>12</v>
      </c>
      <c r="AN119" t="n">
        <v>0</v>
      </c>
      <c r="AO119" t="n">
        <v>12</v>
      </c>
      <c r="AP119" t="n">
        <v>0</v>
      </c>
      <c r="AQ119" t="n">
        <v>2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HYPERLINK("https://creighton-primo.hosted.exlibrisgroup.com/primo-explore/search?tab=default_tab&amp;search_scope=EVERYTHING&amp;vid=01CRU&amp;lang=en_US&amp;offset=0&amp;query=any,contains,991001474399702656","Catalog Record")</f>
        <v/>
      </c>
      <c r="AV119">
        <f>HYPERLINK("http://www.worldcat.org/oclc/252583833","WorldCat Record")</f>
        <v/>
      </c>
      <c r="AW119" t="inlineStr">
        <is>
          <t>799837700:eng</t>
        </is>
      </c>
      <c r="AX119" t="inlineStr">
        <is>
          <t>252583833</t>
        </is>
      </c>
      <c r="AY119" t="inlineStr">
        <is>
          <t>991001474399702656</t>
        </is>
      </c>
      <c r="AZ119" t="inlineStr">
        <is>
          <t>991001474399702656</t>
        </is>
      </c>
      <c r="BA119" t="inlineStr">
        <is>
          <t>2261341930002656</t>
        </is>
      </c>
      <c r="BB119" t="inlineStr">
        <is>
          <t>BOOK</t>
        </is>
      </c>
      <c r="BD119" t="inlineStr">
        <is>
          <t>9780309120968</t>
        </is>
      </c>
      <c r="BE119" t="inlineStr">
        <is>
          <t>30001004917946</t>
        </is>
      </c>
      <c r="BF119" t="inlineStr">
        <is>
          <t>893741152</t>
        </is>
      </c>
    </row>
    <row r="120">
      <c r="A120" t="inlineStr">
        <is>
          <t>No</t>
        </is>
      </c>
      <c r="B120" t="inlineStr">
        <is>
          <t>CUHSL</t>
        </is>
      </c>
      <c r="C120" t="inlineStr">
        <is>
          <t>SHELVES</t>
        </is>
      </c>
      <c r="D120" t="inlineStr">
        <is>
          <t>WA 295 E54 2002</t>
        </is>
      </c>
      <c r="E120" t="inlineStr">
        <is>
          <t>0                      WA 0295000E  54          2002</t>
        </is>
      </c>
      <c r="F120" t="inlineStr">
        <is>
          <t>Emergency preparedness : bioterrorism and beyond / Elaine R. Rubin, Marian Osterweis, Lisa M. Lindeman, editors.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Washington, DC : Association of Academic Health Centers, c2002.</t>
        </is>
      </c>
      <c r="O120" t="inlineStr">
        <is>
          <t>2002</t>
        </is>
      </c>
      <c r="Q120" t="inlineStr">
        <is>
          <t>eng</t>
        </is>
      </c>
      <c r="R120" t="inlineStr">
        <is>
          <t>dcu</t>
        </is>
      </c>
      <c r="T120" t="inlineStr">
        <is>
          <t xml:space="preserve">WA </t>
        </is>
      </c>
      <c r="U120" t="n">
        <v>0</v>
      </c>
      <c r="V120" t="n">
        <v>0</v>
      </c>
      <c r="W120" t="inlineStr">
        <is>
          <t>2007-11-26</t>
        </is>
      </c>
      <c r="X120" t="inlineStr">
        <is>
          <t>2007-11-26</t>
        </is>
      </c>
      <c r="Y120" t="inlineStr">
        <is>
          <t>2007-11-26</t>
        </is>
      </c>
      <c r="Z120" t="inlineStr">
        <is>
          <t>2007-11-26</t>
        </is>
      </c>
      <c r="AA120" t="n">
        <v>27</v>
      </c>
      <c r="AB120" t="n">
        <v>27</v>
      </c>
      <c r="AC120" t="n">
        <v>32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HYPERLINK("https://creighton-primo.hosted.exlibrisgroup.com/primo-explore/search?tab=default_tab&amp;search_scope=EVERYTHING&amp;vid=01CRU&amp;lang=en_US&amp;offset=0&amp;query=any,contains,991000663379702656","Catalog Record")</f>
        <v/>
      </c>
      <c r="AV120">
        <f>HYPERLINK("http://www.worldcat.org/oclc/50072549","WorldCat Record")</f>
        <v/>
      </c>
      <c r="AW120" t="inlineStr">
        <is>
          <t>6266859:eng</t>
        </is>
      </c>
      <c r="AX120" t="inlineStr">
        <is>
          <t>50072549</t>
        </is>
      </c>
      <c r="AY120" t="inlineStr">
        <is>
          <t>991000663379702656</t>
        </is>
      </c>
      <c r="AZ120" t="inlineStr">
        <is>
          <t>991000663379702656</t>
        </is>
      </c>
      <c r="BA120" t="inlineStr">
        <is>
          <t>2270796000002656</t>
        </is>
      </c>
      <c r="BB120" t="inlineStr">
        <is>
          <t>BOOK</t>
        </is>
      </c>
      <c r="BD120" t="inlineStr">
        <is>
          <t>9781879694224</t>
        </is>
      </c>
      <c r="BE120" t="inlineStr">
        <is>
          <t>30001005272960</t>
        </is>
      </c>
      <c r="BF120" t="inlineStr">
        <is>
          <t>893357276</t>
        </is>
      </c>
    </row>
    <row r="121">
      <c r="A121" t="inlineStr">
        <is>
          <t>No</t>
        </is>
      </c>
      <c r="B121" t="inlineStr">
        <is>
          <t>CUHSL</t>
        </is>
      </c>
      <c r="C121" t="inlineStr">
        <is>
          <t>SHELVES</t>
        </is>
      </c>
      <c r="D121" t="inlineStr">
        <is>
          <t>WA295 M489 2005</t>
        </is>
      </c>
      <c r="E121" t="inlineStr">
        <is>
          <t>0                      WA 0295000M  489         2005</t>
        </is>
      </c>
      <c r="F121" t="inlineStr">
        <is>
          <t>Medical response to terrorism : preparedness and clinical practice / editor-in-chief, Daniel C. Keyes ; editors, Jonathan L. Burstein, Richard B. Schwartz, Raymond E. Swienton.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Philadelphia : Lippincott Williams &amp; Wilkins, c2005.</t>
        </is>
      </c>
      <c r="O121" t="inlineStr">
        <is>
          <t>2005</t>
        </is>
      </c>
      <c r="Q121" t="inlineStr">
        <is>
          <t>eng</t>
        </is>
      </c>
      <c r="R121" t="inlineStr">
        <is>
          <t>pau</t>
        </is>
      </c>
      <c r="T121" t="inlineStr">
        <is>
          <t xml:space="preserve">WA </t>
        </is>
      </c>
      <c r="U121" t="n">
        <v>2</v>
      </c>
      <c r="V121" t="n">
        <v>2</v>
      </c>
      <c r="W121" t="inlineStr">
        <is>
          <t>2006-12-13</t>
        </is>
      </c>
      <c r="X121" t="inlineStr">
        <is>
          <t>2006-12-13</t>
        </is>
      </c>
      <c r="Y121" t="inlineStr">
        <is>
          <t>2006-08-29</t>
        </is>
      </c>
      <c r="Z121" t="inlineStr">
        <is>
          <t>2006-08-29</t>
        </is>
      </c>
      <c r="AA121" t="n">
        <v>238</v>
      </c>
      <c r="AB121" t="n">
        <v>205</v>
      </c>
      <c r="AC121" t="n">
        <v>604</v>
      </c>
      <c r="AD121" t="n">
        <v>2</v>
      </c>
      <c r="AE121" t="n">
        <v>6</v>
      </c>
      <c r="AF121" t="n">
        <v>4</v>
      </c>
      <c r="AG121" t="n">
        <v>27</v>
      </c>
      <c r="AH121" t="n">
        <v>1</v>
      </c>
      <c r="AI121" t="n">
        <v>8</v>
      </c>
      <c r="AJ121" t="n">
        <v>1</v>
      </c>
      <c r="AK121" t="n">
        <v>8</v>
      </c>
      <c r="AL121" t="n">
        <v>1</v>
      </c>
      <c r="AM121" t="n">
        <v>8</v>
      </c>
      <c r="AN121" t="n">
        <v>1</v>
      </c>
      <c r="AO121" t="n">
        <v>5</v>
      </c>
      <c r="AP121" t="n">
        <v>0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HYPERLINK("https://creighton-primo.hosted.exlibrisgroup.com/primo-explore/search?tab=default_tab&amp;search_scope=EVERYTHING&amp;vid=01CRU&amp;lang=en_US&amp;offset=0&amp;query=any,contains,991000532809702656","Catalog Record")</f>
        <v/>
      </c>
      <c r="AV121">
        <f>HYPERLINK("http://www.worldcat.org/oclc/56404903","WorldCat Record")</f>
        <v/>
      </c>
      <c r="AW121" t="inlineStr">
        <is>
          <t>364640599:eng</t>
        </is>
      </c>
      <c r="AX121" t="inlineStr">
        <is>
          <t>56404903</t>
        </is>
      </c>
      <c r="AY121" t="inlineStr">
        <is>
          <t>991000532809702656</t>
        </is>
      </c>
      <c r="AZ121" t="inlineStr">
        <is>
          <t>991000532809702656</t>
        </is>
      </c>
      <c r="BA121" t="inlineStr">
        <is>
          <t>2270503440002656</t>
        </is>
      </c>
      <c r="BB121" t="inlineStr">
        <is>
          <t>BOOK</t>
        </is>
      </c>
      <c r="BD121" t="inlineStr">
        <is>
          <t>9780781749862</t>
        </is>
      </c>
      <c r="BE121" t="inlineStr">
        <is>
          <t>30001005170131</t>
        </is>
      </c>
      <c r="BF121" t="inlineStr">
        <is>
          <t>893829236</t>
        </is>
      </c>
    </row>
    <row r="122">
      <c r="A122" t="inlineStr">
        <is>
          <t>No</t>
        </is>
      </c>
      <c r="B122" t="inlineStr">
        <is>
          <t>CUHSL</t>
        </is>
      </c>
      <c r="C122" t="inlineStr">
        <is>
          <t>SHELVES</t>
        </is>
      </c>
      <c r="D122" t="inlineStr">
        <is>
          <t>WA300 A1694 2004</t>
        </is>
      </c>
      <c r="E122" t="inlineStr">
        <is>
          <t>0                      WA 0300000A  1694        2004</t>
        </is>
      </c>
      <c r="F122" t="inlineStr">
        <is>
          <t>Accessing health care : responding to diversity / edited by Judith Healy and Martin McKee.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Oxford : Oxford University Press, 2004.</t>
        </is>
      </c>
      <c r="O122" t="inlineStr">
        <is>
          <t>2004</t>
        </is>
      </c>
      <c r="Q122" t="inlineStr">
        <is>
          <t>eng</t>
        </is>
      </c>
      <c r="R122" t="inlineStr">
        <is>
          <t>enk</t>
        </is>
      </c>
      <c r="T122" t="inlineStr">
        <is>
          <t xml:space="preserve">WA </t>
        </is>
      </c>
      <c r="U122" t="n">
        <v>1</v>
      </c>
      <c r="V122" t="n">
        <v>1</v>
      </c>
      <c r="W122" t="inlineStr">
        <is>
          <t>2010-09-16</t>
        </is>
      </c>
      <c r="X122" t="inlineStr">
        <is>
          <t>2010-09-16</t>
        </is>
      </c>
      <c r="Y122" t="inlineStr">
        <is>
          <t>2006-04-10</t>
        </is>
      </c>
      <c r="Z122" t="inlineStr">
        <is>
          <t>2006-04-10</t>
        </is>
      </c>
      <c r="AA122" t="n">
        <v>261</v>
      </c>
      <c r="AB122" t="n">
        <v>162</v>
      </c>
      <c r="AC122" t="n">
        <v>220</v>
      </c>
      <c r="AD122" t="n">
        <v>1</v>
      </c>
      <c r="AE122" t="n">
        <v>1</v>
      </c>
      <c r="AF122" t="n">
        <v>7</v>
      </c>
      <c r="AG122" t="n">
        <v>10</v>
      </c>
      <c r="AH122" t="n">
        <v>0</v>
      </c>
      <c r="AI122" t="n">
        <v>0</v>
      </c>
      <c r="AJ122" t="n">
        <v>3</v>
      </c>
      <c r="AK122" t="n">
        <v>6</v>
      </c>
      <c r="AL122" t="n">
        <v>5</v>
      </c>
      <c r="AM122" t="n">
        <v>6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HYPERLINK("https://creighton-primo.hosted.exlibrisgroup.com/primo-explore/search?tab=default_tab&amp;search_scope=EVERYTHING&amp;vid=01CRU&amp;lang=en_US&amp;offset=0&amp;query=any,contains,991000473729702656","Catalog Record")</f>
        <v/>
      </c>
      <c r="AV122">
        <f>HYPERLINK("http://www.worldcat.org/oclc/55037645","WorldCat Record")</f>
        <v/>
      </c>
      <c r="AW122" t="inlineStr">
        <is>
          <t>364777275:eng</t>
        </is>
      </c>
      <c r="AX122" t="inlineStr">
        <is>
          <t>55037645</t>
        </is>
      </c>
      <c r="AY122" t="inlineStr">
        <is>
          <t>991000473729702656</t>
        </is>
      </c>
      <c r="AZ122" t="inlineStr">
        <is>
          <t>991000473729702656</t>
        </is>
      </c>
      <c r="BA122" t="inlineStr">
        <is>
          <t>2272638860002656</t>
        </is>
      </c>
      <c r="BB122" t="inlineStr">
        <is>
          <t>BOOK</t>
        </is>
      </c>
      <c r="BD122" t="inlineStr">
        <is>
          <t>9780198516187</t>
        </is>
      </c>
      <c r="BE122" t="inlineStr">
        <is>
          <t>30001004914349</t>
        </is>
      </c>
      <c r="BF122" t="inlineStr">
        <is>
          <t>893447369</t>
        </is>
      </c>
    </row>
    <row r="123">
      <c r="A123" t="inlineStr">
        <is>
          <t>No</t>
        </is>
      </c>
      <c r="B123" t="inlineStr">
        <is>
          <t>CUHSL</t>
        </is>
      </c>
      <c r="C123" t="inlineStr">
        <is>
          <t>SHELVES</t>
        </is>
      </c>
      <c r="D123" t="inlineStr">
        <is>
          <t>WA 300 A221a 1993</t>
        </is>
      </c>
      <c r="E123" t="inlineStr">
        <is>
          <t>0                      WA 0300000A  221a        1993</t>
        </is>
      </c>
      <c r="F123" t="inlineStr">
        <is>
          <t>At risk in America : the health and health care needs of vulnerable populations in the United States / Lu Ann Aday.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Yes</t>
        </is>
      </c>
      <c r="L123" t="inlineStr">
        <is>
          <t>0</t>
        </is>
      </c>
      <c r="M123" t="inlineStr">
        <is>
          <t>Aday, Lu Ann.</t>
        </is>
      </c>
      <c r="N123" t="inlineStr">
        <is>
          <t>San Francisco : Jossey-Bass Publishers, c1993.</t>
        </is>
      </c>
      <c r="O123" t="inlineStr">
        <is>
          <t>1993</t>
        </is>
      </c>
      <c r="P123" t="inlineStr">
        <is>
          <t>1st ed.</t>
        </is>
      </c>
      <c r="Q123" t="inlineStr">
        <is>
          <t>eng</t>
        </is>
      </c>
      <c r="R123" t="inlineStr">
        <is>
          <t>cau</t>
        </is>
      </c>
      <c r="S123" t="inlineStr">
        <is>
          <t>The Jossey-Bass health series.</t>
        </is>
      </c>
      <c r="T123" t="inlineStr">
        <is>
          <t xml:space="preserve">WA </t>
        </is>
      </c>
      <c r="U123" t="n">
        <v>21</v>
      </c>
      <c r="V123" t="n">
        <v>21</v>
      </c>
      <c r="W123" t="inlineStr">
        <is>
          <t>2002-06-17</t>
        </is>
      </c>
      <c r="X123" t="inlineStr">
        <is>
          <t>2002-06-17</t>
        </is>
      </c>
      <c r="Y123" t="inlineStr">
        <is>
          <t>1993-03-11</t>
        </is>
      </c>
      <c r="Z123" t="inlineStr">
        <is>
          <t>1993-03-11</t>
        </is>
      </c>
      <c r="AA123" t="n">
        <v>495</v>
      </c>
      <c r="AB123" t="n">
        <v>464</v>
      </c>
      <c r="AC123" t="n">
        <v>1661</v>
      </c>
      <c r="AD123" t="n">
        <v>5</v>
      </c>
      <c r="AE123" t="n">
        <v>8</v>
      </c>
      <c r="AF123" t="n">
        <v>21</v>
      </c>
      <c r="AG123" t="n">
        <v>46</v>
      </c>
      <c r="AH123" t="n">
        <v>4</v>
      </c>
      <c r="AI123" t="n">
        <v>18</v>
      </c>
      <c r="AJ123" t="n">
        <v>6</v>
      </c>
      <c r="AK123" t="n">
        <v>11</v>
      </c>
      <c r="AL123" t="n">
        <v>11</v>
      </c>
      <c r="AM123" t="n">
        <v>19</v>
      </c>
      <c r="AN123" t="n">
        <v>4</v>
      </c>
      <c r="AO123" t="n">
        <v>6</v>
      </c>
      <c r="AP123" t="n">
        <v>1</v>
      </c>
      <c r="AQ123" t="n">
        <v>1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HYPERLINK("https://creighton-primo.hosted.exlibrisgroup.com/primo-explore/search?tab=default_tab&amp;search_scope=EVERYTHING&amp;vid=01CRU&amp;lang=en_US&amp;offset=0&amp;query=any,contains,991001479459702656","Catalog Record")</f>
        <v/>
      </c>
      <c r="AV123">
        <f>HYPERLINK("http://www.worldcat.org/oclc/26766739","WorldCat Record")</f>
        <v/>
      </c>
      <c r="AW123" t="inlineStr">
        <is>
          <t>797139010:eng</t>
        </is>
      </c>
      <c r="AX123" t="inlineStr">
        <is>
          <t>26766739</t>
        </is>
      </c>
      <c r="AY123" t="inlineStr">
        <is>
          <t>991001479459702656</t>
        </is>
      </c>
      <c r="AZ123" t="inlineStr">
        <is>
          <t>991001479459702656</t>
        </is>
      </c>
      <c r="BA123" t="inlineStr">
        <is>
          <t>2269055630002656</t>
        </is>
      </c>
      <c r="BB123" t="inlineStr">
        <is>
          <t>BOOK</t>
        </is>
      </c>
      <c r="BD123" t="inlineStr">
        <is>
          <t>9781555425036</t>
        </is>
      </c>
      <c r="BE123" t="inlineStr">
        <is>
          <t>30001002566349</t>
        </is>
      </c>
      <c r="BF123" t="inlineStr">
        <is>
          <t>893467988</t>
        </is>
      </c>
    </row>
    <row r="124">
      <c r="A124" t="inlineStr">
        <is>
          <t>No</t>
        </is>
      </c>
      <c r="B124" t="inlineStr">
        <is>
          <t>CUHSL</t>
        </is>
      </c>
      <c r="C124" t="inlineStr">
        <is>
          <t>SHELVES</t>
        </is>
      </c>
      <c r="D124" t="inlineStr">
        <is>
          <t>WA 300 A376n 1994</t>
        </is>
      </c>
      <c r="E124" t="inlineStr">
        <is>
          <t>0                      WA 0300000A  376n        1994</t>
        </is>
      </c>
      <c r="F124" t="inlineStr">
        <is>
          <t>New dimensions in women's health / Linda Lewis Alexander, Judith H. LaRosa.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Yes</t>
        </is>
      </c>
      <c r="L124" t="inlineStr">
        <is>
          <t>0</t>
        </is>
      </c>
      <c r="M124" t="inlineStr">
        <is>
          <t>Alexander, Linda Lewis.</t>
        </is>
      </c>
      <c r="N124" t="inlineStr">
        <is>
          <t>Boston : Jones and Bartlett Publishers, c1994.</t>
        </is>
      </c>
      <c r="O124" t="inlineStr">
        <is>
          <t>1994</t>
        </is>
      </c>
      <c r="Q124" t="inlineStr">
        <is>
          <t>eng</t>
        </is>
      </c>
      <c r="R124" t="inlineStr">
        <is>
          <t>cau</t>
        </is>
      </c>
      <c r="S124" t="inlineStr">
        <is>
          <t>The Jones &amp; Barlett series in health sciences.</t>
        </is>
      </c>
      <c r="T124" t="inlineStr">
        <is>
          <t xml:space="preserve">WA </t>
        </is>
      </c>
      <c r="U124" t="n">
        <v>10</v>
      </c>
      <c r="V124" t="n">
        <v>10</v>
      </c>
      <c r="W124" t="inlineStr">
        <is>
          <t>1994-05-12</t>
        </is>
      </c>
      <c r="X124" t="inlineStr">
        <is>
          <t>1994-05-12</t>
        </is>
      </c>
      <c r="Y124" t="inlineStr">
        <is>
          <t>1994-05-05</t>
        </is>
      </c>
      <c r="Z124" t="inlineStr">
        <is>
          <t>1994-05-05</t>
        </is>
      </c>
      <c r="AA124" t="n">
        <v>276</v>
      </c>
      <c r="AB124" t="n">
        <v>216</v>
      </c>
      <c r="AC124" t="n">
        <v>595</v>
      </c>
      <c r="AD124" t="n">
        <v>1</v>
      </c>
      <c r="AE124" t="n">
        <v>4</v>
      </c>
      <c r="AF124" t="n">
        <v>4</v>
      </c>
      <c r="AG124" t="n">
        <v>25</v>
      </c>
      <c r="AH124" t="n">
        <v>2</v>
      </c>
      <c r="AI124" t="n">
        <v>13</v>
      </c>
      <c r="AJ124" t="n">
        <v>1</v>
      </c>
      <c r="AK124" t="n">
        <v>5</v>
      </c>
      <c r="AL124" t="n">
        <v>4</v>
      </c>
      <c r="AM124" t="n">
        <v>11</v>
      </c>
      <c r="AN124" t="n">
        <v>0</v>
      </c>
      <c r="AO124" t="n">
        <v>3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HYPERLINK("http://catalog.hathitrust.org/Record/004531544","HathiTrust Record")</f>
        <v/>
      </c>
      <c r="AU124">
        <f>HYPERLINK("https://creighton-primo.hosted.exlibrisgroup.com/primo-explore/search?tab=default_tab&amp;search_scope=EVERYTHING&amp;vid=01CRU&amp;lang=en_US&amp;offset=0&amp;query=any,contains,991001196409702656","Catalog Record")</f>
        <v/>
      </c>
      <c r="AV124">
        <f>HYPERLINK("http://www.worldcat.org/oclc/29668482","WorldCat Record")</f>
        <v/>
      </c>
      <c r="AW124" t="inlineStr">
        <is>
          <t>31867453:eng</t>
        </is>
      </c>
      <c r="AX124" t="inlineStr">
        <is>
          <t>29668482</t>
        </is>
      </c>
      <c r="AY124" t="inlineStr">
        <is>
          <t>991001196409702656</t>
        </is>
      </c>
      <c r="AZ124" t="inlineStr">
        <is>
          <t>991001196409702656</t>
        </is>
      </c>
      <c r="BA124" t="inlineStr">
        <is>
          <t>2271089100002656</t>
        </is>
      </c>
      <c r="BB124" t="inlineStr">
        <is>
          <t>BOOK</t>
        </is>
      </c>
      <c r="BD124" t="inlineStr">
        <is>
          <t>9780867207774</t>
        </is>
      </c>
      <c r="BE124" t="inlineStr">
        <is>
          <t>30001002984674</t>
        </is>
      </c>
      <c r="BF124" t="inlineStr">
        <is>
          <t>893465266</t>
        </is>
      </c>
    </row>
    <row r="125">
      <c r="A125" t="inlineStr">
        <is>
          <t>No</t>
        </is>
      </c>
      <c r="B125" t="inlineStr">
        <is>
          <t>CUHSL</t>
        </is>
      </c>
      <c r="C125" t="inlineStr">
        <is>
          <t>SHELVES</t>
        </is>
      </c>
      <c r="D125" t="inlineStr">
        <is>
          <t>WA300 A598 1999</t>
        </is>
      </c>
      <c r="E125" t="inlineStr">
        <is>
          <t>0                      WA 0300000A  598         1999</t>
        </is>
      </c>
      <c r="F125" t="inlineStr">
        <is>
          <t>Animal handlers / Ricky Lee Langley, guest editor.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Philadelphia : Hanley &amp; Belfus, Inc., c1999.</t>
        </is>
      </c>
      <c r="O125" t="inlineStr">
        <is>
          <t>1999</t>
        </is>
      </c>
      <c r="Q125" t="inlineStr">
        <is>
          <t>eng</t>
        </is>
      </c>
      <c r="R125" t="inlineStr">
        <is>
          <t>pau</t>
        </is>
      </c>
      <c r="S125" t="inlineStr">
        <is>
          <t>Occupational medicine, state of the art reviews, 0885-114x ; v. 14, no. 2</t>
        </is>
      </c>
      <c r="T125" t="inlineStr">
        <is>
          <t xml:space="preserve">WA </t>
        </is>
      </c>
      <c r="U125" t="n">
        <v>2</v>
      </c>
      <c r="V125" t="n">
        <v>2</v>
      </c>
      <c r="W125" t="inlineStr">
        <is>
          <t>2004-03-02</t>
        </is>
      </c>
      <c r="X125" t="inlineStr">
        <is>
          <t>2004-03-02</t>
        </is>
      </c>
      <c r="Y125" t="inlineStr">
        <is>
          <t>2004-02-29</t>
        </is>
      </c>
      <c r="Z125" t="inlineStr">
        <is>
          <t>2004-02-29</t>
        </is>
      </c>
      <c r="AA125" t="n">
        <v>52</v>
      </c>
      <c r="AB125" t="n">
        <v>40</v>
      </c>
      <c r="AC125" t="n">
        <v>40</v>
      </c>
      <c r="AD125" t="n">
        <v>1</v>
      </c>
      <c r="AE125" t="n">
        <v>1</v>
      </c>
      <c r="AF125" t="n">
        <v>1</v>
      </c>
      <c r="AG125" t="n">
        <v>1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HYPERLINK("https://creighton-primo.hosted.exlibrisgroup.com/primo-explore/search?tab=default_tab&amp;search_scope=EVERYTHING&amp;vid=01CRU&amp;lang=en_US&amp;offset=0&amp;query=any,contains,991000367169702656","Catalog Record")</f>
        <v/>
      </c>
      <c r="AV125">
        <f>HYPERLINK("http://www.worldcat.org/oclc/41383760","WorldCat Record")</f>
        <v/>
      </c>
      <c r="AW125" t="inlineStr">
        <is>
          <t>27390389:eng</t>
        </is>
      </c>
      <c r="AX125" t="inlineStr">
        <is>
          <t>41383760</t>
        </is>
      </c>
      <c r="AY125" t="inlineStr">
        <is>
          <t>991000367169702656</t>
        </is>
      </c>
      <c r="AZ125" t="inlineStr">
        <is>
          <t>991000367169702656</t>
        </is>
      </c>
      <c r="BA125" t="inlineStr">
        <is>
          <t>2258567510002656</t>
        </is>
      </c>
      <c r="BB125" t="inlineStr">
        <is>
          <t>BOOK</t>
        </is>
      </c>
      <c r="BD125" t="inlineStr">
        <is>
          <t>9781560532866</t>
        </is>
      </c>
      <c r="BE125" t="inlineStr">
        <is>
          <t>30001004509651</t>
        </is>
      </c>
      <c r="BF125" t="inlineStr">
        <is>
          <t>893817042</t>
        </is>
      </c>
    </row>
    <row r="126">
      <c r="A126" t="inlineStr">
        <is>
          <t>No</t>
        </is>
      </c>
      <c r="B126" t="inlineStr">
        <is>
          <t>CUHSL</t>
        </is>
      </c>
      <c r="C126" t="inlineStr">
        <is>
          <t>SHELVES</t>
        </is>
      </c>
      <c r="D126" t="inlineStr">
        <is>
          <t>WA300 A8317 2003</t>
        </is>
      </c>
      <c r="E126" t="inlineStr">
        <is>
          <t>0                      WA 0300000A  8317        2003</t>
        </is>
      </c>
      <c r="F126" t="inlineStr">
        <is>
          <t>Asian Americans : vulnerable populations, model interventions, and clarifying agendas / edited by Lin Zhan.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N126" t="inlineStr">
        <is>
          <t>Sudbury, Mass. : Jones and Bartlett Publishers, c2003.</t>
        </is>
      </c>
      <c r="O126" t="inlineStr">
        <is>
          <t>2003</t>
        </is>
      </c>
      <c r="Q126" t="inlineStr">
        <is>
          <t>eng</t>
        </is>
      </c>
      <c r="R126" t="inlineStr">
        <is>
          <t>mau</t>
        </is>
      </c>
      <c r="T126" t="inlineStr">
        <is>
          <t xml:space="preserve">WA </t>
        </is>
      </c>
      <c r="U126" t="n">
        <v>1</v>
      </c>
      <c r="V126" t="n">
        <v>1</v>
      </c>
      <c r="W126" t="inlineStr">
        <is>
          <t>2004-06-06</t>
        </is>
      </c>
      <c r="X126" t="inlineStr">
        <is>
          <t>2004-06-06</t>
        </is>
      </c>
      <c r="Y126" t="inlineStr">
        <is>
          <t>2004-06-03</t>
        </is>
      </c>
      <c r="Z126" t="inlineStr">
        <is>
          <t>2004-06-03</t>
        </is>
      </c>
      <c r="AA126" t="n">
        <v>216</v>
      </c>
      <c r="AB126" t="n">
        <v>198</v>
      </c>
      <c r="AC126" t="n">
        <v>205</v>
      </c>
      <c r="AD126" t="n">
        <v>1</v>
      </c>
      <c r="AE126" t="n">
        <v>1</v>
      </c>
      <c r="AF126" t="n">
        <v>10</v>
      </c>
      <c r="AG126" t="n">
        <v>10</v>
      </c>
      <c r="AH126" t="n">
        <v>5</v>
      </c>
      <c r="AI126" t="n">
        <v>5</v>
      </c>
      <c r="AJ126" t="n">
        <v>3</v>
      </c>
      <c r="AK126" t="n">
        <v>3</v>
      </c>
      <c r="AL126" t="n">
        <v>5</v>
      </c>
      <c r="AM126" t="n">
        <v>5</v>
      </c>
      <c r="AN126" t="n">
        <v>0</v>
      </c>
      <c r="AO126" t="n">
        <v>0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HYPERLINK("http://catalog.hathitrust.org/Record/004303753","HathiTrust Record")</f>
        <v/>
      </c>
      <c r="AU126">
        <f>HYPERLINK("https://creighton-primo.hosted.exlibrisgroup.com/primo-explore/search?tab=default_tab&amp;search_scope=EVERYTHING&amp;vid=01CRU&amp;lang=en_US&amp;offset=0&amp;query=any,contains,991000370969702656","Catalog Record")</f>
        <v/>
      </c>
      <c r="AV126">
        <f>HYPERLINK("http://www.worldcat.org/oclc/50291118","WorldCat Record")</f>
        <v/>
      </c>
      <c r="AW126" t="inlineStr">
        <is>
          <t>924800785:eng</t>
        </is>
      </c>
      <c r="AX126" t="inlineStr">
        <is>
          <t>50291118</t>
        </is>
      </c>
      <c r="AY126" t="inlineStr">
        <is>
          <t>991000370969702656</t>
        </is>
      </c>
      <c r="AZ126" t="inlineStr">
        <is>
          <t>991000370969702656</t>
        </is>
      </c>
      <c r="BA126" t="inlineStr">
        <is>
          <t>2270347690002656</t>
        </is>
      </c>
      <c r="BB126" t="inlineStr">
        <is>
          <t>BOOK</t>
        </is>
      </c>
      <c r="BD126" t="inlineStr">
        <is>
          <t>9780763722418</t>
        </is>
      </c>
      <c r="BE126" t="inlineStr">
        <is>
          <t>30001004920098</t>
        </is>
      </c>
      <c r="BF126" t="inlineStr">
        <is>
          <t>893109458</t>
        </is>
      </c>
    </row>
    <row r="127">
      <c r="A127" t="inlineStr">
        <is>
          <t>No</t>
        </is>
      </c>
      <c r="B127" t="inlineStr">
        <is>
          <t>CUHSL</t>
        </is>
      </c>
      <c r="C127" t="inlineStr">
        <is>
          <t>SHELVES</t>
        </is>
      </c>
      <c r="D127" t="inlineStr">
        <is>
          <t>WA 300 B938h 1982</t>
        </is>
      </c>
      <c r="E127" t="inlineStr">
        <is>
          <t>0                      WA 0300000B  938h        1982</t>
        </is>
      </c>
      <c r="F127" t="inlineStr">
        <is>
          <t>Health care for the other Americans / Bonnie Bullough, Vern L. Bullough.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Bullough, Bonnie.</t>
        </is>
      </c>
      <c r="N127" t="inlineStr">
        <is>
          <t>New York : Appleton-Century-Crofts, c1982.</t>
        </is>
      </c>
      <c r="O127" t="inlineStr">
        <is>
          <t>1982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WA </t>
        </is>
      </c>
      <c r="U127" t="n">
        <v>8</v>
      </c>
      <c r="V127" t="n">
        <v>8</v>
      </c>
      <c r="W127" t="inlineStr">
        <is>
          <t>1998-04-03</t>
        </is>
      </c>
      <c r="X127" t="inlineStr">
        <is>
          <t>1998-04-03</t>
        </is>
      </c>
      <c r="Y127" t="inlineStr">
        <is>
          <t>1987-10-05</t>
        </is>
      </c>
      <c r="Z127" t="inlineStr">
        <is>
          <t>1987-10-05</t>
        </is>
      </c>
      <c r="AA127" t="n">
        <v>345</v>
      </c>
      <c r="AB127" t="n">
        <v>323</v>
      </c>
      <c r="AC127" t="n">
        <v>325</v>
      </c>
      <c r="AD127" t="n">
        <v>2</v>
      </c>
      <c r="AE127" t="n">
        <v>2</v>
      </c>
      <c r="AF127" t="n">
        <v>8</v>
      </c>
      <c r="AG127" t="n">
        <v>8</v>
      </c>
      <c r="AH127" t="n">
        <v>3</v>
      </c>
      <c r="AI127" t="n">
        <v>3</v>
      </c>
      <c r="AJ127" t="n">
        <v>3</v>
      </c>
      <c r="AK127" t="n">
        <v>3</v>
      </c>
      <c r="AL127" t="n">
        <v>5</v>
      </c>
      <c r="AM127" t="n">
        <v>5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HYPERLINK("http://catalog.hathitrust.org/Record/000273846","HathiTrust Record")</f>
        <v/>
      </c>
      <c r="AU127">
        <f>HYPERLINK("https://creighton-primo.hosted.exlibrisgroup.com/primo-explore/search?tab=default_tab&amp;search_scope=EVERYTHING&amp;vid=01CRU&amp;lang=en_US&amp;offset=0&amp;query=any,contains,991000754119702656","Catalog Record")</f>
        <v/>
      </c>
      <c r="AV127">
        <f>HYPERLINK("http://www.worldcat.org/oclc/7835389","WorldCat Record")</f>
        <v/>
      </c>
      <c r="AW127" t="inlineStr">
        <is>
          <t>29738524:eng</t>
        </is>
      </c>
      <c r="AX127" t="inlineStr">
        <is>
          <t>7835389</t>
        </is>
      </c>
      <c r="AY127" t="inlineStr">
        <is>
          <t>991000754119702656</t>
        </is>
      </c>
      <c r="AZ127" t="inlineStr">
        <is>
          <t>991000754119702656</t>
        </is>
      </c>
      <c r="BA127" t="inlineStr">
        <is>
          <t>2254956880002656</t>
        </is>
      </c>
      <c r="BB127" t="inlineStr">
        <is>
          <t>BOOK</t>
        </is>
      </c>
      <c r="BD127" t="inlineStr">
        <is>
          <t>9780838536636</t>
        </is>
      </c>
      <c r="BE127" t="inlineStr">
        <is>
          <t>30001000052029</t>
        </is>
      </c>
      <c r="BF127" t="inlineStr">
        <is>
          <t>893120342</t>
        </is>
      </c>
    </row>
    <row r="128">
      <c r="A128" t="inlineStr">
        <is>
          <t>No</t>
        </is>
      </c>
      <c r="B128" t="inlineStr">
        <is>
          <t>CUHSL</t>
        </is>
      </c>
      <c r="C128" t="inlineStr">
        <is>
          <t>SHELVES</t>
        </is>
      </c>
      <c r="D128" t="inlineStr">
        <is>
          <t>WA 300 C594h 1959</t>
        </is>
      </c>
      <c r="E128" t="inlineStr">
        <is>
          <t>0                      WA 0300000C  594h        1959</t>
        </is>
      </c>
      <c r="F128" t="inlineStr">
        <is>
          <t>Health in the Mexican-American culture : a community study / Margaret Clark.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Clark, Margaret, 1925-2003.</t>
        </is>
      </c>
      <c r="N128" t="inlineStr">
        <is>
          <t>Berkeley : University of California Press, c1959.</t>
        </is>
      </c>
      <c r="O128" t="inlineStr">
        <is>
          <t>1959</t>
        </is>
      </c>
      <c r="Q128" t="inlineStr">
        <is>
          <t>eng</t>
        </is>
      </c>
      <c r="R128" t="inlineStr">
        <is>
          <t>cau</t>
        </is>
      </c>
      <c r="T128" t="inlineStr">
        <is>
          <t xml:space="preserve">WA </t>
        </is>
      </c>
      <c r="U128" t="n">
        <v>6</v>
      </c>
      <c r="V128" t="n">
        <v>6</v>
      </c>
      <c r="W128" t="inlineStr">
        <is>
          <t>2008-09-11</t>
        </is>
      </c>
      <c r="X128" t="inlineStr">
        <is>
          <t>2008-09-11</t>
        </is>
      </c>
      <c r="Y128" t="inlineStr">
        <is>
          <t>1989-03-29</t>
        </is>
      </c>
      <c r="Z128" t="inlineStr">
        <is>
          <t>1989-03-29</t>
        </is>
      </c>
      <c r="AA128" t="n">
        <v>388</v>
      </c>
      <c r="AB128" t="n">
        <v>345</v>
      </c>
      <c r="AC128" t="n">
        <v>618</v>
      </c>
      <c r="AD128" t="n">
        <v>4</v>
      </c>
      <c r="AE128" t="n">
        <v>6</v>
      </c>
      <c r="AF128" t="n">
        <v>10</v>
      </c>
      <c r="AG128" t="n">
        <v>22</v>
      </c>
      <c r="AH128" t="n">
        <v>2</v>
      </c>
      <c r="AI128" t="n">
        <v>5</v>
      </c>
      <c r="AJ128" t="n">
        <v>1</v>
      </c>
      <c r="AK128" t="n">
        <v>5</v>
      </c>
      <c r="AL128" t="n">
        <v>5</v>
      </c>
      <c r="AM128" t="n">
        <v>10</v>
      </c>
      <c r="AN128" t="n">
        <v>3</v>
      </c>
      <c r="AO128" t="n">
        <v>5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HYPERLINK("http://catalog.hathitrust.org/Record/001559108","HathiTrust Record")</f>
        <v/>
      </c>
      <c r="AU128">
        <f>HYPERLINK("https://creighton-primo.hosted.exlibrisgroup.com/primo-explore/search?tab=default_tab&amp;search_scope=EVERYTHING&amp;vid=01CRU&amp;lang=en_US&amp;offset=0&amp;query=any,contains,991000664349702656","Catalog Record")</f>
        <v/>
      </c>
      <c r="AV128">
        <f>HYPERLINK("http://www.worldcat.org/oclc/630792","WorldCat Record")</f>
        <v/>
      </c>
      <c r="AW128" t="inlineStr">
        <is>
          <t>1196565:eng</t>
        </is>
      </c>
      <c r="AX128" t="inlineStr">
        <is>
          <t>630792</t>
        </is>
      </c>
      <c r="AY128" t="inlineStr">
        <is>
          <t>991000664349702656</t>
        </is>
      </c>
      <c r="AZ128" t="inlineStr">
        <is>
          <t>991000664349702656</t>
        </is>
      </c>
      <c r="BA128" t="inlineStr">
        <is>
          <t>2262346950002656</t>
        </is>
      </c>
      <c r="BB128" t="inlineStr">
        <is>
          <t>BOOK</t>
        </is>
      </c>
      <c r="BE128" t="inlineStr">
        <is>
          <t>30001000689283</t>
        </is>
      </c>
      <c r="BF128" t="inlineStr">
        <is>
          <t>893272773</t>
        </is>
      </c>
    </row>
    <row r="129">
      <c r="A129" t="inlineStr">
        <is>
          <t>No</t>
        </is>
      </c>
      <c r="B129" t="inlineStr">
        <is>
          <t>CUHSL</t>
        </is>
      </c>
      <c r="C129" t="inlineStr">
        <is>
          <t>SHELVES</t>
        </is>
      </c>
      <c r="D129" t="inlineStr">
        <is>
          <t>WA 300 D355 1990</t>
        </is>
      </c>
      <c r="E129" t="inlineStr">
        <is>
          <t>0                      WA 0300000D  355         1990</t>
        </is>
      </c>
      <c r="F129" t="inlineStr">
        <is>
          <t>Delivering preventive health care to Hispanics : a manual for providers.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Washington, D.C. : National Coalition of Hispanic Health and Human Services Organizations, c1990.</t>
        </is>
      </c>
      <c r="O129" t="inlineStr">
        <is>
          <t>1990</t>
        </is>
      </c>
      <c r="P129" t="inlineStr">
        <is>
          <t>Field ed.</t>
        </is>
      </c>
      <c r="Q129" t="inlineStr">
        <is>
          <t>eng</t>
        </is>
      </c>
      <c r="R129" t="inlineStr">
        <is>
          <t>dcu</t>
        </is>
      </c>
      <c r="T129" t="inlineStr">
        <is>
          <t xml:space="preserve">WA </t>
        </is>
      </c>
      <c r="U129" t="n">
        <v>28</v>
      </c>
      <c r="V129" t="n">
        <v>28</v>
      </c>
      <c r="W129" t="inlineStr">
        <is>
          <t>2001-09-23</t>
        </is>
      </c>
      <c r="X129" t="inlineStr">
        <is>
          <t>2001-09-23</t>
        </is>
      </c>
      <c r="Y129" t="inlineStr">
        <is>
          <t>1989-01-03</t>
        </is>
      </c>
      <c r="Z129" t="inlineStr">
        <is>
          <t>1989-01-03</t>
        </is>
      </c>
      <c r="AA129" t="n">
        <v>11</v>
      </c>
      <c r="AB129" t="n">
        <v>11</v>
      </c>
      <c r="AC129" t="n">
        <v>47</v>
      </c>
      <c r="AD129" t="n">
        <v>1</v>
      </c>
      <c r="AE129" t="n">
        <v>1</v>
      </c>
      <c r="AF129" t="n">
        <v>0</v>
      </c>
      <c r="AG129" t="n">
        <v>1</v>
      </c>
      <c r="AH129" t="n">
        <v>0</v>
      </c>
      <c r="AI129" t="n">
        <v>0</v>
      </c>
      <c r="AJ129" t="n">
        <v>0</v>
      </c>
      <c r="AK129" t="n">
        <v>1</v>
      </c>
      <c r="AL129" t="n">
        <v>0</v>
      </c>
      <c r="AM129" t="n">
        <v>1</v>
      </c>
      <c r="AN129" t="n">
        <v>0</v>
      </c>
      <c r="AO129" t="n">
        <v>0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HYPERLINK("http://catalog.hathitrust.org/Record/010377065","HathiTrust Record")</f>
        <v/>
      </c>
      <c r="AU129">
        <f>HYPERLINK("https://creighton-primo.hosted.exlibrisgroup.com/primo-explore/search?tab=default_tab&amp;search_scope=EVERYTHING&amp;vid=01CRU&amp;lang=en_US&amp;offset=0&amp;query=any,contains,991001106559702656","Catalog Record")</f>
        <v/>
      </c>
      <c r="AV129">
        <f>HYPERLINK("http://www.worldcat.org/oclc/19784736","WorldCat Record")</f>
        <v/>
      </c>
      <c r="AW129" t="inlineStr">
        <is>
          <t>946198171:eng</t>
        </is>
      </c>
      <c r="AX129" t="inlineStr">
        <is>
          <t>19784736</t>
        </is>
      </c>
      <c r="AY129" t="inlineStr">
        <is>
          <t>991001106559702656</t>
        </is>
      </c>
      <c r="AZ129" t="inlineStr">
        <is>
          <t>991001106559702656</t>
        </is>
      </c>
      <c r="BA129" t="inlineStr">
        <is>
          <t>2270852400002656</t>
        </is>
      </c>
      <c r="BB129" t="inlineStr">
        <is>
          <t>BOOK</t>
        </is>
      </c>
      <c r="BE129" t="inlineStr">
        <is>
          <t>30001001611153</t>
        </is>
      </c>
      <c r="BF129" t="inlineStr">
        <is>
          <t>893278717</t>
        </is>
      </c>
    </row>
    <row r="130">
      <c r="A130" t="inlineStr">
        <is>
          <t>No</t>
        </is>
      </c>
      <c r="B130" t="inlineStr">
        <is>
          <t>CUHSL</t>
        </is>
      </c>
      <c r="C130" t="inlineStr">
        <is>
          <t>SHELVES</t>
        </is>
      </c>
      <c r="D130" t="inlineStr">
        <is>
          <t>WA300 E424 2004</t>
        </is>
      </c>
      <c r="E130" t="inlineStr">
        <is>
          <t>0                      WA 0300000E  424         2004</t>
        </is>
      </c>
      <c r="F130" t="inlineStr">
        <is>
          <t>Eliminating health disparities : measurement and data needs / Panel on DHHS Collection of Race and Ethnicity Data ; Michele Ver Ploeg and Edward Perrin, editors.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2</t>
        </is>
      </c>
      <c r="N130" t="inlineStr">
        <is>
          <t>Washington, DC : National Academies Press, c2004.</t>
        </is>
      </c>
      <c r="O130" t="inlineStr">
        <is>
          <t>2004</t>
        </is>
      </c>
      <c r="Q130" t="inlineStr">
        <is>
          <t>eng</t>
        </is>
      </c>
      <c r="R130" t="inlineStr">
        <is>
          <t>dcu</t>
        </is>
      </c>
      <c r="T130" t="inlineStr">
        <is>
          <t xml:space="preserve">WA </t>
        </is>
      </c>
      <c r="U130" t="n">
        <v>7</v>
      </c>
      <c r="V130" t="n">
        <v>7</v>
      </c>
      <c r="W130" t="inlineStr">
        <is>
          <t>2010-09-16</t>
        </is>
      </c>
      <c r="X130" t="inlineStr">
        <is>
          <t>2010-09-16</t>
        </is>
      </c>
      <c r="Y130" t="inlineStr">
        <is>
          <t>2004-09-09</t>
        </is>
      </c>
      <c r="Z130" t="inlineStr">
        <is>
          <t>2004-09-09</t>
        </is>
      </c>
      <c r="AA130" t="n">
        <v>252</v>
      </c>
      <c r="AB130" t="n">
        <v>224</v>
      </c>
      <c r="AC130" t="n">
        <v>1694</v>
      </c>
      <c r="AD130" t="n">
        <v>1</v>
      </c>
      <c r="AE130" t="n">
        <v>35</v>
      </c>
      <c r="AF130" t="n">
        <v>10</v>
      </c>
      <c r="AG130" t="n">
        <v>54</v>
      </c>
      <c r="AH130" t="n">
        <v>1</v>
      </c>
      <c r="AI130" t="n">
        <v>17</v>
      </c>
      <c r="AJ130" t="n">
        <v>5</v>
      </c>
      <c r="AK130" t="n">
        <v>11</v>
      </c>
      <c r="AL130" t="n">
        <v>6</v>
      </c>
      <c r="AM130" t="n">
        <v>17</v>
      </c>
      <c r="AN130" t="n">
        <v>0</v>
      </c>
      <c r="AO130" t="n">
        <v>15</v>
      </c>
      <c r="AP130" t="n">
        <v>0</v>
      </c>
      <c r="AQ130" t="n">
        <v>2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HYPERLINK("http://catalog.hathitrust.org/Record/004734416","HathiTrust Record")</f>
        <v/>
      </c>
      <c r="AU130">
        <f>HYPERLINK("https://creighton-primo.hosted.exlibrisgroup.com/primo-explore/search?tab=default_tab&amp;search_scope=EVERYTHING&amp;vid=01CRU&amp;lang=en_US&amp;offset=0&amp;query=any,contains,991000385999702656","Catalog Record")</f>
        <v/>
      </c>
      <c r="AV130">
        <f>HYPERLINK("http://www.worldcat.org/oclc/55589206","WorldCat Record")</f>
        <v/>
      </c>
      <c r="AW130" t="inlineStr">
        <is>
          <t>896242260:eng</t>
        </is>
      </c>
      <c r="AX130" t="inlineStr">
        <is>
          <t>55589206</t>
        </is>
      </c>
      <c r="AY130" t="inlineStr">
        <is>
          <t>991000385999702656</t>
        </is>
      </c>
      <c r="AZ130" t="inlineStr">
        <is>
          <t>991000385999702656</t>
        </is>
      </c>
      <c r="BA130" t="inlineStr">
        <is>
          <t>2261670980002656</t>
        </is>
      </c>
      <c r="BB130" t="inlineStr">
        <is>
          <t>BOOK</t>
        </is>
      </c>
      <c r="BD130" t="inlineStr">
        <is>
          <t>9780309092319</t>
        </is>
      </c>
      <c r="BE130" t="inlineStr">
        <is>
          <t>30001004922581</t>
        </is>
      </c>
      <c r="BF130" t="inlineStr">
        <is>
          <t>893723418</t>
        </is>
      </c>
    </row>
    <row r="131">
      <c r="A131" t="inlineStr">
        <is>
          <t>No</t>
        </is>
      </c>
      <c r="B131" t="inlineStr">
        <is>
          <t>CUHSL</t>
        </is>
      </c>
      <c r="C131" t="inlineStr">
        <is>
          <t>SHELVES</t>
        </is>
      </c>
      <c r="D131" t="inlineStr">
        <is>
          <t>WA300 G233m 1998</t>
        </is>
      </c>
      <c r="E131" t="inlineStr">
        <is>
          <t>0                      WA 0300000G  233m        1998</t>
        </is>
      </c>
      <c r="F131" t="inlineStr">
        <is>
          <t>Managing diversity : a complete desk reference and planning guide / Lee Gardenswartz and Anita Rowe.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Gardenswartz, Lee.</t>
        </is>
      </c>
      <c r="N131" t="inlineStr">
        <is>
          <t>New York : McGraw-Hill, c1998.</t>
        </is>
      </c>
      <c r="O131" t="inlineStr">
        <is>
          <t>1998</t>
        </is>
      </c>
      <c r="P131" t="inlineStr">
        <is>
          <t>Rev. ed.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WA </t>
        </is>
      </c>
      <c r="U131" t="n">
        <v>2</v>
      </c>
      <c r="V131" t="n">
        <v>2</v>
      </c>
      <c r="W131" t="inlineStr">
        <is>
          <t>2008-12-18</t>
        </is>
      </c>
      <c r="X131" t="inlineStr">
        <is>
          <t>2008-12-18</t>
        </is>
      </c>
      <c r="Y131" t="inlineStr">
        <is>
          <t>2004-09-09</t>
        </is>
      </c>
      <c r="Z131" t="inlineStr">
        <is>
          <t>2004-09-09</t>
        </is>
      </c>
      <c r="AA131" t="n">
        <v>178</v>
      </c>
      <c r="AB131" t="n">
        <v>141</v>
      </c>
      <c r="AC131" t="n">
        <v>436</v>
      </c>
      <c r="AD131" t="n">
        <v>1</v>
      </c>
      <c r="AE131" t="n">
        <v>2</v>
      </c>
      <c r="AF131" t="n">
        <v>1</v>
      </c>
      <c r="AG131" t="n">
        <v>12</v>
      </c>
      <c r="AH131" t="n">
        <v>1</v>
      </c>
      <c r="AI131" t="n">
        <v>4</v>
      </c>
      <c r="AJ131" t="n">
        <v>0</v>
      </c>
      <c r="AK131" t="n">
        <v>3</v>
      </c>
      <c r="AL131" t="n">
        <v>0</v>
      </c>
      <c r="AM131" t="n">
        <v>8</v>
      </c>
      <c r="AN131" t="n">
        <v>0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HYPERLINK("https://creighton-primo.hosted.exlibrisgroup.com/primo-explore/search?tab=default_tab&amp;search_scope=EVERYTHING&amp;vid=01CRU&amp;lang=en_US&amp;offset=0&amp;query=any,contains,991000386089702656","Catalog Record")</f>
        <v/>
      </c>
      <c r="AV131">
        <f>HYPERLINK("http://www.worldcat.org/oclc/38120687","WorldCat Record")</f>
        <v/>
      </c>
      <c r="AW131" t="inlineStr">
        <is>
          <t>837035054:eng</t>
        </is>
      </c>
      <c r="AX131" t="inlineStr">
        <is>
          <t>38120687</t>
        </is>
      </c>
      <c r="AY131" t="inlineStr">
        <is>
          <t>991000386089702656</t>
        </is>
      </c>
      <c r="AZ131" t="inlineStr">
        <is>
          <t>991000386089702656</t>
        </is>
      </c>
      <c r="BA131" t="inlineStr">
        <is>
          <t>2265324950002656</t>
        </is>
      </c>
      <c r="BB131" t="inlineStr">
        <is>
          <t>BOOK</t>
        </is>
      </c>
      <c r="BD131" t="inlineStr">
        <is>
          <t>9780070220041</t>
        </is>
      </c>
      <c r="BE131" t="inlineStr">
        <is>
          <t>30001004921641</t>
        </is>
      </c>
      <c r="BF131" t="inlineStr">
        <is>
          <t>893817063</t>
        </is>
      </c>
    </row>
    <row r="132">
      <c r="A132" t="inlineStr">
        <is>
          <t>No</t>
        </is>
      </c>
      <c r="B132" t="inlineStr">
        <is>
          <t>CUHSL</t>
        </is>
      </c>
      <c r="C132" t="inlineStr">
        <is>
          <t>SHELVES</t>
        </is>
      </c>
      <c r="D132" t="inlineStr">
        <is>
          <t>WA300 G325 2006</t>
        </is>
      </c>
      <c r="E132" t="inlineStr">
        <is>
          <t>0                      WA 0300000G  325         2006</t>
        </is>
      </c>
      <c r="F132" t="inlineStr">
        <is>
          <t>Gender, race, class, and health : intersectional approaches / Amy J. Schulz, Leith Mullings, editors.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San Francisco, CA : Jossey-Bass, c2006.</t>
        </is>
      </c>
      <c r="O132" t="inlineStr">
        <is>
          <t>2006</t>
        </is>
      </c>
      <c r="P132" t="inlineStr">
        <is>
          <t>1st ed.</t>
        </is>
      </c>
      <c r="Q132" t="inlineStr">
        <is>
          <t>eng</t>
        </is>
      </c>
      <c r="R132" t="inlineStr">
        <is>
          <t>cau</t>
        </is>
      </c>
      <c r="T132" t="inlineStr">
        <is>
          <t xml:space="preserve">WA </t>
        </is>
      </c>
      <c r="U132" t="n">
        <v>6</v>
      </c>
      <c r="V132" t="n">
        <v>6</v>
      </c>
      <c r="W132" t="inlineStr">
        <is>
          <t>2010-09-15</t>
        </is>
      </c>
      <c r="X132" t="inlineStr">
        <is>
          <t>2010-09-15</t>
        </is>
      </c>
      <c r="Y132" t="inlineStr">
        <is>
          <t>2008-04-17</t>
        </is>
      </c>
      <c r="Z132" t="inlineStr">
        <is>
          <t>2008-04-17</t>
        </is>
      </c>
      <c r="AA132" t="n">
        <v>462</v>
      </c>
      <c r="AB132" t="n">
        <v>373</v>
      </c>
      <c r="AC132" t="n">
        <v>376</v>
      </c>
      <c r="AD132" t="n">
        <v>3</v>
      </c>
      <c r="AE132" t="n">
        <v>3</v>
      </c>
      <c r="AF132" t="n">
        <v>25</v>
      </c>
      <c r="AG132" t="n">
        <v>26</v>
      </c>
      <c r="AH132" t="n">
        <v>7</v>
      </c>
      <c r="AI132" t="n">
        <v>8</v>
      </c>
      <c r="AJ132" t="n">
        <v>9</v>
      </c>
      <c r="AK132" t="n">
        <v>9</v>
      </c>
      <c r="AL132" t="n">
        <v>14</v>
      </c>
      <c r="AM132" t="n">
        <v>15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HYPERLINK("https://creighton-primo.hosted.exlibrisgroup.com/primo-explore/search?tab=default_tab&amp;search_scope=EVERYTHING&amp;vid=01CRU&amp;lang=en_US&amp;offset=0&amp;query=any,contains,991000693099702656","Catalog Record")</f>
        <v/>
      </c>
      <c r="AV132">
        <f>HYPERLINK("http://www.worldcat.org/oclc/61859788","WorldCat Record")</f>
        <v/>
      </c>
      <c r="AW132" t="inlineStr">
        <is>
          <t>354495259:eng</t>
        </is>
      </c>
      <c r="AX132" t="inlineStr">
        <is>
          <t>61859788</t>
        </is>
      </c>
      <c r="AY132" t="inlineStr">
        <is>
          <t>991000693099702656</t>
        </is>
      </c>
      <c r="AZ132" t="inlineStr">
        <is>
          <t>991000693099702656</t>
        </is>
      </c>
      <c r="BA132" t="inlineStr">
        <is>
          <t>2270185120002656</t>
        </is>
      </c>
      <c r="BB132" t="inlineStr">
        <is>
          <t>BOOK</t>
        </is>
      </c>
      <c r="BD132" t="inlineStr">
        <is>
          <t>9780787976637</t>
        </is>
      </c>
      <c r="BE132" t="inlineStr">
        <is>
          <t>30001005292455</t>
        </is>
      </c>
      <c r="BF132" t="inlineStr">
        <is>
          <t>893454743</t>
        </is>
      </c>
    </row>
    <row r="133">
      <c r="A133" t="inlineStr">
        <is>
          <t>No</t>
        </is>
      </c>
      <c r="B133" t="inlineStr">
        <is>
          <t>CUHSL</t>
        </is>
      </c>
      <c r="C133" t="inlineStr">
        <is>
          <t>SHELVES</t>
        </is>
      </c>
      <c r="D133" t="inlineStr">
        <is>
          <t>WA 300 G876c 1996</t>
        </is>
      </c>
      <c r="E133" t="inlineStr">
        <is>
          <t>0                      WA 0300000G  876c        1996</t>
        </is>
      </c>
      <c r="F133" t="inlineStr">
        <is>
          <t>Culture and the clinical encounter : an intercultural sensitizer for the health professions / Rena C. Gropper.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Gropper, Rena C.</t>
        </is>
      </c>
      <c r="N133" t="inlineStr">
        <is>
          <t>Yarmouth, Me., USA : Intercultural Press, c1996.</t>
        </is>
      </c>
      <c r="O133" t="inlineStr">
        <is>
          <t>1996</t>
        </is>
      </c>
      <c r="Q133" t="inlineStr">
        <is>
          <t>eng</t>
        </is>
      </c>
      <c r="R133" t="inlineStr">
        <is>
          <t>meu</t>
        </is>
      </c>
      <c r="T133" t="inlineStr">
        <is>
          <t xml:space="preserve">WA </t>
        </is>
      </c>
      <c r="U133" t="n">
        <v>15</v>
      </c>
      <c r="V133" t="n">
        <v>15</v>
      </c>
      <c r="W133" t="inlineStr">
        <is>
          <t>2008-01-08</t>
        </is>
      </c>
      <c r="X133" t="inlineStr">
        <is>
          <t>2008-01-08</t>
        </is>
      </c>
      <c r="Y133" t="inlineStr">
        <is>
          <t>1996-03-01</t>
        </is>
      </c>
      <c r="Z133" t="inlineStr">
        <is>
          <t>1996-03-01</t>
        </is>
      </c>
      <c r="AA133" t="n">
        <v>325</v>
      </c>
      <c r="AB133" t="n">
        <v>294</v>
      </c>
      <c r="AC133" t="n">
        <v>635</v>
      </c>
      <c r="AD133" t="n">
        <v>2</v>
      </c>
      <c r="AE133" t="n">
        <v>6</v>
      </c>
      <c r="AF133" t="n">
        <v>12</v>
      </c>
      <c r="AG133" t="n">
        <v>22</v>
      </c>
      <c r="AH133" t="n">
        <v>6</v>
      </c>
      <c r="AI133" t="n">
        <v>8</v>
      </c>
      <c r="AJ133" t="n">
        <v>1</v>
      </c>
      <c r="AK133" t="n">
        <v>3</v>
      </c>
      <c r="AL133" t="n">
        <v>6</v>
      </c>
      <c r="AM133" t="n">
        <v>10</v>
      </c>
      <c r="AN133" t="n">
        <v>1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HYPERLINK("http://catalog.hathitrust.org/Record/003158501","HathiTrust Record")</f>
        <v/>
      </c>
      <c r="AU133">
        <f>HYPERLINK("https://creighton-primo.hosted.exlibrisgroup.com/primo-explore/search?tab=default_tab&amp;search_scope=EVERYTHING&amp;vid=01CRU&amp;lang=en_US&amp;offset=0&amp;query=any,contains,991001505069702656","Catalog Record")</f>
        <v/>
      </c>
      <c r="AV133">
        <f>HYPERLINK("http://www.worldcat.org/oclc/34080088","WorldCat Record")</f>
        <v/>
      </c>
      <c r="AW133" t="inlineStr">
        <is>
          <t>797133102:eng</t>
        </is>
      </c>
      <c r="AX133" t="inlineStr">
        <is>
          <t>34080088</t>
        </is>
      </c>
      <c r="AY133" t="inlineStr">
        <is>
          <t>991001505069702656</t>
        </is>
      </c>
      <c r="AZ133" t="inlineStr">
        <is>
          <t>991001505069702656</t>
        </is>
      </c>
      <c r="BA133" t="inlineStr">
        <is>
          <t>2262898340002656</t>
        </is>
      </c>
      <c r="BB133" t="inlineStr">
        <is>
          <t>BOOK</t>
        </is>
      </c>
      <c r="BD133" t="inlineStr">
        <is>
          <t>9781877864438</t>
        </is>
      </c>
      <c r="BE133" t="inlineStr">
        <is>
          <t>30001003264001</t>
        </is>
      </c>
      <c r="BF133" t="inlineStr">
        <is>
          <t>893274224</t>
        </is>
      </c>
    </row>
    <row r="134">
      <c r="A134" t="inlineStr">
        <is>
          <t>No</t>
        </is>
      </c>
      <c r="B134" t="inlineStr">
        <is>
          <t>CUHSL</t>
        </is>
      </c>
      <c r="C134" t="inlineStr">
        <is>
          <t>SHELVES</t>
        </is>
      </c>
      <c r="D134" t="inlineStr">
        <is>
          <t>WA 300 H294h 1986</t>
        </is>
      </c>
      <c r="E134" t="inlineStr">
        <is>
          <t>0                      WA 0300000H  294h        1986</t>
        </is>
      </c>
      <c r="F134" t="inlineStr">
        <is>
          <t>The health of populations : an introduction / Andrew C. Harper.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Yes</t>
        </is>
      </c>
      <c r="L134" t="inlineStr">
        <is>
          <t>0</t>
        </is>
      </c>
      <c r="M134" t="inlineStr">
        <is>
          <t>Harper, Andrew C.</t>
        </is>
      </c>
      <c r="N134" t="inlineStr">
        <is>
          <t>New York : Springer Pub. Co., c1986.</t>
        </is>
      </c>
      <c r="O134" t="inlineStr">
        <is>
          <t>1986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WA </t>
        </is>
      </c>
      <c r="U134" t="n">
        <v>3</v>
      </c>
      <c r="V134" t="n">
        <v>3</v>
      </c>
      <c r="W134" t="inlineStr">
        <is>
          <t>2001-01-11</t>
        </is>
      </c>
      <c r="X134" t="inlineStr">
        <is>
          <t>2001-01-11</t>
        </is>
      </c>
      <c r="Y134" t="inlineStr">
        <is>
          <t>1988-01-05</t>
        </is>
      </c>
      <c r="Z134" t="inlineStr">
        <is>
          <t>1988-01-05</t>
        </is>
      </c>
      <c r="AA134" t="n">
        <v>208</v>
      </c>
      <c r="AB134" t="n">
        <v>169</v>
      </c>
      <c r="AC134" t="n">
        <v>269</v>
      </c>
      <c r="AD134" t="n">
        <v>2</v>
      </c>
      <c r="AE134" t="n">
        <v>2</v>
      </c>
      <c r="AF134" t="n">
        <v>9</v>
      </c>
      <c r="AG134" t="n">
        <v>14</v>
      </c>
      <c r="AH134" t="n">
        <v>2</v>
      </c>
      <c r="AI134" t="n">
        <v>4</v>
      </c>
      <c r="AJ134" t="n">
        <v>3</v>
      </c>
      <c r="AK134" t="n">
        <v>3</v>
      </c>
      <c r="AL134" t="n">
        <v>5</v>
      </c>
      <c r="AM134" t="n">
        <v>10</v>
      </c>
      <c r="AN134" t="n">
        <v>1</v>
      </c>
      <c r="AO134" t="n">
        <v>1</v>
      </c>
      <c r="AP134" t="n">
        <v>1</v>
      </c>
      <c r="AQ134" t="n">
        <v>1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HYPERLINK("https://creighton-primo.hosted.exlibrisgroup.com/primo-explore/search?tab=default_tab&amp;search_scope=EVERYTHING&amp;vid=01CRU&amp;lang=en_US&amp;offset=0&amp;query=any,contains,991000723839702656","Catalog Record")</f>
        <v/>
      </c>
      <c r="AV134">
        <f>HYPERLINK("http://www.worldcat.org/oclc/14188818","WorldCat Record")</f>
        <v/>
      </c>
      <c r="AW134" t="inlineStr">
        <is>
          <t>967386:eng</t>
        </is>
      </c>
      <c r="AX134" t="inlineStr">
        <is>
          <t>14188818</t>
        </is>
      </c>
      <c r="AY134" t="inlineStr">
        <is>
          <t>991000723839702656</t>
        </is>
      </c>
      <c r="AZ134" t="inlineStr">
        <is>
          <t>991000723839702656</t>
        </is>
      </c>
      <c r="BA134" t="inlineStr">
        <is>
          <t>2259890980002656</t>
        </is>
      </c>
      <c r="BB134" t="inlineStr">
        <is>
          <t>BOOK</t>
        </is>
      </c>
      <c r="BD134" t="inlineStr">
        <is>
          <t>9780826155108</t>
        </is>
      </c>
      <c r="BE134" t="inlineStr">
        <is>
          <t>30001000706327</t>
        </is>
      </c>
      <c r="BF134" t="inlineStr">
        <is>
          <t>893272917</t>
        </is>
      </c>
    </row>
    <row r="135">
      <c r="A135" t="inlineStr">
        <is>
          <t>No</t>
        </is>
      </c>
      <c r="B135" t="inlineStr">
        <is>
          <t>CUHSL</t>
        </is>
      </c>
      <c r="C135" t="inlineStr">
        <is>
          <t>SHELVES</t>
        </is>
      </c>
      <c r="D135" t="inlineStr">
        <is>
          <t>WA 300 H433855 1992</t>
        </is>
      </c>
      <c r="E135" t="inlineStr">
        <is>
          <t>0                      WA 0300000H  433855      1992</t>
        </is>
      </c>
      <c r="F135" t="inlineStr">
        <is>
          <t>Health issues in the Black community / [edited by] Ronald L. Braithwaite, Sandra E. Taylor.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1</t>
        </is>
      </c>
      <c r="N135" t="inlineStr">
        <is>
          <t>San Francisco : Jossey-Bass, c1992.</t>
        </is>
      </c>
      <c r="O135" t="inlineStr">
        <is>
          <t>1992</t>
        </is>
      </c>
      <c r="P135" t="inlineStr">
        <is>
          <t>1st ed.</t>
        </is>
      </c>
      <c r="Q135" t="inlineStr">
        <is>
          <t>eng</t>
        </is>
      </c>
      <c r="R135" t="inlineStr">
        <is>
          <t>cau</t>
        </is>
      </c>
      <c r="S135" t="inlineStr">
        <is>
          <t>The Jossey-Bass health series</t>
        </is>
      </c>
      <c r="T135" t="inlineStr">
        <is>
          <t xml:space="preserve">WA </t>
        </is>
      </c>
      <c r="U135" t="n">
        <v>21</v>
      </c>
      <c r="V135" t="n">
        <v>21</v>
      </c>
      <c r="W135" t="inlineStr">
        <is>
          <t>2001-01-11</t>
        </is>
      </c>
      <c r="X135" t="inlineStr">
        <is>
          <t>2001-01-11</t>
        </is>
      </c>
      <c r="Y135" t="inlineStr">
        <is>
          <t>1992-11-04</t>
        </is>
      </c>
      <c r="Z135" t="inlineStr">
        <is>
          <t>1992-11-04</t>
        </is>
      </c>
      <c r="AA135" t="n">
        <v>844</v>
      </c>
      <c r="AB135" t="n">
        <v>805</v>
      </c>
      <c r="AC135" t="n">
        <v>1887</v>
      </c>
      <c r="AD135" t="n">
        <v>4</v>
      </c>
      <c r="AE135" t="n">
        <v>9</v>
      </c>
      <c r="AF135" t="n">
        <v>26</v>
      </c>
      <c r="AG135" t="n">
        <v>49</v>
      </c>
      <c r="AH135" t="n">
        <v>9</v>
      </c>
      <c r="AI135" t="n">
        <v>21</v>
      </c>
      <c r="AJ135" t="n">
        <v>6</v>
      </c>
      <c r="AK135" t="n">
        <v>9</v>
      </c>
      <c r="AL135" t="n">
        <v>13</v>
      </c>
      <c r="AM135" t="n">
        <v>20</v>
      </c>
      <c r="AN135" t="n">
        <v>3</v>
      </c>
      <c r="AO135" t="n">
        <v>7</v>
      </c>
      <c r="AP135" t="n">
        <v>2</v>
      </c>
      <c r="AQ135" t="n">
        <v>2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HYPERLINK("http://catalog.hathitrust.org/Record/002617747","HathiTrust Record")</f>
        <v/>
      </c>
      <c r="AU135">
        <f>HYPERLINK("https://creighton-primo.hosted.exlibrisgroup.com/primo-explore/search?tab=default_tab&amp;search_scope=EVERYTHING&amp;vid=01CRU&amp;lang=en_US&amp;offset=0&amp;query=any,contains,991001346729702656","Catalog Record")</f>
        <v/>
      </c>
      <c r="AV135">
        <f>HYPERLINK("http://www.worldcat.org/oclc/25967214","WorldCat Record")</f>
        <v/>
      </c>
      <c r="AW135" t="inlineStr">
        <is>
          <t>866307290:eng</t>
        </is>
      </c>
      <c r="AX135" t="inlineStr">
        <is>
          <t>25967214</t>
        </is>
      </c>
      <c r="AY135" t="inlineStr">
        <is>
          <t>991001346729702656</t>
        </is>
      </c>
      <c r="AZ135" t="inlineStr">
        <is>
          <t>991001346729702656</t>
        </is>
      </c>
      <c r="BA135" t="inlineStr">
        <is>
          <t>2266524250002656</t>
        </is>
      </c>
      <c r="BB135" t="inlineStr">
        <is>
          <t>BOOK</t>
        </is>
      </c>
      <c r="BD135" t="inlineStr">
        <is>
          <t>9781555424770</t>
        </is>
      </c>
      <c r="BE135" t="inlineStr">
        <is>
          <t>30001002457457</t>
        </is>
      </c>
      <c r="BF135" t="inlineStr">
        <is>
          <t>893149110</t>
        </is>
      </c>
    </row>
    <row r="136">
      <c r="A136" t="inlineStr">
        <is>
          <t>No</t>
        </is>
      </c>
      <c r="B136" t="inlineStr">
        <is>
          <t>CUHSL</t>
        </is>
      </c>
      <c r="C136" t="inlineStr">
        <is>
          <t>SHELVES</t>
        </is>
      </c>
      <c r="D136" t="inlineStr">
        <is>
          <t>WA300 H433855 2001</t>
        </is>
      </c>
      <c r="E136" t="inlineStr">
        <is>
          <t>0                      WA 0300000H  433855      2001</t>
        </is>
      </c>
      <c r="F136" t="inlineStr">
        <is>
          <t>Health issues in the Black community / Ronald L. Braithwaite, Sandra E. Taylor, editors ; foreword by Jesse L. Jackson, Sr.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Yes</t>
        </is>
      </c>
      <c r="L136" t="inlineStr">
        <is>
          <t>1</t>
        </is>
      </c>
      <c r="N136" t="inlineStr">
        <is>
          <t>San Francisco : Jossey-Bass, c2001.</t>
        </is>
      </c>
      <c r="O136" t="inlineStr">
        <is>
          <t>2001</t>
        </is>
      </c>
      <c r="P136" t="inlineStr">
        <is>
          <t>2nd ed.</t>
        </is>
      </c>
      <c r="Q136" t="inlineStr">
        <is>
          <t>eng</t>
        </is>
      </c>
      <c r="R136" t="inlineStr">
        <is>
          <t>cau</t>
        </is>
      </c>
      <c r="S136" t="inlineStr">
        <is>
          <t>The Jossey-Bass health series</t>
        </is>
      </c>
      <c r="T136" t="inlineStr">
        <is>
          <t xml:space="preserve">WA </t>
        </is>
      </c>
      <c r="U136" t="n">
        <v>4</v>
      </c>
      <c r="V136" t="n">
        <v>4</v>
      </c>
      <c r="W136" t="inlineStr">
        <is>
          <t>2008-10-02</t>
        </is>
      </c>
      <c r="X136" t="inlineStr">
        <is>
          <t>2008-10-02</t>
        </is>
      </c>
      <c r="Y136" t="inlineStr">
        <is>
          <t>2004-09-10</t>
        </is>
      </c>
      <c r="Z136" t="inlineStr">
        <is>
          <t>2004-09-10</t>
        </is>
      </c>
      <c r="AA136" t="n">
        <v>595</v>
      </c>
      <c r="AB136" t="n">
        <v>569</v>
      </c>
      <c r="AC136" t="n">
        <v>1887</v>
      </c>
      <c r="AD136" t="n">
        <v>2</v>
      </c>
      <c r="AE136" t="n">
        <v>9</v>
      </c>
      <c r="AF136" t="n">
        <v>19</v>
      </c>
      <c r="AG136" t="n">
        <v>49</v>
      </c>
      <c r="AH136" t="n">
        <v>8</v>
      </c>
      <c r="AI136" t="n">
        <v>21</v>
      </c>
      <c r="AJ136" t="n">
        <v>5</v>
      </c>
      <c r="AK136" t="n">
        <v>9</v>
      </c>
      <c r="AL136" t="n">
        <v>9</v>
      </c>
      <c r="AM136" t="n">
        <v>20</v>
      </c>
      <c r="AN136" t="n">
        <v>1</v>
      </c>
      <c r="AO136" t="n">
        <v>7</v>
      </c>
      <c r="AP136" t="n">
        <v>0</v>
      </c>
      <c r="AQ136" t="n">
        <v>2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HYPERLINK("http://catalog.hathitrust.org/Record/004169774","HathiTrust Record")</f>
        <v/>
      </c>
      <c r="AU136">
        <f>HYPERLINK("https://creighton-primo.hosted.exlibrisgroup.com/primo-explore/search?tab=default_tab&amp;search_scope=EVERYTHING&amp;vid=01CRU&amp;lang=en_US&amp;offset=0&amp;query=any,contains,991000386579702656","Catalog Record")</f>
        <v/>
      </c>
      <c r="AV136">
        <f>HYPERLINK("http://www.worldcat.org/oclc/45500393","WorldCat Record")</f>
        <v/>
      </c>
      <c r="AW136" t="inlineStr">
        <is>
          <t>866307290:eng</t>
        </is>
      </c>
      <c r="AX136" t="inlineStr">
        <is>
          <t>45500393</t>
        </is>
      </c>
      <c r="AY136" t="inlineStr">
        <is>
          <t>991000386579702656</t>
        </is>
      </c>
      <c r="AZ136" t="inlineStr">
        <is>
          <t>991000386579702656</t>
        </is>
      </c>
      <c r="BA136" t="inlineStr">
        <is>
          <t>2272689060002656</t>
        </is>
      </c>
      <c r="BB136" t="inlineStr">
        <is>
          <t>BOOK</t>
        </is>
      </c>
      <c r="BD136" t="inlineStr">
        <is>
          <t>9780787952365</t>
        </is>
      </c>
      <c r="BE136" t="inlineStr">
        <is>
          <t>30001004922540</t>
        </is>
      </c>
      <c r="BF136" t="inlineStr">
        <is>
          <t>893542292</t>
        </is>
      </c>
    </row>
    <row r="137">
      <c r="A137" t="inlineStr">
        <is>
          <t>No</t>
        </is>
      </c>
      <c r="B137" t="inlineStr">
        <is>
          <t>CUHSL</t>
        </is>
      </c>
      <c r="C137" t="inlineStr">
        <is>
          <t>SHELVES</t>
        </is>
      </c>
      <c r="D137" t="inlineStr">
        <is>
          <t>WA 300 H434 1990</t>
        </is>
      </c>
      <c r="E137" t="inlineStr">
        <is>
          <t>0                      WA 0300000H  434         1990</t>
        </is>
      </c>
      <c r="F137" t="inlineStr">
        <is>
          <t>Health care for Asians / edited by Brian R. McAvoy, Liam J. Donaldson.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Oxford ; New York : Oxford University Press, c1990.</t>
        </is>
      </c>
      <c r="O137" t="inlineStr">
        <is>
          <t>1990</t>
        </is>
      </c>
      <c r="Q137" t="inlineStr">
        <is>
          <t>eng</t>
        </is>
      </c>
      <c r="R137" t="inlineStr">
        <is>
          <t>enk</t>
        </is>
      </c>
      <c r="S137" t="inlineStr">
        <is>
          <t>Oxford general practice series ; 18.</t>
        </is>
      </c>
      <c r="T137" t="inlineStr">
        <is>
          <t xml:space="preserve">WA </t>
        </is>
      </c>
      <c r="U137" t="n">
        <v>9</v>
      </c>
      <c r="V137" t="n">
        <v>9</v>
      </c>
      <c r="W137" t="inlineStr">
        <is>
          <t>2000-03-20</t>
        </is>
      </c>
      <c r="X137" t="inlineStr">
        <is>
          <t>2000-03-20</t>
        </is>
      </c>
      <c r="Y137" t="inlineStr">
        <is>
          <t>1991-03-08</t>
        </is>
      </c>
      <c r="Z137" t="inlineStr">
        <is>
          <t>1991-03-08</t>
        </is>
      </c>
      <c r="AA137" t="n">
        <v>156</v>
      </c>
      <c r="AB137" t="n">
        <v>80</v>
      </c>
      <c r="AC137" t="n">
        <v>80</v>
      </c>
      <c r="AD137" t="n">
        <v>1</v>
      </c>
      <c r="AE137" t="n">
        <v>1</v>
      </c>
      <c r="AF137" t="n">
        <v>1</v>
      </c>
      <c r="AG137" t="n">
        <v>1</v>
      </c>
      <c r="AH137" t="n">
        <v>0</v>
      </c>
      <c r="AI137" t="n">
        <v>0</v>
      </c>
      <c r="AJ137" t="n">
        <v>1</v>
      </c>
      <c r="AK137" t="n">
        <v>1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HYPERLINK("https://creighton-primo.hosted.exlibrisgroup.com/primo-explore/search?tab=default_tab&amp;search_scope=EVERYTHING&amp;vid=01CRU&amp;lang=en_US&amp;offset=0&amp;query=any,contains,991000814949702656","Catalog Record")</f>
        <v/>
      </c>
      <c r="AV137">
        <f>HYPERLINK("http://www.worldcat.org/oclc/20320157","WorldCat Record")</f>
        <v/>
      </c>
      <c r="AW137" t="inlineStr">
        <is>
          <t>349961918:eng</t>
        </is>
      </c>
      <c r="AX137" t="inlineStr">
        <is>
          <t>20320157</t>
        </is>
      </c>
      <c r="AY137" t="inlineStr">
        <is>
          <t>991000814949702656</t>
        </is>
      </c>
      <c r="AZ137" t="inlineStr">
        <is>
          <t>991000814949702656</t>
        </is>
      </c>
      <c r="BA137" t="inlineStr">
        <is>
          <t>2262063530002656</t>
        </is>
      </c>
      <c r="BB137" t="inlineStr">
        <is>
          <t>BOOK</t>
        </is>
      </c>
      <c r="BD137" t="inlineStr">
        <is>
          <t>9780192617330</t>
        </is>
      </c>
      <c r="BE137" t="inlineStr">
        <is>
          <t>30001002085829</t>
        </is>
      </c>
      <c r="BF137" t="inlineStr">
        <is>
          <t>893551772</t>
        </is>
      </c>
    </row>
    <row r="138">
      <c r="A138" t="inlineStr">
        <is>
          <t>No</t>
        </is>
      </c>
      <c r="B138" t="inlineStr">
        <is>
          <t>CUHSL</t>
        </is>
      </c>
      <c r="C138" t="inlineStr">
        <is>
          <t>SHELVES</t>
        </is>
      </c>
      <c r="D138" t="inlineStr">
        <is>
          <t>WA 300 H434 1991</t>
        </is>
      </c>
      <c r="E138" t="inlineStr">
        <is>
          <t>0                      WA 0300000H  434         1991</t>
        </is>
      </c>
      <c r="F138" t="inlineStr">
        <is>
          <t>Health promotion in diverse cultural communities / Virginia M. Gonzalez ... [et al.].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Palo Alto, CA : Health Promotion Resource Center, Stanford Center for Research in Disease Prevention, c1991.</t>
        </is>
      </c>
      <c r="O138" t="inlineStr">
        <is>
          <t>1991</t>
        </is>
      </c>
      <c r="Q138" t="inlineStr">
        <is>
          <t>eng</t>
        </is>
      </c>
      <c r="R138" t="inlineStr">
        <is>
          <t>cau</t>
        </is>
      </c>
      <c r="T138" t="inlineStr">
        <is>
          <t xml:space="preserve">WA </t>
        </is>
      </c>
      <c r="U138" t="n">
        <v>19</v>
      </c>
      <c r="V138" t="n">
        <v>19</v>
      </c>
      <c r="W138" t="inlineStr">
        <is>
          <t>2002-04-02</t>
        </is>
      </c>
      <c r="X138" t="inlineStr">
        <is>
          <t>2002-04-02</t>
        </is>
      </c>
      <c r="Y138" t="inlineStr">
        <is>
          <t>1992-02-24</t>
        </is>
      </c>
      <c r="Z138" t="inlineStr">
        <is>
          <t>1992-02-24</t>
        </is>
      </c>
      <c r="AA138" t="n">
        <v>96</v>
      </c>
      <c r="AB138" t="n">
        <v>85</v>
      </c>
      <c r="AC138" t="n">
        <v>87</v>
      </c>
      <c r="AD138" t="n">
        <v>2</v>
      </c>
      <c r="AE138" t="n">
        <v>2</v>
      </c>
      <c r="AF138" t="n">
        <v>6</v>
      </c>
      <c r="AG138" t="n">
        <v>6</v>
      </c>
      <c r="AH138" t="n">
        <v>1</v>
      </c>
      <c r="AI138" t="n">
        <v>1</v>
      </c>
      <c r="AJ138" t="n">
        <v>2</v>
      </c>
      <c r="AK138" t="n">
        <v>2</v>
      </c>
      <c r="AL138" t="n">
        <v>3</v>
      </c>
      <c r="AM138" t="n">
        <v>3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HYPERLINK("http://catalog.hathitrust.org/Record/004520283","HathiTrust Record")</f>
        <v/>
      </c>
      <c r="AU138">
        <f>HYPERLINK("https://creighton-primo.hosted.exlibrisgroup.com/primo-explore/search?tab=default_tab&amp;search_scope=EVERYTHING&amp;vid=01CRU&amp;lang=en_US&amp;offset=0&amp;query=any,contains,991001033389702656","Catalog Record")</f>
        <v/>
      </c>
      <c r="AV138">
        <f>HYPERLINK("http://www.worldcat.org/oclc/25981722","WorldCat Record")</f>
        <v/>
      </c>
      <c r="AW138" t="inlineStr">
        <is>
          <t>28793929:eng</t>
        </is>
      </c>
      <c r="AX138" t="inlineStr">
        <is>
          <t>25981722</t>
        </is>
      </c>
      <c r="AY138" t="inlineStr">
        <is>
          <t>991001033389702656</t>
        </is>
      </c>
      <c r="AZ138" t="inlineStr">
        <is>
          <t>991001033389702656</t>
        </is>
      </c>
      <c r="BA138" t="inlineStr">
        <is>
          <t>2261206660002656</t>
        </is>
      </c>
      <c r="BB138" t="inlineStr">
        <is>
          <t>BOOK</t>
        </is>
      </c>
      <c r="BE138" t="inlineStr">
        <is>
          <t>30001002244244</t>
        </is>
      </c>
      <c r="BF138" t="inlineStr">
        <is>
          <t>893377058</t>
        </is>
      </c>
    </row>
    <row r="139">
      <c r="A139" t="inlineStr">
        <is>
          <t>No</t>
        </is>
      </c>
      <c r="B139" t="inlineStr">
        <is>
          <t>CUHSL</t>
        </is>
      </c>
      <c r="C139" t="inlineStr">
        <is>
          <t>SHELVES</t>
        </is>
      </c>
      <c r="D139" t="inlineStr">
        <is>
          <t>WA300 H434 1999</t>
        </is>
      </c>
      <c r="E139" t="inlineStr">
        <is>
          <t>0                      WA 0300000H  434         1999</t>
        </is>
      </c>
      <c r="F139" t="inlineStr">
        <is>
          <t>Health and the American Indian / Priscilla A. Day, Hilary N. Weaver, editors.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New York : Haworth Press, c1999.</t>
        </is>
      </c>
      <c r="O139" t="inlineStr">
        <is>
          <t>1999</t>
        </is>
      </c>
      <c r="Q139" t="inlineStr">
        <is>
          <t>eng</t>
        </is>
      </c>
      <c r="R139" t="inlineStr">
        <is>
          <t>nyu</t>
        </is>
      </c>
      <c r="T139" t="inlineStr">
        <is>
          <t xml:space="preserve">WA </t>
        </is>
      </c>
      <c r="U139" t="n">
        <v>4</v>
      </c>
      <c r="V139" t="n">
        <v>4</v>
      </c>
      <c r="W139" t="inlineStr">
        <is>
          <t>2009-04-16</t>
        </is>
      </c>
      <c r="X139" t="inlineStr">
        <is>
          <t>2009-04-16</t>
        </is>
      </c>
      <c r="Y139" t="inlineStr">
        <is>
          <t>2004-06-03</t>
        </is>
      </c>
      <c r="Z139" t="inlineStr">
        <is>
          <t>2004-06-03</t>
        </is>
      </c>
      <c r="AA139" t="n">
        <v>124</v>
      </c>
      <c r="AB139" t="n">
        <v>108</v>
      </c>
      <c r="AC139" t="n">
        <v>132</v>
      </c>
      <c r="AD139" t="n">
        <v>3</v>
      </c>
      <c r="AE139" t="n">
        <v>3</v>
      </c>
      <c r="AF139" t="n">
        <v>9</v>
      </c>
      <c r="AG139" t="n">
        <v>9</v>
      </c>
      <c r="AH139" t="n">
        <v>3</v>
      </c>
      <c r="AI139" t="n">
        <v>3</v>
      </c>
      <c r="AJ139" t="n">
        <v>2</v>
      </c>
      <c r="AK139" t="n">
        <v>2</v>
      </c>
      <c r="AL139" t="n">
        <v>2</v>
      </c>
      <c r="AM139" t="n">
        <v>2</v>
      </c>
      <c r="AN139" t="n">
        <v>2</v>
      </c>
      <c r="AO139" t="n">
        <v>2</v>
      </c>
      <c r="AP139" t="n">
        <v>2</v>
      </c>
      <c r="AQ139" t="n">
        <v>2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HYPERLINK("https://creighton-primo.hosted.exlibrisgroup.com/primo-explore/search?tab=default_tab&amp;search_scope=EVERYTHING&amp;vid=01CRU&amp;lang=en_US&amp;offset=0&amp;query=any,contains,991000370729702656","Catalog Record")</f>
        <v/>
      </c>
      <c r="AV139">
        <f>HYPERLINK("http://www.worldcat.org/oclc/40856821","WorldCat Record")</f>
        <v/>
      </c>
      <c r="AW139" t="inlineStr">
        <is>
          <t>436067008:eng</t>
        </is>
      </c>
      <c r="AX139" t="inlineStr">
        <is>
          <t>40856821</t>
        </is>
      </c>
      <c r="AY139" t="inlineStr">
        <is>
          <t>991000370729702656</t>
        </is>
      </c>
      <c r="AZ139" t="inlineStr">
        <is>
          <t>991000370729702656</t>
        </is>
      </c>
      <c r="BA139" t="inlineStr">
        <is>
          <t>2267553790002656</t>
        </is>
      </c>
      <c r="BB139" t="inlineStr">
        <is>
          <t>BOOK</t>
        </is>
      </c>
      <c r="BD139" t="inlineStr">
        <is>
          <t>9780789006585</t>
        </is>
      </c>
      <c r="BE139" t="inlineStr">
        <is>
          <t>30001004920171</t>
        </is>
      </c>
      <c r="BF139" t="inlineStr">
        <is>
          <t>893365375</t>
        </is>
      </c>
    </row>
    <row r="140">
      <c r="A140" t="inlineStr">
        <is>
          <t>No</t>
        </is>
      </c>
      <c r="B140" t="inlineStr">
        <is>
          <t>CUHSL</t>
        </is>
      </c>
      <c r="C140" t="inlineStr">
        <is>
          <t>SHELVES</t>
        </is>
      </c>
      <c r="D140" t="inlineStr">
        <is>
          <t>WA 300 H673 1996</t>
        </is>
      </c>
      <c r="E140" t="inlineStr">
        <is>
          <t>0                      WA 0300000H  673         1996</t>
        </is>
      </c>
      <c r="F140" t="inlineStr">
        <is>
          <t>Hispanic voices : Hispanic health educators speak out / edited by Sara Torres.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New York : NLN Press, c1996.</t>
        </is>
      </c>
      <c r="O140" t="inlineStr">
        <is>
          <t>1996</t>
        </is>
      </c>
      <c r="Q140" t="inlineStr">
        <is>
          <t>eng</t>
        </is>
      </c>
      <c r="R140" t="inlineStr">
        <is>
          <t>nyu</t>
        </is>
      </c>
      <c r="S140" t="inlineStr">
        <is>
          <t>NLN pub. no. 14-2693</t>
        </is>
      </c>
      <c r="T140" t="inlineStr">
        <is>
          <t xml:space="preserve">WA </t>
        </is>
      </c>
      <c r="U140" t="n">
        <v>2</v>
      </c>
      <c r="V140" t="n">
        <v>2</v>
      </c>
      <c r="W140" t="inlineStr">
        <is>
          <t>2008-09-11</t>
        </is>
      </c>
      <c r="X140" t="inlineStr">
        <is>
          <t>2008-09-11</t>
        </is>
      </c>
      <c r="Y140" t="inlineStr">
        <is>
          <t>2000-06-15</t>
        </is>
      </c>
      <c r="Z140" t="inlineStr">
        <is>
          <t>2000-06-15</t>
        </is>
      </c>
      <c r="AA140" t="n">
        <v>401</v>
      </c>
      <c r="AB140" t="n">
        <v>381</v>
      </c>
      <c r="AC140" t="n">
        <v>415</v>
      </c>
      <c r="AD140" t="n">
        <v>2</v>
      </c>
      <c r="AE140" t="n">
        <v>2</v>
      </c>
      <c r="AF140" t="n">
        <v>20</v>
      </c>
      <c r="AG140" t="n">
        <v>20</v>
      </c>
      <c r="AH140" t="n">
        <v>10</v>
      </c>
      <c r="AI140" t="n">
        <v>10</v>
      </c>
      <c r="AJ140" t="n">
        <v>4</v>
      </c>
      <c r="AK140" t="n">
        <v>4</v>
      </c>
      <c r="AL140" t="n">
        <v>11</v>
      </c>
      <c r="AM140" t="n">
        <v>11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HYPERLINK("http://catalog.hathitrust.org/Record/003045746","HathiTrust Record")</f>
        <v/>
      </c>
      <c r="AU140">
        <f>HYPERLINK("https://creighton-primo.hosted.exlibrisgroup.com/primo-explore/search?tab=default_tab&amp;search_scope=EVERYTHING&amp;vid=01CRU&amp;lang=en_US&amp;offset=0&amp;query=any,contains,991000258669702656","Catalog Record")</f>
        <v/>
      </c>
      <c r="AV140">
        <f>HYPERLINK("http://www.worldcat.org/oclc/33818400","WorldCat Record")</f>
        <v/>
      </c>
      <c r="AW140" t="inlineStr">
        <is>
          <t>898811325:eng</t>
        </is>
      </c>
      <c r="AX140" t="inlineStr">
        <is>
          <t>33818400</t>
        </is>
      </c>
      <c r="AY140" t="inlineStr">
        <is>
          <t>991000258669702656</t>
        </is>
      </c>
      <c r="AZ140" t="inlineStr">
        <is>
          <t>991000258669702656</t>
        </is>
      </c>
      <c r="BA140" t="inlineStr">
        <is>
          <t>2272542070002656</t>
        </is>
      </c>
      <c r="BB140" t="inlineStr">
        <is>
          <t>BOOK</t>
        </is>
      </c>
      <c r="BD140" t="inlineStr">
        <is>
          <t>9780887376535</t>
        </is>
      </c>
      <c r="BE140" t="inlineStr">
        <is>
          <t>30001003353168</t>
        </is>
      </c>
      <c r="BF140" t="inlineStr">
        <is>
          <t>893264055</t>
        </is>
      </c>
    </row>
    <row r="141">
      <c r="A141" t="inlineStr">
        <is>
          <t>No</t>
        </is>
      </c>
      <c r="B141" t="inlineStr">
        <is>
          <t>CUHSL</t>
        </is>
      </c>
      <c r="C141" t="inlineStr">
        <is>
          <t>SHELVES</t>
        </is>
      </c>
      <c r="D141" t="inlineStr">
        <is>
          <t>WA 300 I59h 1988</t>
        </is>
      </c>
      <c r="E141" t="inlineStr">
        <is>
          <t>0                      WA 0300000I  59h         1988</t>
        </is>
      </c>
      <c r="F141" t="inlineStr">
        <is>
          <t>Homelessness, health, and human needs / Committee on Health Care for Homeless People, Institute of Medicine.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3</t>
        </is>
      </c>
      <c r="M141" t="inlineStr">
        <is>
          <t>Institute of Medicine (U.S.). Committee on Health Care for Homeless People.</t>
        </is>
      </c>
      <c r="N141" t="inlineStr">
        <is>
          <t>Washington, D.C. : National Academy Press, c1988.</t>
        </is>
      </c>
      <c r="O141" t="inlineStr">
        <is>
          <t>1988</t>
        </is>
      </c>
      <c r="Q141" t="inlineStr">
        <is>
          <t>eng</t>
        </is>
      </c>
      <c r="R141" t="inlineStr">
        <is>
          <t>dcu</t>
        </is>
      </c>
      <c r="T141" t="inlineStr">
        <is>
          <t xml:space="preserve">WA </t>
        </is>
      </c>
      <c r="U141" t="n">
        <v>14</v>
      </c>
      <c r="V141" t="n">
        <v>14</v>
      </c>
      <c r="W141" t="inlineStr">
        <is>
          <t>2002-09-07</t>
        </is>
      </c>
      <c r="X141" t="inlineStr">
        <is>
          <t>2002-09-07</t>
        </is>
      </c>
      <c r="Y141" t="inlineStr">
        <is>
          <t>1992-05-27</t>
        </is>
      </c>
      <c r="Z141" t="inlineStr">
        <is>
          <t>1992-05-27</t>
        </is>
      </c>
      <c r="AA141" t="n">
        <v>487</v>
      </c>
      <c r="AB141" t="n">
        <v>441</v>
      </c>
      <c r="AC141" t="n">
        <v>1435</v>
      </c>
      <c r="AD141" t="n">
        <v>1</v>
      </c>
      <c r="AE141" t="n">
        <v>15</v>
      </c>
      <c r="AF141" t="n">
        <v>16</v>
      </c>
      <c r="AG141" t="n">
        <v>53</v>
      </c>
      <c r="AH141" t="n">
        <v>5</v>
      </c>
      <c r="AI141" t="n">
        <v>16</v>
      </c>
      <c r="AJ141" t="n">
        <v>3</v>
      </c>
      <c r="AK141" t="n">
        <v>11</v>
      </c>
      <c r="AL141" t="n">
        <v>10</v>
      </c>
      <c r="AM141" t="n">
        <v>18</v>
      </c>
      <c r="AN141" t="n">
        <v>0</v>
      </c>
      <c r="AO141" t="n">
        <v>13</v>
      </c>
      <c r="AP141" t="n">
        <v>2</v>
      </c>
      <c r="AQ141" t="n">
        <v>4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HYPERLINK("http://catalog.hathitrust.org/Record/000942368","HathiTrust Record")</f>
        <v/>
      </c>
      <c r="AU141">
        <f>HYPERLINK("https://creighton-primo.hosted.exlibrisgroup.com/primo-explore/search?tab=default_tab&amp;search_scope=EVERYTHING&amp;vid=01CRU&amp;lang=en_US&amp;offset=0&amp;query=any,contains,991001304999702656","Catalog Record")</f>
        <v/>
      </c>
      <c r="AV141">
        <f>HYPERLINK("http://www.worldcat.org/oclc/18441515","WorldCat Record")</f>
        <v/>
      </c>
      <c r="AW141" t="inlineStr">
        <is>
          <t>998982:eng</t>
        </is>
      </c>
      <c r="AX141" t="inlineStr">
        <is>
          <t>18441515</t>
        </is>
      </c>
      <c r="AY141" t="inlineStr">
        <is>
          <t>991001304999702656</t>
        </is>
      </c>
      <c r="AZ141" t="inlineStr">
        <is>
          <t>991001304999702656</t>
        </is>
      </c>
      <c r="BA141" t="inlineStr">
        <is>
          <t>2269044060002656</t>
        </is>
      </c>
      <c r="BB141" t="inlineStr">
        <is>
          <t>BOOK</t>
        </is>
      </c>
      <c r="BD141" t="inlineStr">
        <is>
          <t>9780309038324</t>
        </is>
      </c>
      <c r="BE141" t="inlineStr">
        <is>
          <t>30001002413443</t>
        </is>
      </c>
      <c r="BF141" t="inlineStr">
        <is>
          <t>893643445</t>
        </is>
      </c>
    </row>
    <row r="142">
      <c r="A142" t="inlineStr">
        <is>
          <t>No</t>
        </is>
      </c>
      <c r="B142" t="inlineStr">
        <is>
          <t>CUHSL</t>
        </is>
      </c>
      <c r="C142" t="inlineStr">
        <is>
          <t>SHELVES</t>
        </is>
      </c>
      <c r="D142" t="inlineStr">
        <is>
          <t>WA 300 L357 1994</t>
        </is>
      </c>
      <c r="E142" t="inlineStr">
        <is>
          <t>0                      WA 0300000L  357         1994</t>
        </is>
      </c>
      <c r="F142" t="inlineStr">
        <is>
          <t>Latino health in the US : a growing challenge / edited by Carlos W. Molina and Marilyn Aguirre-Molina.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Washington, DC : American Public Health Association, c1994.</t>
        </is>
      </c>
      <c r="O142" t="inlineStr">
        <is>
          <t>1994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WA </t>
        </is>
      </c>
      <c r="U142" t="n">
        <v>14</v>
      </c>
      <c r="V142" t="n">
        <v>14</v>
      </c>
      <c r="W142" t="inlineStr">
        <is>
          <t>2001-09-23</t>
        </is>
      </c>
      <c r="X142" t="inlineStr">
        <is>
          <t>2001-09-23</t>
        </is>
      </c>
      <c r="Y142" t="inlineStr">
        <is>
          <t>1995-12-01</t>
        </is>
      </c>
      <c r="Z142" t="inlineStr">
        <is>
          <t>1995-12-01</t>
        </is>
      </c>
      <c r="AA142" t="n">
        <v>254</v>
      </c>
      <c r="AB142" t="n">
        <v>253</v>
      </c>
      <c r="AC142" t="n">
        <v>255</v>
      </c>
      <c r="AD142" t="n">
        <v>3</v>
      </c>
      <c r="AE142" t="n">
        <v>3</v>
      </c>
      <c r="AF142" t="n">
        <v>15</v>
      </c>
      <c r="AG142" t="n">
        <v>15</v>
      </c>
      <c r="AH142" t="n">
        <v>5</v>
      </c>
      <c r="AI142" t="n">
        <v>5</v>
      </c>
      <c r="AJ142" t="n">
        <v>5</v>
      </c>
      <c r="AK142" t="n">
        <v>5</v>
      </c>
      <c r="AL142" t="n">
        <v>8</v>
      </c>
      <c r="AM142" t="n">
        <v>8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HYPERLINK("http://catalog.hathitrust.org/Record/003082148","HathiTrust Record")</f>
        <v/>
      </c>
      <c r="AU142">
        <f>HYPERLINK("https://creighton-primo.hosted.exlibrisgroup.com/primo-explore/search?tab=default_tab&amp;search_scope=EVERYTHING&amp;vid=01CRU&amp;lang=en_US&amp;offset=0&amp;query=any,contains,991001499909702656","Catalog Record")</f>
        <v/>
      </c>
      <c r="AV142">
        <f>HYPERLINK("http://www.worldcat.org/oclc/32114878","WorldCat Record")</f>
        <v/>
      </c>
      <c r="AW142" t="inlineStr">
        <is>
          <t>905391436:eng</t>
        </is>
      </c>
      <c r="AX142" t="inlineStr">
        <is>
          <t>32114878</t>
        </is>
      </c>
      <c r="AY142" t="inlineStr">
        <is>
          <t>991001499909702656</t>
        </is>
      </c>
      <c r="AZ142" t="inlineStr">
        <is>
          <t>991001499909702656</t>
        </is>
      </c>
      <c r="BA142" t="inlineStr">
        <is>
          <t>2255692690002656</t>
        </is>
      </c>
      <c r="BB142" t="inlineStr">
        <is>
          <t>BOOK</t>
        </is>
      </c>
      <c r="BD142" t="inlineStr">
        <is>
          <t>9780875532158</t>
        </is>
      </c>
      <c r="BE142" t="inlineStr">
        <is>
          <t>30001003262278</t>
        </is>
      </c>
      <c r="BF142" t="inlineStr">
        <is>
          <t>893149288</t>
        </is>
      </c>
    </row>
    <row r="143">
      <c r="A143" t="inlineStr">
        <is>
          <t>No</t>
        </is>
      </c>
      <c r="B143" t="inlineStr">
        <is>
          <t>CUHSL</t>
        </is>
      </c>
      <c r="C143" t="inlineStr">
        <is>
          <t>SHELVES</t>
        </is>
      </c>
      <c r="D143" t="inlineStr">
        <is>
          <t>WA 300 M363 2000</t>
        </is>
      </c>
      <c r="E143" t="inlineStr">
        <is>
          <t>0                      WA 0300000M  363         2000</t>
        </is>
      </c>
      <c r="F143" t="inlineStr">
        <is>
          <t>Market research in health and social care / edited by Mike Luck, Rob Pocock, and Mike Tricker.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London ; New York : Routledge, 2000.</t>
        </is>
      </c>
      <c r="O143" t="inlineStr">
        <is>
          <t>2000</t>
        </is>
      </c>
      <c r="Q143" t="inlineStr">
        <is>
          <t>eng</t>
        </is>
      </c>
      <c r="R143" t="inlineStr">
        <is>
          <t>enk</t>
        </is>
      </c>
      <c r="T143" t="inlineStr">
        <is>
          <t xml:space="preserve">WA </t>
        </is>
      </c>
      <c r="U143" t="n">
        <v>0</v>
      </c>
      <c r="V143" t="n">
        <v>0</v>
      </c>
      <c r="W143" t="inlineStr">
        <is>
          <t>2003-10-28</t>
        </is>
      </c>
      <c r="X143" t="inlineStr">
        <is>
          <t>2003-10-28</t>
        </is>
      </c>
      <c r="Y143" t="inlineStr">
        <is>
          <t>2003-10-17</t>
        </is>
      </c>
      <c r="Z143" t="inlineStr">
        <is>
          <t>2003-10-17</t>
        </is>
      </c>
      <c r="AA143" t="n">
        <v>128</v>
      </c>
      <c r="AB143" t="n">
        <v>67</v>
      </c>
      <c r="AC143" t="n">
        <v>96</v>
      </c>
      <c r="AD143" t="n">
        <v>2</v>
      </c>
      <c r="AE143" t="n">
        <v>2</v>
      </c>
      <c r="AF143" t="n">
        <v>2</v>
      </c>
      <c r="AG143" t="n">
        <v>2</v>
      </c>
      <c r="AH143" t="n">
        <v>0</v>
      </c>
      <c r="AI143" t="n">
        <v>0</v>
      </c>
      <c r="AJ143" t="n">
        <v>1</v>
      </c>
      <c r="AK143" t="n">
        <v>1</v>
      </c>
      <c r="AL143" t="n">
        <v>1</v>
      </c>
      <c r="AM143" t="n">
        <v>1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HYPERLINK("https://creighton-primo.hosted.exlibrisgroup.com/primo-explore/search?tab=default_tab&amp;search_scope=EVERYTHING&amp;vid=01CRU&amp;lang=en_US&amp;offset=0&amp;query=any,contains,991000358979702656","Catalog Record")</f>
        <v/>
      </c>
      <c r="AV143">
        <f>HYPERLINK("http://www.worldcat.org/oclc/43115141","WorldCat Record")</f>
        <v/>
      </c>
      <c r="AW143" t="inlineStr">
        <is>
          <t>766937618:eng</t>
        </is>
      </c>
      <c r="AX143" t="inlineStr">
        <is>
          <t>43115141</t>
        </is>
      </c>
      <c r="AY143" t="inlineStr">
        <is>
          <t>991000358979702656</t>
        </is>
      </c>
      <c r="AZ143" t="inlineStr">
        <is>
          <t>991000358979702656</t>
        </is>
      </c>
      <c r="BA143" t="inlineStr">
        <is>
          <t>2260725150002656</t>
        </is>
      </c>
      <c r="BB143" t="inlineStr">
        <is>
          <t>BOOK</t>
        </is>
      </c>
      <c r="BD143" t="inlineStr">
        <is>
          <t>9780415207546</t>
        </is>
      </c>
      <c r="BE143" t="inlineStr">
        <is>
          <t>30001004218154</t>
        </is>
      </c>
      <c r="BF143" t="inlineStr">
        <is>
          <t>893461412</t>
        </is>
      </c>
    </row>
    <row r="144">
      <c r="A144" t="inlineStr">
        <is>
          <t>No</t>
        </is>
      </c>
      <c r="B144" t="inlineStr">
        <is>
          <t>CUHSL</t>
        </is>
      </c>
      <c r="C144" t="inlineStr">
        <is>
          <t>SHELVES</t>
        </is>
      </c>
      <c r="D144" t="inlineStr">
        <is>
          <t>WA300 N163h 1999</t>
        </is>
      </c>
      <c r="E144" t="inlineStr">
        <is>
          <t>0                      WA 0300000N  163h        1999</t>
        </is>
      </c>
      <c r="F144" t="inlineStr">
        <is>
          <t>Health in America : a multicultural perspective / Raymond M. Nakamura.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Nakamura, Raymond M.</t>
        </is>
      </c>
      <c r="N144" t="inlineStr">
        <is>
          <t>Boston, Mass : Allyn and Bacon, c1999.</t>
        </is>
      </c>
      <c r="O144" t="inlineStr">
        <is>
          <t>1999</t>
        </is>
      </c>
      <c r="Q144" t="inlineStr">
        <is>
          <t>eng</t>
        </is>
      </c>
      <c r="R144" t="inlineStr">
        <is>
          <t>mau</t>
        </is>
      </c>
      <c r="T144" t="inlineStr">
        <is>
          <t xml:space="preserve">WA </t>
        </is>
      </c>
      <c r="U144" t="n">
        <v>6</v>
      </c>
      <c r="V144" t="n">
        <v>6</v>
      </c>
      <c r="W144" t="inlineStr">
        <is>
          <t>2008-01-08</t>
        </is>
      </c>
      <c r="X144" t="inlineStr">
        <is>
          <t>2008-01-08</t>
        </is>
      </c>
      <c r="Y144" t="inlineStr">
        <is>
          <t>2005-06-01</t>
        </is>
      </c>
      <c r="Z144" t="inlineStr">
        <is>
          <t>2005-06-01</t>
        </is>
      </c>
      <c r="AA144" t="n">
        <v>185</v>
      </c>
      <c r="AB144" t="n">
        <v>178</v>
      </c>
      <c r="AC144" t="n">
        <v>192</v>
      </c>
      <c r="AD144" t="n">
        <v>2</v>
      </c>
      <c r="AE144" t="n">
        <v>2</v>
      </c>
      <c r="AF144" t="n">
        <v>10</v>
      </c>
      <c r="AG144" t="n">
        <v>10</v>
      </c>
      <c r="AH144" t="n">
        <v>2</v>
      </c>
      <c r="AI144" t="n">
        <v>2</v>
      </c>
      <c r="AJ144" t="n">
        <v>5</v>
      </c>
      <c r="AK144" t="n">
        <v>5</v>
      </c>
      <c r="AL144" t="n">
        <v>4</v>
      </c>
      <c r="AM144" t="n">
        <v>4</v>
      </c>
      <c r="AN144" t="n">
        <v>1</v>
      </c>
      <c r="AO144" t="n">
        <v>1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HYPERLINK("http://catalog.hathitrust.org/Record/008706855","HathiTrust Record")</f>
        <v/>
      </c>
      <c r="AU144">
        <f>HYPERLINK("https://creighton-primo.hosted.exlibrisgroup.com/primo-explore/search?tab=default_tab&amp;search_scope=EVERYTHING&amp;vid=01CRU&amp;lang=en_US&amp;offset=0&amp;query=any,contains,991000439179702656","Catalog Record")</f>
        <v/>
      </c>
      <c r="AV144">
        <f>HYPERLINK("http://www.worldcat.org/oclc/39275796","WorldCat Record")</f>
        <v/>
      </c>
      <c r="AW144" t="inlineStr">
        <is>
          <t>16360683:eng</t>
        </is>
      </c>
      <c r="AX144" t="inlineStr">
        <is>
          <t>39275796</t>
        </is>
      </c>
      <c r="AY144" t="inlineStr">
        <is>
          <t>991000439179702656</t>
        </is>
      </c>
      <c r="AZ144" t="inlineStr">
        <is>
          <t>991000439179702656</t>
        </is>
      </c>
      <c r="BA144" t="inlineStr">
        <is>
          <t>2264492790002656</t>
        </is>
      </c>
      <c r="BB144" t="inlineStr">
        <is>
          <t>BOOK</t>
        </is>
      </c>
      <c r="BD144" t="inlineStr">
        <is>
          <t>9780205290123</t>
        </is>
      </c>
      <c r="BE144" t="inlineStr">
        <is>
          <t>30001004929735</t>
        </is>
      </c>
      <c r="BF144" t="inlineStr">
        <is>
          <t>893275055</t>
        </is>
      </c>
    </row>
    <row r="145">
      <c r="A145" t="inlineStr">
        <is>
          <t>No</t>
        </is>
      </c>
      <c r="B145" t="inlineStr">
        <is>
          <t>CUHSL</t>
        </is>
      </c>
      <c r="C145" t="inlineStr">
        <is>
          <t>SHELVES</t>
        </is>
      </c>
      <c r="D145" t="inlineStr">
        <is>
          <t>WA300 N532 2003</t>
        </is>
      </c>
      <c r="E145" t="inlineStr">
        <is>
          <t>0                      WA 0300000N  532         2003</t>
        </is>
      </c>
      <c r="F145" t="inlineStr">
        <is>
          <t>New faces in a changing America : multiracial identity in the 21st century / [edited by] Loretta I. Winters, Herman L. DeBose.</t>
        </is>
      </c>
      <c r="H145" t="inlineStr">
        <is>
          <t>No</t>
        </is>
      </c>
      <c r="I145" t="inlineStr">
        <is>
          <t>1</t>
        </is>
      </c>
      <c r="J145" t="inlineStr">
        <is>
          <t>Yes</t>
        </is>
      </c>
      <c r="K145" t="inlineStr">
        <is>
          <t>No</t>
        </is>
      </c>
      <c r="L145" t="inlineStr">
        <is>
          <t>1</t>
        </is>
      </c>
      <c r="N145" t="inlineStr">
        <is>
          <t>Thousand Oaks, Calif. : Sage Publications, c2003.</t>
        </is>
      </c>
      <c r="O145" t="inlineStr">
        <is>
          <t>2003</t>
        </is>
      </c>
      <c r="Q145" t="inlineStr">
        <is>
          <t>eng</t>
        </is>
      </c>
      <c r="R145" t="inlineStr">
        <is>
          <t>cau</t>
        </is>
      </c>
      <c r="T145" t="inlineStr">
        <is>
          <t xml:space="preserve">WA </t>
        </is>
      </c>
      <c r="U145" t="n">
        <v>1</v>
      </c>
      <c r="V145" t="n">
        <v>2</v>
      </c>
      <c r="W145" t="inlineStr">
        <is>
          <t>2004-06-06</t>
        </is>
      </c>
      <c r="X145" t="inlineStr">
        <is>
          <t>2004-09-16</t>
        </is>
      </c>
      <c r="Y145" t="inlineStr">
        <is>
          <t>2004-06-05</t>
        </is>
      </c>
      <c r="Z145" t="inlineStr">
        <is>
          <t>2004-09-16</t>
        </is>
      </c>
      <c r="AA145" t="n">
        <v>394</v>
      </c>
      <c r="AB145" t="n">
        <v>351</v>
      </c>
      <c r="AC145" t="n">
        <v>1034</v>
      </c>
      <c r="AD145" t="n">
        <v>4</v>
      </c>
      <c r="AE145" t="n">
        <v>14</v>
      </c>
      <c r="AF145" t="n">
        <v>16</v>
      </c>
      <c r="AG145" t="n">
        <v>39</v>
      </c>
      <c r="AH145" t="n">
        <v>2</v>
      </c>
      <c r="AI145" t="n">
        <v>10</v>
      </c>
      <c r="AJ145" t="n">
        <v>5</v>
      </c>
      <c r="AK145" t="n">
        <v>8</v>
      </c>
      <c r="AL145" t="n">
        <v>9</v>
      </c>
      <c r="AM145" t="n">
        <v>14</v>
      </c>
      <c r="AN145" t="n">
        <v>2</v>
      </c>
      <c r="AO145" t="n">
        <v>12</v>
      </c>
      <c r="AP145" t="n">
        <v>0</v>
      </c>
      <c r="AQ145" t="n">
        <v>1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HYPERLINK("http://catalog.hathitrust.org/Record/004295027","HathiTrust Record")</f>
        <v/>
      </c>
      <c r="AU145">
        <f>HYPERLINK("https://creighton-primo.hosted.exlibrisgroup.com/primo-explore/search?tab=default_tab&amp;search_scope=EVERYTHING&amp;vid=01CRU&amp;lang=en_US&amp;offset=0&amp;query=any,contains,991001727399702656","Catalog Record")</f>
        <v/>
      </c>
      <c r="AV145">
        <f>HYPERLINK("http://www.worldcat.org/oclc/50606378","WorldCat Record")</f>
        <v/>
      </c>
      <c r="AW145" t="inlineStr">
        <is>
          <t>796418836:eng</t>
        </is>
      </c>
      <c r="AX145" t="inlineStr">
        <is>
          <t>50606378</t>
        </is>
      </c>
      <c r="AY145" t="inlineStr">
        <is>
          <t>991001727399702656</t>
        </is>
      </c>
      <c r="AZ145" t="inlineStr">
        <is>
          <t>991001727399702656</t>
        </is>
      </c>
      <c r="BA145" t="inlineStr">
        <is>
          <t>2263383410002656</t>
        </is>
      </c>
      <c r="BB145" t="inlineStr">
        <is>
          <t>BOOK</t>
        </is>
      </c>
      <c r="BD145" t="inlineStr">
        <is>
          <t>9780761923008</t>
        </is>
      </c>
      <c r="BE145" t="inlineStr">
        <is>
          <t>30001004509966</t>
        </is>
      </c>
      <c r="BF145" t="inlineStr">
        <is>
          <t>893274429</t>
        </is>
      </c>
    </row>
    <row r="146">
      <c r="A146" t="inlineStr">
        <is>
          <t>No</t>
        </is>
      </c>
      <c r="B146" t="inlineStr">
        <is>
          <t>CUHSL</t>
        </is>
      </c>
      <c r="C146" t="inlineStr">
        <is>
          <t>SHELVES</t>
        </is>
      </c>
      <c r="D146" t="inlineStr">
        <is>
          <t>WA300 N532 2004</t>
        </is>
      </c>
      <c r="E146" t="inlineStr">
        <is>
          <t>0                      WA 0300000N  532         2004</t>
        </is>
      </c>
      <c r="F146" t="inlineStr">
        <is>
          <t>New dimensions in women's health / Linda Lewis Alexander ... [et al.].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N146" t="inlineStr">
        <is>
          <t>Sudbury, Mass. : Jones and Bartlett Publishers, c2004.</t>
        </is>
      </c>
      <c r="O146" t="inlineStr">
        <is>
          <t>2004</t>
        </is>
      </c>
      <c r="P146" t="inlineStr">
        <is>
          <t>3rd ed.</t>
        </is>
      </c>
      <c r="Q146" t="inlineStr">
        <is>
          <t>eng</t>
        </is>
      </c>
      <c r="R146" t="inlineStr">
        <is>
          <t>mau</t>
        </is>
      </c>
      <c r="T146" t="inlineStr">
        <is>
          <t xml:space="preserve">WA </t>
        </is>
      </c>
      <c r="U146" t="n">
        <v>1</v>
      </c>
      <c r="V146" t="n">
        <v>1</v>
      </c>
      <c r="W146" t="inlineStr">
        <is>
          <t>2006-05-25</t>
        </is>
      </c>
      <c r="X146" t="inlineStr">
        <is>
          <t>2006-05-25</t>
        </is>
      </c>
      <c r="Y146" t="inlineStr">
        <is>
          <t>2006-04-24</t>
        </is>
      </c>
      <c r="Z146" t="inlineStr">
        <is>
          <t>2006-04-24</t>
        </is>
      </c>
      <c r="AA146" t="n">
        <v>158</v>
      </c>
      <c r="AB146" t="n">
        <v>111</v>
      </c>
      <c r="AC146" t="n">
        <v>595</v>
      </c>
      <c r="AD146" t="n">
        <v>1</v>
      </c>
      <c r="AE146" t="n">
        <v>4</v>
      </c>
      <c r="AF146" t="n">
        <v>6</v>
      </c>
      <c r="AG146" t="n">
        <v>25</v>
      </c>
      <c r="AH146" t="n">
        <v>3</v>
      </c>
      <c r="AI146" t="n">
        <v>13</v>
      </c>
      <c r="AJ146" t="n">
        <v>2</v>
      </c>
      <c r="AK146" t="n">
        <v>5</v>
      </c>
      <c r="AL146" t="n">
        <v>2</v>
      </c>
      <c r="AM146" t="n">
        <v>11</v>
      </c>
      <c r="AN146" t="n">
        <v>0</v>
      </c>
      <c r="AO146" t="n">
        <v>3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HYPERLINK("http://catalog.hathitrust.org/Record/004367482","HathiTrust Record")</f>
        <v/>
      </c>
      <c r="AU146">
        <f>HYPERLINK("https://creighton-primo.hosted.exlibrisgroup.com/primo-explore/search?tab=default_tab&amp;search_scope=EVERYTHING&amp;vid=01CRU&amp;lang=en_US&amp;offset=0&amp;query=any,contains,991000476769702656","Catalog Record")</f>
        <v/>
      </c>
      <c r="AV146">
        <f>HYPERLINK("http://www.worldcat.org/oclc/53224828","WorldCat Record")</f>
        <v/>
      </c>
      <c r="AW146" t="inlineStr">
        <is>
          <t>31867453:eng</t>
        </is>
      </c>
      <c r="AX146" t="inlineStr">
        <is>
          <t>53224828</t>
        </is>
      </c>
      <c r="AY146" t="inlineStr">
        <is>
          <t>991000476769702656</t>
        </is>
      </c>
      <c r="AZ146" t="inlineStr">
        <is>
          <t>991000476769702656</t>
        </is>
      </c>
      <c r="BA146" t="inlineStr">
        <is>
          <t>2263208910002656</t>
        </is>
      </c>
      <c r="BB146" t="inlineStr">
        <is>
          <t>BOOK</t>
        </is>
      </c>
      <c r="BD146" t="inlineStr">
        <is>
          <t>9780763707231</t>
        </is>
      </c>
      <c r="BE146" t="inlineStr">
        <is>
          <t>30001005126950</t>
        </is>
      </c>
      <c r="BF146" t="inlineStr">
        <is>
          <t>893280021</t>
        </is>
      </c>
    </row>
    <row r="147">
      <c r="A147" t="inlineStr">
        <is>
          <t>No</t>
        </is>
      </c>
      <c r="B147" t="inlineStr">
        <is>
          <t>CUHSL</t>
        </is>
      </c>
      <c r="C147" t="inlineStr">
        <is>
          <t>SHELVES</t>
        </is>
      </c>
      <c r="D147" t="inlineStr">
        <is>
          <t>WA300 P392s 2002</t>
        </is>
      </c>
      <c r="E147" t="inlineStr">
        <is>
          <t>0                      WA 0300000P  392s        2002</t>
        </is>
      </c>
      <c r="F147" t="inlineStr">
        <is>
          <t>The Silicon Valley of dreams : environmental injustice, immigrant workers, and the high-tech global economy / David Naguib Pellow and Lisa Sun-Hee Park.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1</t>
        </is>
      </c>
      <c r="M147" t="inlineStr">
        <is>
          <t>Pellow, David N., 1969-</t>
        </is>
      </c>
      <c r="N147" t="inlineStr">
        <is>
          <t>New York : New York University Press, c2002.</t>
        </is>
      </c>
      <c r="O147" t="inlineStr">
        <is>
          <t>2002</t>
        </is>
      </c>
      <c r="Q147" t="inlineStr">
        <is>
          <t>eng</t>
        </is>
      </c>
      <c r="R147" t="inlineStr">
        <is>
          <t>nyu</t>
        </is>
      </c>
      <c r="S147" t="inlineStr">
        <is>
          <t>Critical America</t>
        </is>
      </c>
      <c r="T147" t="inlineStr">
        <is>
          <t xml:space="preserve">WA </t>
        </is>
      </c>
      <c r="U147" t="n">
        <v>0</v>
      </c>
      <c r="V147" t="n">
        <v>0</v>
      </c>
      <c r="W147" t="inlineStr">
        <is>
          <t>2004-06-06</t>
        </is>
      </c>
      <c r="X147" t="inlineStr">
        <is>
          <t>2004-06-06</t>
        </is>
      </c>
      <c r="Y147" t="inlineStr">
        <is>
          <t>2004-06-06</t>
        </is>
      </c>
      <c r="Z147" t="inlineStr">
        <is>
          <t>2004-06-06</t>
        </is>
      </c>
      <c r="AA147" t="n">
        <v>513</v>
      </c>
      <c r="AB147" t="n">
        <v>461</v>
      </c>
      <c r="AC147" t="n">
        <v>1237</v>
      </c>
      <c r="AD147" t="n">
        <v>6</v>
      </c>
      <c r="AE147" t="n">
        <v>18</v>
      </c>
      <c r="AF147" t="n">
        <v>31</v>
      </c>
      <c r="AG147" t="n">
        <v>58</v>
      </c>
      <c r="AH147" t="n">
        <v>9</v>
      </c>
      <c r="AI147" t="n">
        <v>19</v>
      </c>
      <c r="AJ147" t="n">
        <v>7</v>
      </c>
      <c r="AK147" t="n">
        <v>10</v>
      </c>
      <c r="AL147" t="n">
        <v>14</v>
      </c>
      <c r="AM147" t="n">
        <v>19</v>
      </c>
      <c r="AN147" t="n">
        <v>4</v>
      </c>
      <c r="AO147" t="n">
        <v>15</v>
      </c>
      <c r="AP147" t="n">
        <v>3</v>
      </c>
      <c r="AQ147" t="n">
        <v>4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HYPERLINK("https://creighton-primo.hosted.exlibrisgroup.com/primo-explore/search?tab=default_tab&amp;search_scope=EVERYTHING&amp;vid=01CRU&amp;lang=en_US&amp;offset=0&amp;query=any,contains,991000373049702656","Catalog Record")</f>
        <v/>
      </c>
      <c r="AV147">
        <f>HYPERLINK("http://www.worldcat.org/oclc/50479220","WorldCat Record")</f>
        <v/>
      </c>
      <c r="AW147" t="inlineStr">
        <is>
          <t>793945356:eng</t>
        </is>
      </c>
      <c r="AX147" t="inlineStr">
        <is>
          <t>50479220</t>
        </is>
      </c>
      <c r="AY147" t="inlineStr">
        <is>
          <t>991000373049702656</t>
        </is>
      </c>
      <c r="AZ147" t="inlineStr">
        <is>
          <t>991000373049702656</t>
        </is>
      </c>
      <c r="BA147" t="inlineStr">
        <is>
          <t>2257727370002656</t>
        </is>
      </c>
      <c r="BB147" t="inlineStr">
        <is>
          <t>BOOK</t>
        </is>
      </c>
      <c r="BD147" t="inlineStr">
        <is>
          <t>9780814767092</t>
        </is>
      </c>
      <c r="BE147" t="inlineStr">
        <is>
          <t>30001004921278</t>
        </is>
      </c>
      <c r="BF147" t="inlineStr">
        <is>
          <t>893109463</t>
        </is>
      </c>
    </row>
    <row r="148">
      <c r="A148" t="inlineStr">
        <is>
          <t>No</t>
        </is>
      </c>
      <c r="B148" t="inlineStr">
        <is>
          <t>CUHSL</t>
        </is>
      </c>
      <c r="C148" t="inlineStr">
        <is>
          <t>SHELVES</t>
        </is>
      </c>
      <c r="D148" t="inlineStr">
        <is>
          <t>WA 300 P935 2001</t>
        </is>
      </c>
      <c r="E148" t="inlineStr">
        <is>
          <t>0                      WA 0300000P  935         2001</t>
        </is>
      </c>
      <c r="F148" t="inlineStr">
        <is>
          <t>A primer for cultural proficiency : towards quality health services for Hispanics.</t>
        </is>
      </c>
      <c r="H148" t="inlineStr">
        <is>
          <t>No</t>
        </is>
      </c>
      <c r="I148" t="inlineStr">
        <is>
          <t>2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N148" t="inlineStr">
        <is>
          <t>[Washington, D.C.] : Estrella Press, 2001.</t>
        </is>
      </c>
      <c r="O148" t="inlineStr">
        <is>
          <t>2001</t>
        </is>
      </c>
      <c r="Q148" t="inlineStr">
        <is>
          <t>eng</t>
        </is>
      </c>
      <c r="R148" t="inlineStr">
        <is>
          <t>dcu</t>
        </is>
      </c>
      <c r="T148" t="inlineStr">
        <is>
          <t xml:space="preserve">WA </t>
        </is>
      </c>
      <c r="U148" t="n">
        <v>2</v>
      </c>
      <c r="V148" t="n">
        <v>7</v>
      </c>
      <c r="W148" t="inlineStr">
        <is>
          <t>2005-10-07</t>
        </is>
      </c>
      <c r="X148" t="inlineStr">
        <is>
          <t>2009-09-10</t>
        </is>
      </c>
      <c r="Y148" t="inlineStr">
        <is>
          <t>2004-11-17</t>
        </is>
      </c>
      <c r="Z148" t="inlineStr">
        <is>
          <t>2005-04-10</t>
        </is>
      </c>
      <c r="AA148" t="n">
        <v>39</v>
      </c>
      <c r="AB148" t="n">
        <v>39</v>
      </c>
      <c r="AC148" t="n">
        <v>47</v>
      </c>
      <c r="AD148" t="n">
        <v>1</v>
      </c>
      <c r="AE148" t="n">
        <v>1</v>
      </c>
      <c r="AF148" t="n">
        <v>1</v>
      </c>
      <c r="AG148" t="n">
        <v>1</v>
      </c>
      <c r="AH148" t="n">
        <v>0</v>
      </c>
      <c r="AI148" t="n">
        <v>0</v>
      </c>
      <c r="AJ148" t="n">
        <v>0</v>
      </c>
      <c r="AK148" t="n">
        <v>0</v>
      </c>
      <c r="AL148" t="n">
        <v>1</v>
      </c>
      <c r="AM148" t="n">
        <v>1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HYPERLINK("http://catalog.hathitrust.org/Record/101367692","HathiTrust Record")</f>
        <v/>
      </c>
      <c r="AU148">
        <f>HYPERLINK("https://creighton-primo.hosted.exlibrisgroup.com/primo-explore/search?tab=default_tab&amp;search_scope=EVERYTHING&amp;vid=01CRU&amp;lang=en_US&amp;offset=0&amp;query=any,contains,991000411499702656","Catalog Record")</f>
        <v/>
      </c>
      <c r="AV148">
        <f>HYPERLINK("http://www.worldcat.org/oclc/46939273","WorldCat Record")</f>
        <v/>
      </c>
      <c r="AW148" t="inlineStr">
        <is>
          <t>56675291:eng</t>
        </is>
      </c>
      <c r="AX148" t="inlineStr">
        <is>
          <t>46939273</t>
        </is>
      </c>
      <c r="AY148" t="inlineStr">
        <is>
          <t>991000411499702656</t>
        </is>
      </c>
      <c r="AZ148" t="inlineStr">
        <is>
          <t>991000411499702656</t>
        </is>
      </c>
      <c r="BA148" t="inlineStr">
        <is>
          <t>2267845050002656</t>
        </is>
      </c>
      <c r="BB148" t="inlineStr">
        <is>
          <t>BOOK</t>
        </is>
      </c>
      <c r="BD148" t="inlineStr">
        <is>
          <t>9780933084070</t>
        </is>
      </c>
      <c r="BE148" t="inlineStr">
        <is>
          <t>30001004925196</t>
        </is>
      </c>
      <c r="BF148" t="inlineStr">
        <is>
          <t>893359537</t>
        </is>
      </c>
    </row>
    <row r="149">
      <c r="A149" t="inlineStr">
        <is>
          <t>No</t>
        </is>
      </c>
      <c r="B149" t="inlineStr">
        <is>
          <t>CUHSL</t>
        </is>
      </c>
      <c r="C149" t="inlineStr">
        <is>
          <t>SHELVES</t>
        </is>
      </c>
      <c r="D149" t="inlineStr">
        <is>
          <t>WA300 P952 1999</t>
        </is>
      </c>
      <c r="E149" t="inlineStr">
        <is>
          <t>0                      WA 0300000P  952         1999</t>
        </is>
      </c>
      <c r="F149" t="inlineStr">
        <is>
          <t>Primary care of Native American patients : diagnosis, therapy, and epidemiology / edited by James M. Galloway, Bruce W. Goldberg, Joseph S. Alpert ; foreword by Michael H. Trujillo.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N149" t="inlineStr">
        <is>
          <t>Boston : Butterworth-Heinemann, c1999.</t>
        </is>
      </c>
      <c r="O149" t="inlineStr">
        <is>
          <t>1999</t>
        </is>
      </c>
      <c r="Q149" t="inlineStr">
        <is>
          <t>eng</t>
        </is>
      </c>
      <c r="R149" t="inlineStr">
        <is>
          <t>mau</t>
        </is>
      </c>
      <c r="T149" t="inlineStr">
        <is>
          <t xml:space="preserve">WA </t>
        </is>
      </c>
      <c r="U149" t="n">
        <v>12</v>
      </c>
      <c r="V149" t="n">
        <v>12</v>
      </c>
      <c r="W149" t="inlineStr">
        <is>
          <t>2009-09-10</t>
        </is>
      </c>
      <c r="X149" t="inlineStr">
        <is>
          <t>2009-09-10</t>
        </is>
      </c>
      <c r="Y149" t="inlineStr">
        <is>
          <t>2004-06-06</t>
        </is>
      </c>
      <c r="Z149" t="inlineStr">
        <is>
          <t>2004-06-06</t>
        </is>
      </c>
      <c r="AA149" t="n">
        <v>228</v>
      </c>
      <c r="AB149" t="n">
        <v>196</v>
      </c>
      <c r="AC149" t="n">
        <v>201</v>
      </c>
      <c r="AD149" t="n">
        <v>1</v>
      </c>
      <c r="AE149" t="n">
        <v>1</v>
      </c>
      <c r="AF149" t="n">
        <v>9</v>
      </c>
      <c r="AG149" t="n">
        <v>9</v>
      </c>
      <c r="AH149" t="n">
        <v>2</v>
      </c>
      <c r="AI149" t="n">
        <v>2</v>
      </c>
      <c r="AJ149" t="n">
        <v>3</v>
      </c>
      <c r="AK149" t="n">
        <v>3</v>
      </c>
      <c r="AL149" t="n">
        <v>7</v>
      </c>
      <c r="AM149" t="n">
        <v>7</v>
      </c>
      <c r="AN149" t="n">
        <v>0</v>
      </c>
      <c r="AO149" t="n">
        <v>0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HYPERLINK("https://creighton-primo.hosted.exlibrisgroup.com/primo-explore/search?tab=default_tab&amp;search_scope=EVERYTHING&amp;vid=01CRU&amp;lang=en_US&amp;offset=0&amp;query=any,contains,991000372879702656","Catalog Record")</f>
        <v/>
      </c>
      <c r="AV149">
        <f>HYPERLINK("http://www.worldcat.org/oclc/39464690","WorldCat Record")</f>
        <v/>
      </c>
      <c r="AW149" t="inlineStr">
        <is>
          <t>836963140:eng</t>
        </is>
      </c>
      <c r="AX149" t="inlineStr">
        <is>
          <t>39464690</t>
        </is>
      </c>
      <c r="AY149" t="inlineStr">
        <is>
          <t>991000372879702656</t>
        </is>
      </c>
      <c r="AZ149" t="inlineStr">
        <is>
          <t>991000372879702656</t>
        </is>
      </c>
      <c r="BA149" t="inlineStr">
        <is>
          <t>2269402210002656</t>
        </is>
      </c>
      <c r="BB149" t="inlineStr">
        <is>
          <t>BOOK</t>
        </is>
      </c>
      <c r="BD149" t="inlineStr">
        <is>
          <t>9780750699891</t>
        </is>
      </c>
      <c r="BE149" t="inlineStr">
        <is>
          <t>30001004509792</t>
        </is>
      </c>
      <c r="BF149" t="inlineStr">
        <is>
          <t>893359511</t>
        </is>
      </c>
    </row>
    <row r="150">
      <c r="A150" t="inlineStr">
        <is>
          <t>No</t>
        </is>
      </c>
      <c r="B150" t="inlineStr">
        <is>
          <t>CUHSL</t>
        </is>
      </c>
      <c r="C150" t="inlineStr">
        <is>
          <t>SHELVES</t>
        </is>
      </c>
      <c r="D150" t="inlineStr">
        <is>
          <t>WA 300 P9647 1999</t>
        </is>
      </c>
      <c r="E150" t="inlineStr">
        <is>
          <t>0                      WA 0300000P  9647        1999</t>
        </is>
      </c>
      <c r="F150" t="inlineStr">
        <is>
          <t>Promoting health in multicultural populations : a handbook for practitioners / [edited by] Robert M. Huff, Michael V. Kline.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Thousand Oaks, Calif. : Sage Publications, c1999.</t>
        </is>
      </c>
      <c r="O150" t="inlineStr">
        <is>
          <t>1999</t>
        </is>
      </c>
      <c r="Q150" t="inlineStr">
        <is>
          <t>eng</t>
        </is>
      </c>
      <c r="R150" t="inlineStr">
        <is>
          <t>cau</t>
        </is>
      </c>
      <c r="T150" t="inlineStr">
        <is>
          <t xml:space="preserve">WA </t>
        </is>
      </c>
      <c r="U150" t="n">
        <v>21</v>
      </c>
      <c r="V150" t="n">
        <v>21</v>
      </c>
      <c r="W150" t="inlineStr">
        <is>
          <t>2006-02-16</t>
        </is>
      </c>
      <c r="X150" t="inlineStr">
        <is>
          <t>2006-02-16</t>
        </is>
      </c>
      <c r="Y150" t="inlineStr">
        <is>
          <t>1999-06-23</t>
        </is>
      </c>
      <c r="Z150" t="inlineStr">
        <is>
          <t>1999-06-23</t>
        </is>
      </c>
      <c r="AA150" t="n">
        <v>658</v>
      </c>
      <c r="AB150" t="n">
        <v>572</v>
      </c>
      <c r="AC150" t="n">
        <v>577</v>
      </c>
      <c r="AD150" t="n">
        <v>4</v>
      </c>
      <c r="AE150" t="n">
        <v>4</v>
      </c>
      <c r="AF150" t="n">
        <v>27</v>
      </c>
      <c r="AG150" t="n">
        <v>27</v>
      </c>
      <c r="AH150" t="n">
        <v>11</v>
      </c>
      <c r="AI150" t="n">
        <v>11</v>
      </c>
      <c r="AJ150" t="n">
        <v>6</v>
      </c>
      <c r="AK150" t="n">
        <v>6</v>
      </c>
      <c r="AL150" t="n">
        <v>13</v>
      </c>
      <c r="AM150" t="n">
        <v>13</v>
      </c>
      <c r="AN150" t="n">
        <v>3</v>
      </c>
      <c r="AO150" t="n">
        <v>3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HYPERLINK("https://creighton-primo.hosted.exlibrisgroup.com/primo-explore/search?tab=default_tab&amp;search_scope=EVERYTHING&amp;vid=01CRU&amp;lang=en_US&amp;offset=0&amp;query=any,contains,991001567949702656","Catalog Record")</f>
        <v/>
      </c>
      <c r="AV150">
        <f>HYPERLINK("http://www.worldcat.org/oclc/39399432","WorldCat Record")</f>
        <v/>
      </c>
      <c r="AW150" t="inlineStr">
        <is>
          <t>3857880133:eng</t>
        </is>
      </c>
      <c r="AX150" t="inlineStr">
        <is>
          <t>39399432</t>
        </is>
      </c>
      <c r="AY150" t="inlineStr">
        <is>
          <t>991001567949702656</t>
        </is>
      </c>
      <c r="AZ150" t="inlineStr">
        <is>
          <t>991001567949702656</t>
        </is>
      </c>
      <c r="BA150" t="inlineStr">
        <is>
          <t>2267959750002656</t>
        </is>
      </c>
      <c r="BB150" t="inlineStr">
        <is>
          <t>BOOK</t>
        </is>
      </c>
      <c r="BD150" t="inlineStr">
        <is>
          <t>9780761901822</t>
        </is>
      </c>
      <c r="BE150" t="inlineStr">
        <is>
          <t>30001004074904</t>
        </is>
      </c>
      <c r="BF150" t="inlineStr">
        <is>
          <t>893369487</t>
        </is>
      </c>
    </row>
    <row r="151">
      <c r="A151" t="inlineStr">
        <is>
          <t>No</t>
        </is>
      </c>
      <c r="B151" t="inlineStr">
        <is>
          <t>CUHSL</t>
        </is>
      </c>
      <c r="C151" t="inlineStr">
        <is>
          <t>SHELVES</t>
        </is>
      </c>
      <c r="D151" t="inlineStr">
        <is>
          <t>WA300 Q29a 2005</t>
        </is>
      </c>
      <c r="E151" t="inlineStr">
        <is>
          <t>0                      WA 0300000Q  29a         2005</t>
        </is>
      </c>
      <c r="F151" t="inlineStr">
        <is>
          <t>African Americans' health care practices, perspectives, and needs / Randolph K. Quaye.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M151" t="inlineStr">
        <is>
          <t>Quaye, Randolph.</t>
        </is>
      </c>
      <c r="N151" t="inlineStr">
        <is>
          <t>Lanham, Md. : University Press of America, c2005.</t>
        </is>
      </c>
      <c r="O151" t="inlineStr">
        <is>
          <t>2005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WA </t>
        </is>
      </c>
      <c r="U151" t="n">
        <v>1</v>
      </c>
      <c r="V151" t="n">
        <v>3</v>
      </c>
      <c r="W151" t="inlineStr">
        <is>
          <t>2008-05-21</t>
        </is>
      </c>
      <c r="X151" t="inlineStr">
        <is>
          <t>2008-06-17</t>
        </is>
      </c>
      <c r="Y151" t="inlineStr">
        <is>
          <t>2008-04-16</t>
        </is>
      </c>
      <c r="Z151" t="inlineStr">
        <is>
          <t>2008-04-16</t>
        </is>
      </c>
      <c r="AA151" t="n">
        <v>152</v>
      </c>
      <c r="AB151" t="n">
        <v>143</v>
      </c>
      <c r="AC151" t="n">
        <v>148</v>
      </c>
      <c r="AD151" t="n">
        <v>2</v>
      </c>
      <c r="AE151" t="n">
        <v>2</v>
      </c>
      <c r="AF151" t="n">
        <v>6</v>
      </c>
      <c r="AG151" t="n">
        <v>6</v>
      </c>
      <c r="AH151" t="n">
        <v>1</v>
      </c>
      <c r="AI151" t="n">
        <v>1</v>
      </c>
      <c r="AJ151" t="n">
        <v>2</v>
      </c>
      <c r="AK151" t="n">
        <v>2</v>
      </c>
      <c r="AL151" t="n">
        <v>4</v>
      </c>
      <c r="AM151" t="n">
        <v>4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HYPERLINK("https://creighton-primo.hosted.exlibrisgroup.com/primo-explore/search?tab=default_tab&amp;search_scope=EVERYTHING&amp;vid=01CRU&amp;lang=en_US&amp;offset=0&amp;query=any,contains,991000683639702656","Catalog Record")</f>
        <v/>
      </c>
      <c r="AV151">
        <f>HYPERLINK("http://www.worldcat.org/oclc/60615435","WorldCat Record")</f>
        <v/>
      </c>
      <c r="AW151" t="inlineStr">
        <is>
          <t>23142875:eng</t>
        </is>
      </c>
      <c r="AX151" t="inlineStr">
        <is>
          <t>60615435</t>
        </is>
      </c>
      <c r="AY151" t="inlineStr">
        <is>
          <t>991000683639702656</t>
        </is>
      </c>
      <c r="AZ151" t="inlineStr">
        <is>
          <t>991000683639702656</t>
        </is>
      </c>
      <c r="BA151" t="inlineStr">
        <is>
          <t>2271933380002656</t>
        </is>
      </c>
      <c r="BB151" t="inlineStr">
        <is>
          <t>BOOK</t>
        </is>
      </c>
      <c r="BD151" t="inlineStr">
        <is>
          <t>9780761830238</t>
        </is>
      </c>
      <c r="BE151" t="inlineStr">
        <is>
          <t>30001005292380</t>
        </is>
      </c>
      <c r="BF151" t="inlineStr">
        <is>
          <t>893831016</t>
        </is>
      </c>
    </row>
    <row r="152">
      <c r="A152" t="inlineStr">
        <is>
          <t>No</t>
        </is>
      </c>
      <c r="B152" t="inlineStr">
        <is>
          <t>CUHSL</t>
        </is>
      </c>
      <c r="C152" t="inlineStr">
        <is>
          <t>SHELVES</t>
        </is>
      </c>
      <c r="D152" t="inlineStr">
        <is>
          <t>WA 300 Q9t 1994</t>
        </is>
      </c>
      <c r="E152" t="inlineStr">
        <is>
          <t>0                      WA 0300000Q  9t          1994</t>
        </is>
      </c>
      <c r="F152" t="inlineStr">
        <is>
          <t>Transcultural medicine : dealing with patients from different cultures ; including 35 articles published in the British medical press, 1981-1988 / Bashir Quershi.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Qureshi, Bashir.</t>
        </is>
      </c>
      <c r="N152" t="inlineStr">
        <is>
          <t>Dordrecht ; Boston : Kluwer Academic Publishers, c1994.</t>
        </is>
      </c>
      <c r="O152" t="inlineStr">
        <is>
          <t>1994</t>
        </is>
      </c>
      <c r="P152" t="inlineStr">
        <is>
          <t>2nd ed.</t>
        </is>
      </c>
      <c r="Q152" t="inlineStr">
        <is>
          <t>eng</t>
        </is>
      </c>
      <c r="R152" t="inlineStr">
        <is>
          <t xml:space="preserve">ne </t>
        </is>
      </c>
      <c r="T152" t="inlineStr">
        <is>
          <t xml:space="preserve">WA </t>
        </is>
      </c>
      <c r="U152" t="n">
        <v>26</v>
      </c>
      <c r="V152" t="n">
        <v>26</v>
      </c>
      <c r="W152" t="inlineStr">
        <is>
          <t>2001-09-24</t>
        </is>
      </c>
      <c r="X152" t="inlineStr">
        <is>
          <t>2001-09-24</t>
        </is>
      </c>
      <c r="Y152" t="inlineStr">
        <is>
          <t>1994-09-14</t>
        </is>
      </c>
      <c r="Z152" t="inlineStr">
        <is>
          <t>1994-09-14</t>
        </is>
      </c>
      <c r="AA152" t="n">
        <v>177</v>
      </c>
      <c r="AB152" t="n">
        <v>122</v>
      </c>
      <c r="AC152" t="n">
        <v>197</v>
      </c>
      <c r="AD152" t="n">
        <v>1</v>
      </c>
      <c r="AE152" t="n">
        <v>1</v>
      </c>
      <c r="AF152" t="n">
        <v>4</v>
      </c>
      <c r="AG152" t="n">
        <v>5</v>
      </c>
      <c r="AH152" t="n">
        <v>0</v>
      </c>
      <c r="AI152" t="n">
        <v>0</v>
      </c>
      <c r="AJ152" t="n">
        <v>1</v>
      </c>
      <c r="AK152" t="n">
        <v>1</v>
      </c>
      <c r="AL152" t="n">
        <v>4</v>
      </c>
      <c r="AM152" t="n">
        <v>5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HYPERLINK("https://creighton-primo.hosted.exlibrisgroup.com/primo-explore/search?tab=default_tab&amp;search_scope=EVERYTHING&amp;vid=01CRU&amp;lang=en_US&amp;offset=0&amp;query=any,contains,991000485889702656","Catalog Record")</f>
        <v/>
      </c>
      <c r="AV152">
        <f>HYPERLINK("http://www.worldcat.org/oclc/29564068","WorldCat Record")</f>
        <v/>
      </c>
      <c r="AW152" t="inlineStr">
        <is>
          <t>17654609:eng</t>
        </is>
      </c>
      <c r="AX152" t="inlineStr">
        <is>
          <t>29564068</t>
        </is>
      </c>
      <c r="AY152" t="inlineStr">
        <is>
          <t>991000485889702656</t>
        </is>
      </c>
      <c r="AZ152" t="inlineStr">
        <is>
          <t>991000485889702656</t>
        </is>
      </c>
      <c r="BA152" t="inlineStr">
        <is>
          <t>2255588320002656</t>
        </is>
      </c>
      <c r="BB152" t="inlineStr">
        <is>
          <t>BOOK</t>
        </is>
      </c>
      <c r="BD152" t="inlineStr">
        <is>
          <t>9780792388364</t>
        </is>
      </c>
      <c r="BE152" t="inlineStr">
        <is>
          <t>30001002697425</t>
        </is>
      </c>
      <c r="BF152" t="inlineStr">
        <is>
          <t>893456893</t>
        </is>
      </c>
    </row>
    <row r="153">
      <c r="A153" t="inlineStr">
        <is>
          <t>No</t>
        </is>
      </c>
      <c r="B153" t="inlineStr">
        <is>
          <t>CUHSL</t>
        </is>
      </c>
      <c r="C153" t="inlineStr">
        <is>
          <t>SHELVES</t>
        </is>
      </c>
      <c r="D153" t="inlineStr">
        <is>
          <t>WA300 R121 2006</t>
        </is>
      </c>
      <c r="E153" t="inlineStr">
        <is>
          <t>0                      WA 0300000R  121         2006</t>
        </is>
      </c>
      <c r="F153" t="inlineStr">
        <is>
          <t>Racial and ethnic disparities in health and health care / Elene V. Metrosa, editor.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New York : Nova Science Publishers, c2006.</t>
        </is>
      </c>
      <c r="O153" t="inlineStr">
        <is>
          <t>2006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WA </t>
        </is>
      </c>
      <c r="U153" t="n">
        <v>1</v>
      </c>
      <c r="V153" t="n">
        <v>1</v>
      </c>
      <c r="W153" t="inlineStr">
        <is>
          <t>2009-01-29</t>
        </is>
      </c>
      <c r="X153" t="inlineStr">
        <is>
          <t>2009-01-29</t>
        </is>
      </c>
      <c r="Y153" t="inlineStr">
        <is>
          <t>2008-03-20</t>
        </is>
      </c>
      <c r="Z153" t="inlineStr">
        <is>
          <t>2008-03-20</t>
        </is>
      </c>
      <c r="AA153" t="n">
        <v>136</v>
      </c>
      <c r="AB153" t="n">
        <v>118</v>
      </c>
      <c r="AC153" t="n">
        <v>123</v>
      </c>
      <c r="AD153" t="n">
        <v>1</v>
      </c>
      <c r="AE153" t="n">
        <v>1</v>
      </c>
      <c r="AF153" t="n">
        <v>7</v>
      </c>
      <c r="AG153" t="n">
        <v>7</v>
      </c>
      <c r="AH153" t="n">
        <v>2</v>
      </c>
      <c r="AI153" t="n">
        <v>2</v>
      </c>
      <c r="AJ153" t="n">
        <v>3</v>
      </c>
      <c r="AK153" t="n">
        <v>3</v>
      </c>
      <c r="AL153" t="n">
        <v>5</v>
      </c>
      <c r="AM153" t="n">
        <v>5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HYPERLINK("https://creighton-primo.hosted.exlibrisgroup.com/primo-explore/search?tab=default_tab&amp;search_scope=EVERYTHING&amp;vid=01CRU&amp;lang=en_US&amp;offset=0&amp;query=any,contains,991000685519702656","Catalog Record")</f>
        <v/>
      </c>
      <c r="AV153">
        <f>HYPERLINK("http://www.worldcat.org/oclc/69391439","WorldCat Record")</f>
        <v/>
      </c>
      <c r="AW153" t="inlineStr">
        <is>
          <t>9827343608:eng</t>
        </is>
      </c>
      <c r="AX153" t="inlineStr">
        <is>
          <t>69391439</t>
        </is>
      </c>
      <c r="AY153" t="inlineStr">
        <is>
          <t>991000685519702656</t>
        </is>
      </c>
      <c r="AZ153" t="inlineStr">
        <is>
          <t>991000685519702656</t>
        </is>
      </c>
      <c r="BA153" t="inlineStr">
        <is>
          <t>2264266720002656</t>
        </is>
      </c>
      <c r="BB153" t="inlineStr">
        <is>
          <t>BOOK</t>
        </is>
      </c>
      <c r="BD153" t="inlineStr">
        <is>
          <t>9781600212680</t>
        </is>
      </c>
      <c r="BE153" t="inlineStr">
        <is>
          <t>30001005270824</t>
        </is>
      </c>
      <c r="BF153" t="inlineStr">
        <is>
          <t>893133400</t>
        </is>
      </c>
    </row>
    <row r="154">
      <c r="A154" t="inlineStr">
        <is>
          <t>No</t>
        </is>
      </c>
      <c r="B154" t="inlineStr">
        <is>
          <t>CUHSL</t>
        </is>
      </c>
      <c r="C154" t="inlineStr">
        <is>
          <t>SHELVES</t>
        </is>
      </c>
      <c r="D154" t="inlineStr">
        <is>
          <t>WA300 R324b 2001</t>
        </is>
      </c>
      <c r="E154" t="inlineStr">
        <is>
          <t>0                      WA 0300000R  324b        2001</t>
        </is>
      </c>
      <c r="F154" t="inlineStr">
        <is>
          <t>The Black man's guide to good health : essential advice for African American men and their families / James W. Reed, Neil Shulman, and Charlene Shucker.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Reed, James, 1944-</t>
        </is>
      </c>
      <c r="N154" t="inlineStr">
        <is>
          <t>Roscoe, Ill. : Hilton Pub., c2001.</t>
        </is>
      </c>
      <c r="O154" t="inlineStr">
        <is>
          <t>2001</t>
        </is>
      </c>
      <c r="P154" t="inlineStr">
        <is>
          <t>New and rev. ed.</t>
        </is>
      </c>
      <c r="Q154" t="inlineStr">
        <is>
          <t>eng</t>
        </is>
      </c>
      <c r="R154" t="inlineStr">
        <is>
          <t>ilu</t>
        </is>
      </c>
      <c r="T154" t="inlineStr">
        <is>
          <t xml:space="preserve">WA </t>
        </is>
      </c>
      <c r="U154" t="n">
        <v>1</v>
      </c>
      <c r="V154" t="n">
        <v>1</v>
      </c>
      <c r="W154" t="inlineStr">
        <is>
          <t>2004-06-06</t>
        </is>
      </c>
      <c r="X154" t="inlineStr">
        <is>
          <t>2004-06-06</t>
        </is>
      </c>
      <c r="Y154" t="inlineStr">
        <is>
          <t>2004-06-03</t>
        </is>
      </c>
      <c r="Z154" t="inlineStr">
        <is>
          <t>2004-06-03</t>
        </is>
      </c>
      <c r="AA154" t="n">
        <v>322</v>
      </c>
      <c r="AB154" t="n">
        <v>312</v>
      </c>
      <c r="AC154" t="n">
        <v>574</v>
      </c>
      <c r="AD154" t="n">
        <v>1</v>
      </c>
      <c r="AE154" t="n">
        <v>2</v>
      </c>
      <c r="AF154" t="n">
        <v>2</v>
      </c>
      <c r="AG154" t="n">
        <v>3</v>
      </c>
      <c r="AH154" t="n">
        <v>0</v>
      </c>
      <c r="AI154" t="n">
        <v>0</v>
      </c>
      <c r="AJ154" t="n">
        <v>1</v>
      </c>
      <c r="AK154" t="n">
        <v>2</v>
      </c>
      <c r="AL154" t="n">
        <v>1</v>
      </c>
      <c r="AM154" t="n">
        <v>2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HYPERLINK("https://creighton-primo.hosted.exlibrisgroup.com/primo-explore/search?tab=default_tab&amp;search_scope=EVERYTHING&amp;vid=01CRU&amp;lang=en_US&amp;offset=0&amp;query=any,contains,991000371069702656","Catalog Record")</f>
        <v/>
      </c>
      <c r="AV154">
        <f>HYPERLINK("http://www.worldcat.org/oclc/45232714","WorldCat Record")</f>
        <v/>
      </c>
      <c r="AW154" t="inlineStr">
        <is>
          <t>3858375385:eng</t>
        </is>
      </c>
      <c r="AX154" t="inlineStr">
        <is>
          <t>45232714</t>
        </is>
      </c>
      <c r="AY154" t="inlineStr">
        <is>
          <t>991000371069702656</t>
        </is>
      </c>
      <c r="AZ154" t="inlineStr">
        <is>
          <t>991000371069702656</t>
        </is>
      </c>
      <c r="BA154" t="inlineStr">
        <is>
          <t>2267086970002656</t>
        </is>
      </c>
      <c r="BB154" t="inlineStr">
        <is>
          <t>BOOK</t>
        </is>
      </c>
      <c r="BD154" t="inlineStr">
        <is>
          <t>9780967525815</t>
        </is>
      </c>
      <c r="BE154" t="inlineStr">
        <is>
          <t>30001004920320</t>
        </is>
      </c>
      <c r="BF154" t="inlineStr">
        <is>
          <t>893365376</t>
        </is>
      </c>
    </row>
    <row r="155">
      <c r="A155" t="inlineStr">
        <is>
          <t>No</t>
        </is>
      </c>
      <c r="B155" t="inlineStr">
        <is>
          <t>CUHSL</t>
        </is>
      </c>
      <c r="C155" t="inlineStr">
        <is>
          <t>SHELVES</t>
        </is>
      </c>
      <c r="D155" t="inlineStr">
        <is>
          <t>WA 300 R457g 2004</t>
        </is>
      </c>
      <c r="E155" t="inlineStr">
        <is>
          <t>0                      WA 0300000R  457g        2004</t>
        </is>
      </c>
      <c r="F155" t="inlineStr">
        <is>
          <t>Genes, culture, and medicine : bridging gaps in treatment for Hispanic Americans / by Carolina Reyes, [et al.]</t>
        </is>
      </c>
      <c r="H155" t="inlineStr">
        <is>
          <t>No</t>
        </is>
      </c>
      <c r="I155" t="inlineStr">
        <is>
          <t>1</t>
        </is>
      </c>
      <c r="J155" t="inlineStr">
        <is>
          <t>Yes</t>
        </is>
      </c>
      <c r="K155" t="inlineStr">
        <is>
          <t>No</t>
        </is>
      </c>
      <c r="L155" t="inlineStr">
        <is>
          <t>0</t>
        </is>
      </c>
      <c r="M155" t="inlineStr">
        <is>
          <t>Reyes, Carolina.</t>
        </is>
      </c>
      <c r="N155" t="inlineStr">
        <is>
          <t>Washington, DC : The National Alliance for Hispanic Health ; Reston, VA : The National Pharmaceutical Council, c2004.</t>
        </is>
      </c>
      <c r="O155" t="inlineStr">
        <is>
          <t>2004</t>
        </is>
      </c>
      <c r="Q155" t="inlineStr">
        <is>
          <t>eng</t>
        </is>
      </c>
      <c r="R155" t="inlineStr">
        <is>
          <t>dcu</t>
        </is>
      </c>
      <c r="T155" t="inlineStr">
        <is>
          <t xml:space="preserve">WA </t>
        </is>
      </c>
      <c r="U155" t="n">
        <v>1</v>
      </c>
      <c r="V155" t="n">
        <v>2</v>
      </c>
      <c r="W155" t="inlineStr">
        <is>
          <t>2010-09-16</t>
        </is>
      </c>
      <c r="X155" t="inlineStr">
        <is>
          <t>2010-09-16</t>
        </is>
      </c>
      <c r="Y155" t="inlineStr">
        <is>
          <t>2004-11-17</t>
        </is>
      </c>
      <c r="Z155" t="inlineStr">
        <is>
          <t>2005-04-10</t>
        </is>
      </c>
      <c r="AA155" t="n">
        <v>12</v>
      </c>
      <c r="AB155" t="n">
        <v>11</v>
      </c>
      <c r="AC155" t="n">
        <v>15</v>
      </c>
      <c r="AD155" t="n">
        <v>1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HYPERLINK("http://catalog.hathitrust.org/Record/101371231","HathiTrust Record")</f>
        <v/>
      </c>
      <c r="AU155">
        <f>HYPERLINK("https://creighton-primo.hosted.exlibrisgroup.com/primo-explore/search?tab=default_tab&amp;search_scope=EVERYTHING&amp;vid=01CRU&amp;lang=en_US&amp;offset=0&amp;query=any,contains,991000411539702656","Catalog Record")</f>
        <v/>
      </c>
      <c r="AV155">
        <f>HYPERLINK("http://www.worldcat.org/oclc/55805965","WorldCat Record")</f>
        <v/>
      </c>
      <c r="AW155" t="inlineStr">
        <is>
          <t>68768656:eng</t>
        </is>
      </c>
      <c r="AX155" t="inlineStr">
        <is>
          <t>55805965</t>
        </is>
      </c>
      <c r="AY155" t="inlineStr">
        <is>
          <t>991000411539702656</t>
        </is>
      </c>
      <c r="AZ155" t="inlineStr">
        <is>
          <t>991000411539702656</t>
        </is>
      </c>
      <c r="BA155" t="inlineStr">
        <is>
          <t>2260477900002656</t>
        </is>
      </c>
      <c r="BB155" t="inlineStr">
        <is>
          <t>BOOK</t>
        </is>
      </c>
      <c r="BD155" t="inlineStr">
        <is>
          <t>9780933084124</t>
        </is>
      </c>
      <c r="BE155" t="inlineStr">
        <is>
          <t>30001004925204</t>
        </is>
      </c>
      <c r="BF155" t="inlineStr">
        <is>
          <t>893136806</t>
        </is>
      </c>
    </row>
    <row r="156">
      <c r="A156" t="inlineStr">
        <is>
          <t>No</t>
        </is>
      </c>
      <c r="B156" t="inlineStr">
        <is>
          <t>CUHSL</t>
        </is>
      </c>
      <c r="C156" t="inlineStr">
        <is>
          <t>SHELVES</t>
        </is>
      </c>
      <c r="D156" t="inlineStr">
        <is>
          <t>WA 300 R457g 2004</t>
        </is>
      </c>
      <c r="E156" t="inlineStr">
        <is>
          <t>0                      WA 0300000R  457g        2004</t>
        </is>
      </c>
      <c r="F156" t="inlineStr">
        <is>
          <t>Genes, culture, and medicine : bridging gaps in treatment for Hispanic Americans / by Carolina Reyes, [et al.]</t>
        </is>
      </c>
      <c r="H156" t="inlineStr">
        <is>
          <t>No</t>
        </is>
      </c>
      <c r="I156" t="inlineStr">
        <is>
          <t>2</t>
        </is>
      </c>
      <c r="J156" t="inlineStr">
        <is>
          <t>Yes</t>
        </is>
      </c>
      <c r="K156" t="inlineStr">
        <is>
          <t>No</t>
        </is>
      </c>
      <c r="L156" t="inlineStr">
        <is>
          <t>0</t>
        </is>
      </c>
      <c r="M156" t="inlineStr">
        <is>
          <t>Reyes, Carolina.</t>
        </is>
      </c>
      <c r="N156" t="inlineStr">
        <is>
          <t>Washington, DC : The National Alliance for Hispanic Health ; Reston, VA : The National Pharmaceutical Council, c2004.</t>
        </is>
      </c>
      <c r="O156" t="inlineStr">
        <is>
          <t>2004</t>
        </is>
      </c>
      <c r="Q156" t="inlineStr">
        <is>
          <t>eng</t>
        </is>
      </c>
      <c r="R156" t="inlineStr">
        <is>
          <t>dcu</t>
        </is>
      </c>
      <c r="T156" t="inlineStr">
        <is>
          <t xml:space="preserve">WA </t>
        </is>
      </c>
      <c r="U156" t="n">
        <v>1</v>
      </c>
      <c r="V156" t="n">
        <v>2</v>
      </c>
      <c r="W156" t="inlineStr">
        <is>
          <t>2010-09-16</t>
        </is>
      </c>
      <c r="X156" t="inlineStr">
        <is>
          <t>2010-09-16</t>
        </is>
      </c>
      <c r="Y156" t="inlineStr">
        <is>
          <t>2005-04-10</t>
        </is>
      </c>
      <c r="Z156" t="inlineStr">
        <is>
          <t>2005-04-10</t>
        </is>
      </c>
      <c r="AA156" t="n">
        <v>12</v>
      </c>
      <c r="AB156" t="n">
        <v>11</v>
      </c>
      <c r="AC156" t="n">
        <v>15</v>
      </c>
      <c r="AD156" t="n">
        <v>1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HYPERLINK("http://catalog.hathitrust.org/Record/101371231","HathiTrust Record")</f>
        <v/>
      </c>
      <c r="AU156">
        <f>HYPERLINK("https://creighton-primo.hosted.exlibrisgroup.com/primo-explore/search?tab=default_tab&amp;search_scope=EVERYTHING&amp;vid=01CRU&amp;lang=en_US&amp;offset=0&amp;query=any,contains,991000411539702656","Catalog Record")</f>
        <v/>
      </c>
      <c r="AV156">
        <f>HYPERLINK("http://www.worldcat.org/oclc/55805965","WorldCat Record")</f>
        <v/>
      </c>
      <c r="AW156" t="inlineStr">
        <is>
          <t>68768656:eng</t>
        </is>
      </c>
      <c r="AX156" t="inlineStr">
        <is>
          <t>55805965</t>
        </is>
      </c>
      <c r="AY156" t="inlineStr">
        <is>
          <t>991000411539702656</t>
        </is>
      </c>
      <c r="AZ156" t="inlineStr">
        <is>
          <t>991000411539702656</t>
        </is>
      </c>
      <c r="BA156" t="inlineStr">
        <is>
          <t>2260477900002656</t>
        </is>
      </c>
      <c r="BB156" t="inlineStr">
        <is>
          <t>BOOK</t>
        </is>
      </c>
      <c r="BD156" t="inlineStr">
        <is>
          <t>9780933084124</t>
        </is>
      </c>
      <c r="BE156" t="inlineStr">
        <is>
          <t>30001004929453</t>
        </is>
      </c>
      <c r="BF156" t="inlineStr">
        <is>
          <t>893136805</t>
        </is>
      </c>
    </row>
    <row r="157">
      <c r="A157" t="inlineStr">
        <is>
          <t>No</t>
        </is>
      </c>
      <c r="B157" t="inlineStr">
        <is>
          <t>CUHSL</t>
        </is>
      </c>
      <c r="C157" t="inlineStr">
        <is>
          <t>SHELVES</t>
        </is>
      </c>
      <c r="D157" t="inlineStr">
        <is>
          <t>WA300 S345i 2002</t>
        </is>
      </c>
      <c r="E157" t="inlineStr">
        <is>
          <t>0                      WA 0300000S  345i        2002</t>
        </is>
      </c>
      <c r="F157" t="inlineStr">
        <is>
          <t>Immigrant access to health benefits : a resource manual / prepared for the Access Project by Claudia Schlosberg and edited by Doreena Wong, National Health Law Program.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Schlosberg, Claudia.</t>
        </is>
      </c>
      <c r="N157" t="inlineStr">
        <is>
          <t>Washington, D.C. : National Health Law Program ; Boston : Access Project, c2002.</t>
        </is>
      </c>
      <c r="O157" t="inlineStr">
        <is>
          <t>2002</t>
        </is>
      </c>
      <c r="Q157" t="inlineStr">
        <is>
          <t>eng</t>
        </is>
      </c>
      <c r="R157" t="inlineStr">
        <is>
          <t>dcu</t>
        </is>
      </c>
      <c r="T157" t="inlineStr">
        <is>
          <t xml:space="preserve">WA </t>
        </is>
      </c>
      <c r="U157" t="n">
        <v>2</v>
      </c>
      <c r="V157" t="n">
        <v>4</v>
      </c>
      <c r="W157" t="inlineStr">
        <is>
          <t>2005-10-07</t>
        </is>
      </c>
      <c r="X157" t="inlineStr">
        <is>
          <t>2010-05-27</t>
        </is>
      </c>
      <c r="Y157" t="inlineStr">
        <is>
          <t>2004-06-06</t>
        </is>
      </c>
      <c r="Z157" t="inlineStr">
        <is>
          <t>2004-06-10</t>
        </is>
      </c>
      <c r="AA157" t="n">
        <v>12</v>
      </c>
      <c r="AB157" t="n">
        <v>12</v>
      </c>
      <c r="AC157" t="n">
        <v>20</v>
      </c>
      <c r="AD157" t="n">
        <v>2</v>
      </c>
      <c r="AE157" t="n">
        <v>2</v>
      </c>
      <c r="AF157" t="n">
        <v>0</v>
      </c>
      <c r="AG157" t="n">
        <v>1</v>
      </c>
      <c r="AH157" t="n">
        <v>0</v>
      </c>
      <c r="AI157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HYPERLINK("https://creighton-primo.hosted.exlibrisgroup.com/primo-explore/search?tab=default_tab&amp;search_scope=EVERYTHING&amp;vid=01CRU&amp;lang=en_US&amp;offset=0&amp;query=any,contains,991001727449702656","Catalog Record")</f>
        <v/>
      </c>
      <c r="AV157">
        <f>HYPERLINK("http://www.worldcat.org/oclc/51731528","WorldCat Record")</f>
        <v/>
      </c>
      <c r="AW157" t="inlineStr">
        <is>
          <t>9435034:eng</t>
        </is>
      </c>
      <c r="AX157" t="inlineStr">
        <is>
          <t>51731528</t>
        </is>
      </c>
      <c r="AY157" t="inlineStr">
        <is>
          <t>991001727449702656</t>
        </is>
      </c>
      <c r="AZ157" t="inlineStr">
        <is>
          <t>991001727449702656</t>
        </is>
      </c>
      <c r="BA157" t="inlineStr">
        <is>
          <t>2255590420002656</t>
        </is>
      </c>
      <c r="BB157" t="inlineStr">
        <is>
          <t>BOOK</t>
        </is>
      </c>
      <c r="BE157" t="inlineStr">
        <is>
          <t>30001004920221</t>
        </is>
      </c>
      <c r="BF157" t="inlineStr">
        <is>
          <t>893468055</t>
        </is>
      </c>
    </row>
    <row r="158">
      <c r="A158" t="inlineStr">
        <is>
          <t>No</t>
        </is>
      </c>
      <c r="B158" t="inlineStr">
        <is>
          <t>CUHSL</t>
        </is>
      </c>
      <c r="C158" t="inlineStr">
        <is>
          <t>SHELVES</t>
        </is>
      </c>
      <c r="D158" t="inlineStr">
        <is>
          <t>WA300 S555v 2005</t>
        </is>
      </c>
      <c r="E158" t="inlineStr">
        <is>
          <t>0                      WA 0300000S  555v        2005</t>
        </is>
      </c>
      <c r="F158" t="inlineStr">
        <is>
          <t>Vulnerable populations in the United States / Leiyu Shi, Gregory D. Stevens.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2</t>
        </is>
      </c>
      <c r="M158" t="inlineStr">
        <is>
          <t>Shi, Leiyu.</t>
        </is>
      </c>
      <c r="N158" t="inlineStr">
        <is>
          <t>San Francisco, CA : Jossey-Bass, c2005.</t>
        </is>
      </c>
      <c r="O158" t="inlineStr">
        <is>
          <t>2005</t>
        </is>
      </c>
      <c r="P158" t="inlineStr">
        <is>
          <t>1st ed.</t>
        </is>
      </c>
      <c r="Q158" t="inlineStr">
        <is>
          <t>eng</t>
        </is>
      </c>
      <c r="R158" t="inlineStr">
        <is>
          <t>cau</t>
        </is>
      </c>
      <c r="T158" t="inlineStr">
        <is>
          <t xml:space="preserve">WA </t>
        </is>
      </c>
      <c r="U158" t="n">
        <v>4</v>
      </c>
      <c r="V158" t="n">
        <v>4</v>
      </c>
      <c r="W158" t="inlineStr">
        <is>
          <t>2006-12-09</t>
        </is>
      </c>
      <c r="X158" t="inlineStr">
        <is>
          <t>2006-12-09</t>
        </is>
      </c>
      <c r="Y158" t="inlineStr">
        <is>
          <t>2006-02-09</t>
        </is>
      </c>
      <c r="Z158" t="inlineStr">
        <is>
          <t>2006-02-09</t>
        </is>
      </c>
      <c r="AA158" t="n">
        <v>319</v>
      </c>
      <c r="AB158" t="n">
        <v>293</v>
      </c>
      <c r="AC158" t="n">
        <v>751</v>
      </c>
      <c r="AD158" t="n">
        <v>2</v>
      </c>
      <c r="AE158" t="n">
        <v>32</v>
      </c>
      <c r="AF158" t="n">
        <v>11</v>
      </c>
      <c r="AG158" t="n">
        <v>35</v>
      </c>
      <c r="AH158" t="n">
        <v>4</v>
      </c>
      <c r="AI158" t="n">
        <v>10</v>
      </c>
      <c r="AJ158" t="n">
        <v>2</v>
      </c>
      <c r="AK158" t="n">
        <v>4</v>
      </c>
      <c r="AL158" t="n">
        <v>6</v>
      </c>
      <c r="AM158" t="n">
        <v>13</v>
      </c>
      <c r="AN158" t="n">
        <v>1</v>
      </c>
      <c r="AO158" t="n">
        <v>12</v>
      </c>
      <c r="AP158" t="n">
        <v>0</v>
      </c>
      <c r="AQ158" t="n">
        <v>1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HYPERLINK("https://creighton-primo.hosted.exlibrisgroup.com/primo-explore/search?tab=default_tab&amp;search_scope=EVERYTHING&amp;vid=01CRU&amp;lang=en_US&amp;offset=0&amp;query=any,contains,991000463379702656","Catalog Record")</f>
        <v/>
      </c>
      <c r="AV158">
        <f>HYPERLINK("http://www.worldcat.org/oclc/55746870","WorldCat Record")</f>
        <v/>
      </c>
      <c r="AW158" t="inlineStr">
        <is>
          <t>968838:eng</t>
        </is>
      </c>
      <c r="AX158" t="inlineStr">
        <is>
          <t>55746870</t>
        </is>
      </c>
      <c r="AY158" t="inlineStr">
        <is>
          <t>991000463379702656</t>
        </is>
      </c>
      <c r="AZ158" t="inlineStr">
        <is>
          <t>991000463379702656</t>
        </is>
      </c>
      <c r="BA158" t="inlineStr">
        <is>
          <t>2264248340002656</t>
        </is>
      </c>
      <c r="BB158" t="inlineStr">
        <is>
          <t>BOOK</t>
        </is>
      </c>
      <c r="BD158" t="inlineStr">
        <is>
          <t>9780787969585</t>
        </is>
      </c>
      <c r="BE158" t="inlineStr">
        <is>
          <t>30001004912830</t>
        </is>
      </c>
      <c r="BF158" t="inlineStr">
        <is>
          <t>893136913</t>
        </is>
      </c>
    </row>
    <row r="159">
      <c r="A159" t="inlineStr">
        <is>
          <t>No</t>
        </is>
      </c>
      <c r="B159" t="inlineStr">
        <is>
          <t>CUHSL</t>
        </is>
      </c>
      <c r="C159" t="inlineStr">
        <is>
          <t>SHELVES</t>
        </is>
      </c>
      <c r="D159" t="inlineStr">
        <is>
          <t>WA300  S741 1999</t>
        </is>
      </c>
      <c r="E159" t="inlineStr">
        <is>
          <t>0                      WA 0300000S  741         1999</t>
        </is>
      </c>
      <c r="F159" t="inlineStr">
        <is>
          <t>Special populations / Howard Frumkin, Glenn Pransky, guest editors.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Philadelphia : Hanley &amp; Belfus, c1999.</t>
        </is>
      </c>
      <c r="O159" t="inlineStr">
        <is>
          <t>1999</t>
        </is>
      </c>
      <c r="Q159" t="inlineStr">
        <is>
          <t>eng</t>
        </is>
      </c>
      <c r="R159" t="inlineStr">
        <is>
          <t>pau</t>
        </is>
      </c>
      <c r="S159" t="inlineStr">
        <is>
          <t>Occupational medicine, state of the art reviews, 0885-114X ; v. 14, no. 3</t>
        </is>
      </c>
      <c r="T159" t="inlineStr">
        <is>
          <t xml:space="preserve">WA </t>
        </is>
      </c>
      <c r="U159" t="n">
        <v>2</v>
      </c>
      <c r="V159" t="n">
        <v>2</v>
      </c>
      <c r="W159" t="inlineStr">
        <is>
          <t>2004-03-02</t>
        </is>
      </c>
      <c r="X159" t="inlineStr">
        <is>
          <t>2004-03-02</t>
        </is>
      </c>
      <c r="Y159" t="inlineStr">
        <is>
          <t>2004-02-29</t>
        </is>
      </c>
      <c r="Z159" t="inlineStr">
        <is>
          <t>2004-02-29</t>
        </is>
      </c>
      <c r="AA159" t="n">
        <v>43</v>
      </c>
      <c r="AB159" t="n">
        <v>33</v>
      </c>
      <c r="AC159" t="n">
        <v>33</v>
      </c>
      <c r="AD159" t="n">
        <v>1</v>
      </c>
      <c r="AE159" t="n">
        <v>1</v>
      </c>
      <c r="AF159" t="n">
        <v>1</v>
      </c>
      <c r="AG159" t="n">
        <v>1</v>
      </c>
      <c r="AH159" t="n">
        <v>0</v>
      </c>
      <c r="AI159" t="n">
        <v>0</v>
      </c>
      <c r="AJ159" t="n">
        <v>1</v>
      </c>
      <c r="AK159" t="n">
        <v>1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HYPERLINK("https://creighton-primo.hosted.exlibrisgroup.com/primo-explore/search?tab=default_tab&amp;search_scope=EVERYTHING&amp;vid=01CRU&amp;lang=en_US&amp;offset=0&amp;query=any,contains,991000367209702656","Catalog Record")</f>
        <v/>
      </c>
      <c r="AV159">
        <f>HYPERLINK("http://www.worldcat.org/oclc/42369123","WorldCat Record")</f>
        <v/>
      </c>
      <c r="AW159" t="inlineStr">
        <is>
          <t>5612652570:eng</t>
        </is>
      </c>
      <c r="AX159" t="inlineStr">
        <is>
          <t>42369123</t>
        </is>
      </c>
      <c r="AY159" t="inlineStr">
        <is>
          <t>991000367209702656</t>
        </is>
      </c>
      <c r="AZ159" t="inlineStr">
        <is>
          <t>991000367209702656</t>
        </is>
      </c>
      <c r="BA159" t="inlineStr">
        <is>
          <t>2265106260002656</t>
        </is>
      </c>
      <c r="BB159" t="inlineStr">
        <is>
          <t>BOOK</t>
        </is>
      </c>
      <c r="BD159" t="inlineStr">
        <is>
          <t>9781560532873</t>
        </is>
      </c>
      <c r="BE159" t="inlineStr">
        <is>
          <t>30001004509644</t>
        </is>
      </c>
      <c r="BF159" t="inlineStr">
        <is>
          <t>893269409</t>
        </is>
      </c>
    </row>
    <row r="160">
      <c r="A160" t="inlineStr">
        <is>
          <t>No</t>
        </is>
      </c>
      <c r="B160" t="inlineStr">
        <is>
          <t>CUHSL</t>
        </is>
      </c>
      <c r="C160" t="inlineStr">
        <is>
          <t>SHELVES</t>
        </is>
      </c>
      <c r="D160" t="inlineStr">
        <is>
          <t>WA 300 S741c 2004</t>
        </is>
      </c>
      <c r="E160" t="inlineStr">
        <is>
          <t>0                      WA 0300000S  741c        2004</t>
        </is>
      </c>
      <c r="F160" t="inlineStr">
        <is>
          <t>Cultural diversity in health &amp; illness / Rachael E. Spector.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Yes</t>
        </is>
      </c>
      <c r="L160" t="inlineStr">
        <is>
          <t>1</t>
        </is>
      </c>
      <c r="M160" t="inlineStr">
        <is>
          <t>Spector, Rachel E., 1940-</t>
        </is>
      </c>
      <c r="N160" t="inlineStr">
        <is>
          <t>Upper Saddle River, N.J. : Prentice Hall, c2004.</t>
        </is>
      </c>
      <c r="O160" t="inlineStr">
        <is>
          <t>2004</t>
        </is>
      </c>
      <c r="P160" t="inlineStr">
        <is>
          <t>6th ed.</t>
        </is>
      </c>
      <c r="Q160" t="inlineStr">
        <is>
          <t>eng</t>
        </is>
      </c>
      <c r="R160" t="inlineStr">
        <is>
          <t>nju</t>
        </is>
      </c>
      <c r="T160" t="inlineStr">
        <is>
          <t xml:space="preserve">WA </t>
        </is>
      </c>
      <c r="U160" t="n">
        <v>18</v>
      </c>
      <c r="V160" t="n">
        <v>18</v>
      </c>
      <c r="W160" t="inlineStr">
        <is>
          <t>2010-09-27</t>
        </is>
      </c>
      <c r="X160" t="inlineStr">
        <is>
          <t>2010-09-27</t>
        </is>
      </c>
      <c r="Y160" t="inlineStr">
        <is>
          <t>2004-06-06</t>
        </is>
      </c>
      <c r="Z160" t="inlineStr">
        <is>
          <t>2004-06-06</t>
        </is>
      </c>
      <c r="AA160" t="n">
        <v>746</v>
      </c>
      <c r="AB160" t="n">
        <v>614</v>
      </c>
      <c r="AC160" t="n">
        <v>1836</v>
      </c>
      <c r="AD160" t="n">
        <v>4</v>
      </c>
      <c r="AE160" t="n">
        <v>9</v>
      </c>
      <c r="AF160" t="n">
        <v>21</v>
      </c>
      <c r="AG160" t="n">
        <v>52</v>
      </c>
      <c r="AH160" t="n">
        <v>8</v>
      </c>
      <c r="AI160" t="n">
        <v>22</v>
      </c>
      <c r="AJ160" t="n">
        <v>4</v>
      </c>
      <c r="AK160" t="n">
        <v>8</v>
      </c>
      <c r="AL160" t="n">
        <v>10</v>
      </c>
      <c r="AM160" t="n">
        <v>23</v>
      </c>
      <c r="AN160" t="n">
        <v>3</v>
      </c>
      <c r="AO160" t="n">
        <v>8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HYPERLINK("http://catalog.hathitrust.org/Record/005563069","HathiTrust Record")</f>
        <v/>
      </c>
      <c r="AU160">
        <f>HYPERLINK("https://creighton-primo.hosted.exlibrisgroup.com/primo-explore/search?tab=default_tab&amp;search_scope=EVERYTHING&amp;vid=01CRU&amp;lang=en_US&amp;offset=0&amp;query=any,contains,991000373609702656","Catalog Record")</f>
        <v/>
      </c>
      <c r="AV160">
        <f>HYPERLINK("http://www.worldcat.org/oclc/51800002","WorldCat Record")</f>
        <v/>
      </c>
      <c r="AW160" t="inlineStr">
        <is>
          <t>4783924010:eng</t>
        </is>
      </c>
      <c r="AX160" t="inlineStr">
        <is>
          <t>51800002</t>
        </is>
      </c>
      <c r="AY160" t="inlineStr">
        <is>
          <t>991000373609702656</t>
        </is>
      </c>
      <c r="AZ160" t="inlineStr">
        <is>
          <t>991000373609702656</t>
        </is>
      </c>
      <c r="BA160" t="inlineStr">
        <is>
          <t>2257758120002656</t>
        </is>
      </c>
      <c r="BB160" t="inlineStr">
        <is>
          <t>BOOK</t>
        </is>
      </c>
      <c r="BD160" t="inlineStr">
        <is>
          <t>9780130493798</t>
        </is>
      </c>
      <c r="BE160" t="inlineStr">
        <is>
          <t>30001004509115</t>
        </is>
      </c>
      <c r="BF160" t="inlineStr">
        <is>
          <t>893723410</t>
        </is>
      </c>
    </row>
    <row r="161">
      <c r="A161" t="inlineStr">
        <is>
          <t>No</t>
        </is>
      </c>
      <c r="B161" t="inlineStr">
        <is>
          <t>CUHSL</t>
        </is>
      </c>
      <c r="C161" t="inlineStr">
        <is>
          <t>SHELVES</t>
        </is>
      </c>
      <c r="D161" t="inlineStr">
        <is>
          <t>WA300 U588 1998</t>
        </is>
      </c>
      <c r="E161" t="inlineStr">
        <is>
          <t>0                      WA 0300000U  588         1998</t>
        </is>
      </c>
      <c r="F161" t="inlineStr">
        <is>
          <t>U.S.-Mexico border health : issues for regional and migrant populations / [edited by] J. Gerard Power and Theresa Byrd.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Thousand Oaks, CA : Sage Publications, c1998.</t>
        </is>
      </c>
      <c r="O161" t="inlineStr">
        <is>
          <t>1998</t>
        </is>
      </c>
      <c r="Q161" t="inlineStr">
        <is>
          <t>eng</t>
        </is>
      </c>
      <c r="R161" t="inlineStr">
        <is>
          <t>cau</t>
        </is>
      </c>
      <c r="T161" t="inlineStr">
        <is>
          <t xml:space="preserve">WA </t>
        </is>
      </c>
      <c r="U161" t="n">
        <v>0</v>
      </c>
      <c r="V161" t="n">
        <v>0</v>
      </c>
      <c r="W161" t="inlineStr">
        <is>
          <t>2004-06-06</t>
        </is>
      </c>
      <c r="X161" t="inlineStr">
        <is>
          <t>2004-06-06</t>
        </is>
      </c>
      <c r="Y161" t="inlineStr">
        <is>
          <t>2004-06-06</t>
        </is>
      </c>
      <c r="Z161" t="inlineStr">
        <is>
          <t>2004-06-06</t>
        </is>
      </c>
      <c r="AA161" t="n">
        <v>201</v>
      </c>
      <c r="AB161" t="n">
        <v>186</v>
      </c>
      <c r="AC161" t="n">
        <v>193</v>
      </c>
      <c r="AD161" t="n">
        <v>2</v>
      </c>
      <c r="AE161" t="n">
        <v>2</v>
      </c>
      <c r="AF161" t="n">
        <v>6</v>
      </c>
      <c r="AG161" t="n">
        <v>6</v>
      </c>
      <c r="AH161" t="n">
        <v>2</v>
      </c>
      <c r="AI161" t="n">
        <v>2</v>
      </c>
      <c r="AJ161" t="n">
        <v>1</v>
      </c>
      <c r="AK161" t="n">
        <v>1</v>
      </c>
      <c r="AL161" t="n">
        <v>4</v>
      </c>
      <c r="AM161" t="n">
        <v>4</v>
      </c>
      <c r="AN161" t="n">
        <v>1</v>
      </c>
      <c r="AO161" t="n">
        <v>1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HYPERLINK("http://catalog.hathitrust.org/Record/003978205","HathiTrust Record")</f>
        <v/>
      </c>
      <c r="AU161">
        <f>HYPERLINK("https://creighton-primo.hosted.exlibrisgroup.com/primo-explore/search?tab=default_tab&amp;search_scope=EVERYTHING&amp;vid=01CRU&amp;lang=en_US&amp;offset=0&amp;query=any,contains,991000373369702656","Catalog Record")</f>
        <v/>
      </c>
      <c r="AV161">
        <f>HYPERLINK("http://www.worldcat.org/oclc/38281713","WorldCat Record")</f>
        <v/>
      </c>
      <c r="AW161" t="inlineStr">
        <is>
          <t>837044066:eng</t>
        </is>
      </c>
      <c r="AX161" t="inlineStr">
        <is>
          <t>38281713</t>
        </is>
      </c>
      <c r="AY161" t="inlineStr">
        <is>
          <t>991000373369702656</t>
        </is>
      </c>
      <c r="AZ161" t="inlineStr">
        <is>
          <t>991000373369702656</t>
        </is>
      </c>
      <c r="BA161" t="inlineStr">
        <is>
          <t>2262461720002656</t>
        </is>
      </c>
      <c r="BB161" t="inlineStr">
        <is>
          <t>BOOK</t>
        </is>
      </c>
      <c r="BD161" t="inlineStr">
        <is>
          <t>9780761908951</t>
        </is>
      </c>
      <c r="BE161" t="inlineStr">
        <is>
          <t>30001004509859</t>
        </is>
      </c>
      <c r="BF161" t="inlineStr">
        <is>
          <t>893817048</t>
        </is>
      </c>
    </row>
    <row r="162">
      <c r="A162" t="inlineStr">
        <is>
          <t>No</t>
        </is>
      </c>
      <c r="B162" t="inlineStr">
        <is>
          <t>CUHSL</t>
        </is>
      </c>
      <c r="C162" t="inlineStr">
        <is>
          <t>SHELVES</t>
        </is>
      </c>
      <c r="D162" t="inlineStr">
        <is>
          <t>WA 300 W927 1993</t>
        </is>
      </c>
      <c r="E162" t="inlineStr">
        <is>
          <t>0                      WA 0300000W  927         1993</t>
        </is>
      </c>
      <c r="F162" t="inlineStr">
        <is>
          <t>Women's health and development : a global challenge / [edited by] Beverly J. McElmurry, Kathleen F. Norr, Randy Spreen Parker.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Boston : Jones and Bartlett, c1993.</t>
        </is>
      </c>
      <c r="O162" t="inlineStr">
        <is>
          <t>1993</t>
        </is>
      </c>
      <c r="Q162" t="inlineStr">
        <is>
          <t>eng</t>
        </is>
      </c>
      <c r="R162" t="inlineStr">
        <is>
          <t>mau</t>
        </is>
      </c>
      <c r="T162" t="inlineStr">
        <is>
          <t xml:space="preserve">WA </t>
        </is>
      </c>
      <c r="U162" t="n">
        <v>9</v>
      </c>
      <c r="V162" t="n">
        <v>9</v>
      </c>
      <c r="W162" t="inlineStr">
        <is>
          <t>2007-04-16</t>
        </is>
      </c>
      <c r="X162" t="inlineStr">
        <is>
          <t>2007-04-16</t>
        </is>
      </c>
      <c r="Y162" t="inlineStr">
        <is>
          <t>1993-08-26</t>
        </is>
      </c>
      <c r="Z162" t="inlineStr">
        <is>
          <t>1993-08-26</t>
        </is>
      </c>
      <c r="AA162" t="n">
        <v>305</v>
      </c>
      <c r="AB162" t="n">
        <v>242</v>
      </c>
      <c r="AC162" t="n">
        <v>634</v>
      </c>
      <c r="AD162" t="n">
        <v>1</v>
      </c>
      <c r="AE162" t="n">
        <v>2</v>
      </c>
      <c r="AF162" t="n">
        <v>9</v>
      </c>
      <c r="AG162" t="n">
        <v>14</v>
      </c>
      <c r="AH162" t="n">
        <v>2</v>
      </c>
      <c r="AI162" t="n">
        <v>6</v>
      </c>
      <c r="AJ162" t="n">
        <v>5</v>
      </c>
      <c r="AK162" t="n">
        <v>5</v>
      </c>
      <c r="AL162" t="n">
        <v>6</v>
      </c>
      <c r="AM162" t="n">
        <v>7</v>
      </c>
      <c r="AN162" t="n">
        <v>0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HYPERLINK("http://catalog.hathitrust.org/Record/002726692","HathiTrust Record")</f>
        <v/>
      </c>
      <c r="AU162">
        <f>HYPERLINK("https://creighton-primo.hosted.exlibrisgroup.com/primo-explore/search?tab=default_tab&amp;search_scope=EVERYTHING&amp;vid=01CRU&amp;lang=en_US&amp;offset=0&amp;query=any,contains,991001547479702656","Catalog Record")</f>
        <v/>
      </c>
      <c r="AV162">
        <f>HYPERLINK("http://www.worldcat.org/oclc/28375623","WorldCat Record")</f>
        <v/>
      </c>
      <c r="AW162" t="inlineStr">
        <is>
          <t>797085428:eng</t>
        </is>
      </c>
      <c r="AX162" t="inlineStr">
        <is>
          <t>28375623</t>
        </is>
      </c>
      <c r="AY162" t="inlineStr">
        <is>
          <t>991001547479702656</t>
        </is>
      </c>
      <c r="AZ162" t="inlineStr">
        <is>
          <t>991001547479702656</t>
        </is>
      </c>
      <c r="BA162" t="inlineStr">
        <is>
          <t>2255356730002656</t>
        </is>
      </c>
      <c r="BB162" t="inlineStr">
        <is>
          <t>BOOK</t>
        </is>
      </c>
      <c r="BE162" t="inlineStr">
        <is>
          <t>30001002643825</t>
        </is>
      </c>
      <c r="BF162" t="inlineStr">
        <is>
          <t>893284895</t>
        </is>
      </c>
    </row>
    <row r="163">
      <c r="A163" t="inlineStr">
        <is>
          <t>No</t>
        </is>
      </c>
      <c r="B163" t="inlineStr">
        <is>
          <t>CUHSL</t>
        </is>
      </c>
      <c r="C163" t="inlineStr">
        <is>
          <t>SHELVES</t>
        </is>
      </c>
      <c r="D163" t="inlineStr">
        <is>
          <t>WA 300 W951 1987</t>
        </is>
      </c>
      <c r="E163" t="inlineStr">
        <is>
          <t>0                      WA 0300000W  951         1987</t>
        </is>
      </c>
      <c r="F163" t="inlineStr">
        <is>
          <t>Homelessness and health / James D. Wright and Eleanor Weber ; with contributions from Peter H. Rossi, Julie A. Lam, and Janet Wilson Knight ; preface by Senator Edward M. Kennedy.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Wright, James D.</t>
        </is>
      </c>
      <c r="N163" t="inlineStr">
        <is>
          <t>Washington, D.C. : McGraw-Hill's Healthcare Information Center, c1987.</t>
        </is>
      </c>
      <c r="O163" t="inlineStr">
        <is>
          <t>1987</t>
        </is>
      </c>
      <c r="Q163" t="inlineStr">
        <is>
          <t>eng</t>
        </is>
      </c>
      <c r="R163" t="inlineStr">
        <is>
          <t>dcu</t>
        </is>
      </c>
      <c r="T163" t="inlineStr">
        <is>
          <t xml:space="preserve">WA </t>
        </is>
      </c>
      <c r="U163" t="n">
        <v>31</v>
      </c>
      <c r="V163" t="n">
        <v>31</v>
      </c>
      <c r="W163" t="inlineStr">
        <is>
          <t>1997-08-11</t>
        </is>
      </c>
      <c r="X163" t="inlineStr">
        <is>
          <t>1997-08-11</t>
        </is>
      </c>
      <c r="Y163" t="inlineStr">
        <is>
          <t>1989-03-16</t>
        </is>
      </c>
      <c r="Z163" t="inlineStr">
        <is>
          <t>1989-03-16</t>
        </is>
      </c>
      <c r="AA163" t="n">
        <v>96</v>
      </c>
      <c r="AB163" t="n">
        <v>80</v>
      </c>
      <c r="AC163" t="n">
        <v>80</v>
      </c>
      <c r="AD163" t="n">
        <v>1</v>
      </c>
      <c r="AE163" t="n">
        <v>1</v>
      </c>
      <c r="AF163" t="n">
        <v>3</v>
      </c>
      <c r="AG163" t="n">
        <v>3</v>
      </c>
      <c r="AH163" t="n">
        <v>0</v>
      </c>
      <c r="AI163" t="n">
        <v>0</v>
      </c>
      <c r="AJ163" t="n">
        <v>1</v>
      </c>
      <c r="AK163" t="n">
        <v>1</v>
      </c>
      <c r="AL163" t="n">
        <v>2</v>
      </c>
      <c r="AM163" t="n">
        <v>2</v>
      </c>
      <c r="AN163" t="n">
        <v>0</v>
      </c>
      <c r="AO163" t="n">
        <v>0</v>
      </c>
      <c r="AP163" t="n">
        <v>1</v>
      </c>
      <c r="AQ163" t="n">
        <v>1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HYPERLINK("https://creighton-primo.hosted.exlibrisgroup.com/primo-explore/search?tab=default_tab&amp;search_scope=EVERYTHING&amp;vid=01CRU&amp;lang=en_US&amp;offset=0&amp;query=any,contains,991001241729702656","Catalog Record")</f>
        <v/>
      </c>
      <c r="AV163">
        <f>HYPERLINK("http://www.worldcat.org/oclc/17636038","WorldCat Record")</f>
        <v/>
      </c>
      <c r="AW163" t="inlineStr">
        <is>
          <t>1780215173:eng</t>
        </is>
      </c>
      <c r="AX163" t="inlineStr">
        <is>
          <t>17636038</t>
        </is>
      </c>
      <c r="AY163" t="inlineStr">
        <is>
          <t>991001241729702656</t>
        </is>
      </c>
      <c r="AZ163" t="inlineStr">
        <is>
          <t>991001241729702656</t>
        </is>
      </c>
      <c r="BA163" t="inlineStr">
        <is>
          <t>2255104460002656</t>
        </is>
      </c>
      <c r="BB163" t="inlineStr">
        <is>
          <t>BOOK</t>
        </is>
      </c>
      <c r="BE163" t="inlineStr">
        <is>
          <t>30001001675802</t>
        </is>
      </c>
      <c r="BF163" t="inlineStr">
        <is>
          <t>893374388</t>
        </is>
      </c>
    </row>
    <row r="164">
      <c r="A164" t="inlineStr">
        <is>
          <t>No</t>
        </is>
      </c>
      <c r="B164" t="inlineStr">
        <is>
          <t>CUHSL</t>
        </is>
      </c>
      <c r="C164" t="inlineStr">
        <is>
          <t>SHELVES</t>
        </is>
      </c>
      <c r="D164" t="inlineStr">
        <is>
          <t>WA 300.1 S518 2009</t>
        </is>
      </c>
      <c r="E164" t="inlineStr">
        <is>
          <t>0                      WA 0300100S  518         2009</t>
        </is>
      </c>
      <c r="F164" t="inlineStr">
        <is>
          <t>Sexualities and identities of minority women / Sana Loue, editor.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1</t>
        </is>
      </c>
      <c r="N164" t="inlineStr">
        <is>
          <t>New York : Springer, c2009.</t>
        </is>
      </c>
      <c r="O164" t="inlineStr">
        <is>
          <t>2009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WA </t>
        </is>
      </c>
      <c r="U164" t="n">
        <v>0</v>
      </c>
      <c r="V164" t="n">
        <v>0</v>
      </c>
      <c r="W164" t="inlineStr">
        <is>
          <t>2009-10-07</t>
        </is>
      </c>
      <c r="X164" t="inlineStr">
        <is>
          <t>2009-10-07</t>
        </is>
      </c>
      <c r="Y164" t="inlineStr">
        <is>
          <t>2009-10-01</t>
        </is>
      </c>
      <c r="Z164" t="inlineStr">
        <is>
          <t>2009-10-01</t>
        </is>
      </c>
      <c r="AA164" t="n">
        <v>92</v>
      </c>
      <c r="AB164" t="n">
        <v>71</v>
      </c>
      <c r="AC164" t="n">
        <v>317</v>
      </c>
      <c r="AD164" t="n">
        <v>1</v>
      </c>
      <c r="AE164" t="n">
        <v>2</v>
      </c>
      <c r="AF164" t="n">
        <v>1</v>
      </c>
      <c r="AG164" t="n">
        <v>5</v>
      </c>
      <c r="AH164" t="n">
        <v>1</v>
      </c>
      <c r="AI164" t="n">
        <v>4</v>
      </c>
      <c r="AJ164" t="n">
        <v>0</v>
      </c>
      <c r="AK164" t="n">
        <v>0</v>
      </c>
      <c r="AL164" t="n">
        <v>1</v>
      </c>
      <c r="AM164" t="n">
        <v>4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HYPERLINK("https://creighton-primo.hosted.exlibrisgroup.com/primo-explore/search?tab=default_tab&amp;search_scope=EVERYTHING&amp;vid=01CRU&amp;lang=en_US&amp;offset=0&amp;query=any,contains,991001496049702656","Catalog Record")</f>
        <v/>
      </c>
      <c r="AV164">
        <f>HYPERLINK("http://www.worldcat.org/oclc/430054653","WorldCat Record")</f>
        <v/>
      </c>
      <c r="AW164" t="inlineStr">
        <is>
          <t>766691670:eng</t>
        </is>
      </c>
      <c r="AX164" t="inlineStr">
        <is>
          <t>430054653</t>
        </is>
      </c>
      <c r="AY164" t="inlineStr">
        <is>
          <t>991001496049702656</t>
        </is>
      </c>
      <c r="AZ164" t="inlineStr">
        <is>
          <t>991001496049702656</t>
        </is>
      </c>
      <c r="BA164" t="inlineStr">
        <is>
          <t>2259107130002656</t>
        </is>
      </c>
      <c r="BB164" t="inlineStr">
        <is>
          <t>BOOK</t>
        </is>
      </c>
      <c r="BD164" t="inlineStr">
        <is>
          <t>9780387756561</t>
        </is>
      </c>
      <c r="BE164" t="inlineStr">
        <is>
          <t>30001004919702</t>
        </is>
      </c>
      <c r="BF164" t="inlineStr">
        <is>
          <t>893465575</t>
        </is>
      </c>
    </row>
    <row r="165">
      <c r="A165" t="inlineStr">
        <is>
          <t>No</t>
        </is>
      </c>
      <c r="B165" t="inlineStr">
        <is>
          <t>CUHSL</t>
        </is>
      </c>
      <c r="C165" t="inlineStr">
        <is>
          <t>SHELVES</t>
        </is>
      </c>
      <c r="D165" t="inlineStr">
        <is>
          <t>WA305 A227 2006</t>
        </is>
      </c>
      <c r="E165" t="inlineStr">
        <is>
          <t>0                      WA 0305000A  227         2006</t>
        </is>
      </c>
      <c r="F165" t="inlineStr">
        <is>
          <t>Addressing racism : facilitating cultural competence in mental health and educational settings / edited by Madonna G. Constantine, Derald Wing Sue.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Hoboken, N.J. : John Wiley &amp; Sons, c2006.</t>
        </is>
      </c>
      <c r="O165" t="inlineStr">
        <is>
          <t>2006</t>
        </is>
      </c>
      <c r="Q165" t="inlineStr">
        <is>
          <t>eng</t>
        </is>
      </c>
      <c r="R165" t="inlineStr">
        <is>
          <t>nju</t>
        </is>
      </c>
      <c r="T165" t="inlineStr">
        <is>
          <t xml:space="preserve">WA </t>
        </is>
      </c>
      <c r="U165" t="n">
        <v>2</v>
      </c>
      <c r="V165" t="n">
        <v>2</v>
      </c>
      <c r="W165" t="inlineStr">
        <is>
          <t>2010-09-15</t>
        </is>
      </c>
      <c r="X165" t="inlineStr">
        <is>
          <t>2010-09-15</t>
        </is>
      </c>
      <c r="Y165" t="inlineStr">
        <is>
          <t>2008-04-17</t>
        </is>
      </c>
      <c r="Z165" t="inlineStr">
        <is>
          <t>2008-04-17</t>
        </is>
      </c>
      <c r="AA165" t="n">
        <v>333</v>
      </c>
      <c r="AB165" t="n">
        <v>267</v>
      </c>
      <c r="AC165" t="n">
        <v>312</v>
      </c>
      <c r="AD165" t="n">
        <v>4</v>
      </c>
      <c r="AE165" t="n">
        <v>4</v>
      </c>
      <c r="AF165" t="n">
        <v>12</v>
      </c>
      <c r="AG165" t="n">
        <v>16</v>
      </c>
      <c r="AH165" t="n">
        <v>4</v>
      </c>
      <c r="AI165" t="n">
        <v>5</v>
      </c>
      <c r="AJ165" t="n">
        <v>2</v>
      </c>
      <c r="AK165" t="n">
        <v>3</v>
      </c>
      <c r="AL165" t="n">
        <v>8</v>
      </c>
      <c r="AM165" t="n">
        <v>10</v>
      </c>
      <c r="AN165" t="n">
        <v>3</v>
      </c>
      <c r="AO165" t="n">
        <v>3</v>
      </c>
      <c r="AP165" t="n">
        <v>0</v>
      </c>
      <c r="AQ165" t="n">
        <v>1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HYPERLINK("https://creighton-primo.hosted.exlibrisgroup.com/primo-explore/search?tab=default_tab&amp;search_scope=EVERYTHING&amp;vid=01CRU&amp;lang=en_US&amp;offset=0&amp;query=any,contains,991000693149702656","Catalog Record")</f>
        <v/>
      </c>
      <c r="AV165">
        <f>HYPERLINK("http://www.worldcat.org/oclc/61879765","WorldCat Record")</f>
        <v/>
      </c>
      <c r="AW165" t="inlineStr">
        <is>
          <t>796453324:eng</t>
        </is>
      </c>
      <c r="AX165" t="inlineStr">
        <is>
          <t>61879765</t>
        </is>
      </c>
      <c r="AY165" t="inlineStr">
        <is>
          <t>991000693149702656</t>
        </is>
      </c>
      <c r="AZ165" t="inlineStr">
        <is>
          <t>991000693149702656</t>
        </is>
      </c>
      <c r="BA165" t="inlineStr">
        <is>
          <t>2256598250002656</t>
        </is>
      </c>
      <c r="BB165" t="inlineStr">
        <is>
          <t>BOOK</t>
        </is>
      </c>
      <c r="BD165" t="inlineStr">
        <is>
          <t>9780471779971</t>
        </is>
      </c>
      <c r="BE165" t="inlineStr">
        <is>
          <t>30001005292398</t>
        </is>
      </c>
      <c r="BF165" t="inlineStr">
        <is>
          <t>893831110</t>
        </is>
      </c>
    </row>
    <row r="166">
      <c r="A166" t="inlineStr">
        <is>
          <t>No</t>
        </is>
      </c>
      <c r="B166" t="inlineStr">
        <is>
          <t>CUHSL</t>
        </is>
      </c>
      <c r="C166" t="inlineStr">
        <is>
          <t>SHELVES</t>
        </is>
      </c>
      <c r="D166" t="inlineStr">
        <is>
          <t>WA305 A832 2002</t>
        </is>
      </c>
      <c r="E166" t="inlineStr">
        <is>
          <t>0                      WA 0305000A  832         2002</t>
        </is>
      </c>
      <c r="F166" t="inlineStr">
        <is>
          <t>Asian American mental health : assessment theories and methods / edited by Karen S. Kurasaki, Sumie Okazaki, Stanley Sue.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New York : Kluwer Academic/Plenum Publishers, c2002.</t>
        </is>
      </c>
      <c r="O166" t="inlineStr">
        <is>
          <t>2002</t>
        </is>
      </c>
      <c r="Q166" t="inlineStr">
        <is>
          <t>eng</t>
        </is>
      </c>
      <c r="R166" t="inlineStr">
        <is>
          <t>nyu</t>
        </is>
      </c>
      <c r="S166" t="inlineStr">
        <is>
          <t>International and cultural psychology series</t>
        </is>
      </c>
      <c r="T166" t="inlineStr">
        <is>
          <t xml:space="preserve">WA </t>
        </is>
      </c>
      <c r="U166" t="n">
        <v>1</v>
      </c>
      <c r="V166" t="n">
        <v>1</v>
      </c>
      <c r="W166" t="inlineStr">
        <is>
          <t>2006-05-25</t>
        </is>
      </c>
      <c r="X166" t="inlineStr">
        <is>
          <t>2006-05-25</t>
        </is>
      </c>
      <c r="Y166" t="inlineStr">
        <is>
          <t>2006-04-20</t>
        </is>
      </c>
      <c r="Z166" t="inlineStr">
        <is>
          <t>2006-04-20</t>
        </is>
      </c>
      <c r="AA166" t="n">
        <v>212</v>
      </c>
      <c r="AB166" t="n">
        <v>178</v>
      </c>
      <c r="AC166" t="n">
        <v>209</v>
      </c>
      <c r="AD166" t="n">
        <v>2</v>
      </c>
      <c r="AE166" t="n">
        <v>2</v>
      </c>
      <c r="AF166" t="n">
        <v>8</v>
      </c>
      <c r="AG166" t="n">
        <v>11</v>
      </c>
      <c r="AH166" t="n">
        <v>1</v>
      </c>
      <c r="AI166" t="n">
        <v>4</v>
      </c>
      <c r="AJ166" t="n">
        <v>0</v>
      </c>
      <c r="AK166" t="n">
        <v>1</v>
      </c>
      <c r="AL166" t="n">
        <v>7</v>
      </c>
      <c r="AM166" t="n">
        <v>8</v>
      </c>
      <c r="AN166" t="n">
        <v>1</v>
      </c>
      <c r="AO166" t="n">
        <v>1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HYPERLINK("https://creighton-primo.hosted.exlibrisgroup.com/primo-explore/search?tab=default_tab&amp;search_scope=EVERYTHING&amp;vid=01CRU&amp;lang=en_US&amp;offset=0&amp;query=any,contains,991000476259702656","Catalog Record")</f>
        <v/>
      </c>
      <c r="AV166">
        <f>HYPERLINK("http://www.worldcat.org/oclc/49525852","WorldCat Record")</f>
        <v/>
      </c>
      <c r="AW166" t="inlineStr">
        <is>
          <t>839272365:eng</t>
        </is>
      </c>
      <c r="AX166" t="inlineStr">
        <is>
          <t>49525852</t>
        </is>
      </c>
      <c r="AY166" t="inlineStr">
        <is>
          <t>991000476259702656</t>
        </is>
      </c>
      <c r="AZ166" t="inlineStr">
        <is>
          <t>991000476259702656</t>
        </is>
      </c>
      <c r="BA166" t="inlineStr">
        <is>
          <t>2272139080002656</t>
        </is>
      </c>
      <c r="BB166" t="inlineStr">
        <is>
          <t>BOOK</t>
        </is>
      </c>
      <c r="BD166" t="inlineStr">
        <is>
          <t>9780306472688</t>
        </is>
      </c>
      <c r="BE166" t="inlineStr">
        <is>
          <t>30001004914505</t>
        </is>
      </c>
      <c r="BF166" t="inlineStr">
        <is>
          <t>893547829</t>
        </is>
      </c>
    </row>
    <row r="167">
      <c r="A167" t="inlineStr">
        <is>
          <t>No</t>
        </is>
      </c>
      <c r="B167" t="inlineStr">
        <is>
          <t>CUHSL</t>
        </is>
      </c>
      <c r="C167" t="inlineStr">
        <is>
          <t>SHELVES</t>
        </is>
      </c>
      <c r="D167" t="inlineStr">
        <is>
          <t>WA305 B575c 2001</t>
        </is>
      </c>
      <c r="E167" t="inlineStr">
        <is>
          <t>0                      WA 0305000B  575c        2001</t>
        </is>
      </c>
      <c r="F167" t="inlineStr">
        <is>
          <t>Cross-cultural psychiatry : a practical guide / Dinesh Bhugra, Kamaldeep Bhui.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Bhugra, Dinesh.</t>
        </is>
      </c>
      <c r="N167" t="inlineStr">
        <is>
          <t>London : Arnold ; New York : Oxford University Press, 2001.</t>
        </is>
      </c>
      <c r="O167" t="inlineStr">
        <is>
          <t>2001</t>
        </is>
      </c>
      <c r="Q167" t="inlineStr">
        <is>
          <t>eng</t>
        </is>
      </c>
      <c r="R167" t="inlineStr">
        <is>
          <t>enk</t>
        </is>
      </c>
      <c r="T167" t="inlineStr">
        <is>
          <t xml:space="preserve">WA </t>
        </is>
      </c>
      <c r="U167" t="n">
        <v>1</v>
      </c>
      <c r="V167" t="n">
        <v>1</v>
      </c>
      <c r="W167" t="inlineStr">
        <is>
          <t>2004-06-06</t>
        </is>
      </c>
      <c r="X167" t="inlineStr">
        <is>
          <t>2004-06-06</t>
        </is>
      </c>
      <c r="Y167" t="inlineStr">
        <is>
          <t>2004-06-02</t>
        </is>
      </c>
      <c r="Z167" t="inlineStr">
        <is>
          <t>2004-06-02</t>
        </is>
      </c>
      <c r="AA167" t="n">
        <v>154</v>
      </c>
      <c r="AB167" t="n">
        <v>87</v>
      </c>
      <c r="AC167" t="n">
        <v>178</v>
      </c>
      <c r="AD167" t="n">
        <v>1</v>
      </c>
      <c r="AE167" t="n">
        <v>1</v>
      </c>
      <c r="AF167" t="n">
        <v>6</v>
      </c>
      <c r="AG167" t="n">
        <v>8</v>
      </c>
      <c r="AH167" t="n">
        <v>2</v>
      </c>
      <c r="AI167" t="n">
        <v>4</v>
      </c>
      <c r="AJ167" t="n">
        <v>0</v>
      </c>
      <c r="AK167" t="n">
        <v>1</v>
      </c>
      <c r="AL167" t="n">
        <v>6</v>
      </c>
      <c r="AM167" t="n">
        <v>6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HYPERLINK("https://creighton-primo.hosted.exlibrisgroup.com/primo-explore/search?tab=default_tab&amp;search_scope=EVERYTHING&amp;vid=01CRU&amp;lang=en_US&amp;offset=0&amp;query=any,contains,991000370249702656","Catalog Record")</f>
        <v/>
      </c>
      <c r="AV167">
        <f>HYPERLINK("http://www.worldcat.org/oclc/45327216","WorldCat Record")</f>
        <v/>
      </c>
      <c r="AW167" t="inlineStr">
        <is>
          <t>836969079:eng</t>
        </is>
      </c>
      <c r="AX167" t="inlineStr">
        <is>
          <t>45327216</t>
        </is>
      </c>
      <c r="AY167" t="inlineStr">
        <is>
          <t>991000370249702656</t>
        </is>
      </c>
      <c r="AZ167" t="inlineStr">
        <is>
          <t>991000370249702656</t>
        </is>
      </c>
      <c r="BA167" t="inlineStr">
        <is>
          <t>2254915440002656</t>
        </is>
      </c>
      <c r="BB167" t="inlineStr">
        <is>
          <t>BOOK</t>
        </is>
      </c>
      <c r="BD167" t="inlineStr">
        <is>
          <t>9780340763797</t>
        </is>
      </c>
      <c r="BE167" t="inlineStr">
        <is>
          <t>30001004921161</t>
        </is>
      </c>
      <c r="BF167" t="inlineStr">
        <is>
          <t>893365374</t>
        </is>
      </c>
    </row>
    <row r="168">
      <c r="A168" t="inlineStr">
        <is>
          <t>No</t>
        </is>
      </c>
      <c r="B168" t="inlineStr">
        <is>
          <t>CUHSL</t>
        </is>
      </c>
      <c r="C168" t="inlineStr">
        <is>
          <t>SHELVES</t>
        </is>
      </c>
      <c r="D168" t="inlineStr">
        <is>
          <t>WA 305 D169u 1998</t>
        </is>
      </c>
      <c r="E168" t="inlineStr">
        <is>
          <t>0                      WA 0305000D  169u        1998</t>
        </is>
      </c>
      <c r="F168" t="inlineStr">
        <is>
          <t>Understanding cultural identity in intervention and assessment / Richard H. Dana.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Dana, Richard H. (Richard Henry), 1927-</t>
        </is>
      </c>
      <c r="N168" t="inlineStr">
        <is>
          <t>Thousand Oaks : Sage Publications, c1998.</t>
        </is>
      </c>
      <c r="O168" t="inlineStr">
        <is>
          <t>1998</t>
        </is>
      </c>
      <c r="Q168" t="inlineStr">
        <is>
          <t>eng</t>
        </is>
      </c>
      <c r="R168" t="inlineStr">
        <is>
          <t>cau</t>
        </is>
      </c>
      <c r="S168" t="inlineStr">
        <is>
          <t>Multicultural aspects of counseling series ; v. 9</t>
        </is>
      </c>
      <c r="T168" t="inlineStr">
        <is>
          <t xml:space="preserve">WA </t>
        </is>
      </c>
      <c r="U168" t="n">
        <v>2</v>
      </c>
      <c r="V168" t="n">
        <v>2</v>
      </c>
      <c r="W168" t="inlineStr">
        <is>
          <t>2005-10-11</t>
        </is>
      </c>
      <c r="X168" t="inlineStr">
        <is>
          <t>2005-10-11</t>
        </is>
      </c>
      <c r="Y168" t="inlineStr">
        <is>
          <t>2004-06-05</t>
        </is>
      </c>
      <c r="Z168" t="inlineStr">
        <is>
          <t>2004-06-05</t>
        </is>
      </c>
      <c r="AA168" t="n">
        <v>367</v>
      </c>
      <c r="AB168" t="n">
        <v>313</v>
      </c>
      <c r="AC168" t="n">
        <v>619</v>
      </c>
      <c r="AD168" t="n">
        <v>2</v>
      </c>
      <c r="AE168" t="n">
        <v>4</v>
      </c>
      <c r="AF168" t="n">
        <v>15</v>
      </c>
      <c r="AG168" t="n">
        <v>22</v>
      </c>
      <c r="AH168" t="n">
        <v>2</v>
      </c>
      <c r="AI168" t="n">
        <v>6</v>
      </c>
      <c r="AJ168" t="n">
        <v>5</v>
      </c>
      <c r="AK168" t="n">
        <v>6</v>
      </c>
      <c r="AL168" t="n">
        <v>11</v>
      </c>
      <c r="AM168" t="n">
        <v>14</v>
      </c>
      <c r="AN168" t="n">
        <v>1</v>
      </c>
      <c r="AO168" t="n">
        <v>3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HYPERLINK("http://catalog.hathitrust.org/Record/004569072","HathiTrust Record")</f>
        <v/>
      </c>
      <c r="AU168">
        <f>HYPERLINK("https://creighton-primo.hosted.exlibrisgroup.com/primo-explore/search?tab=default_tab&amp;search_scope=EVERYTHING&amp;vid=01CRU&amp;lang=en_US&amp;offset=0&amp;query=any,contains,991000372379702656","Catalog Record")</f>
        <v/>
      </c>
      <c r="AV168">
        <f>HYPERLINK("http://www.worldcat.org/oclc/37836637","WorldCat Record")</f>
        <v/>
      </c>
      <c r="AW168" t="inlineStr">
        <is>
          <t>590142:eng</t>
        </is>
      </c>
      <c r="AX168" t="inlineStr">
        <is>
          <t>37836637</t>
        </is>
      </c>
      <c r="AY168" t="inlineStr">
        <is>
          <t>991000372379702656</t>
        </is>
      </c>
      <c r="AZ168" t="inlineStr">
        <is>
          <t>991000372379702656</t>
        </is>
      </c>
      <c r="BA168" t="inlineStr">
        <is>
          <t>2270079650002656</t>
        </is>
      </c>
      <c r="BB168" t="inlineStr">
        <is>
          <t>BOOK</t>
        </is>
      </c>
      <c r="BD168" t="inlineStr">
        <is>
          <t>9780761903635</t>
        </is>
      </c>
      <c r="BE168" t="inlineStr">
        <is>
          <t>30001004509925</t>
        </is>
      </c>
      <c r="BF168" t="inlineStr">
        <is>
          <t>893269414</t>
        </is>
      </c>
    </row>
    <row r="169">
      <c r="A169" t="inlineStr">
        <is>
          <t>No</t>
        </is>
      </c>
      <c r="B169" t="inlineStr">
        <is>
          <t>CUHSL</t>
        </is>
      </c>
      <c r="C169" t="inlineStr">
        <is>
          <t>SHELVES</t>
        </is>
      </c>
      <c r="D169" t="inlineStr">
        <is>
          <t>WA 305 E84 1986</t>
        </is>
      </c>
      <c r="E169" t="inlineStr">
        <is>
          <t>0                      WA 0305000E  84          1986</t>
        </is>
      </c>
      <c r="F169" t="inlineStr">
        <is>
          <t>Ethnic psychiatry / edited by Charles B. Wilkinson.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New York : Plenum Medical Book Co., c1986.</t>
        </is>
      </c>
      <c r="O169" t="inlineStr">
        <is>
          <t>1986</t>
        </is>
      </c>
      <c r="Q169" t="inlineStr">
        <is>
          <t>eng</t>
        </is>
      </c>
      <c r="R169" t="inlineStr">
        <is>
          <t>xxu</t>
        </is>
      </c>
      <c r="S169" t="inlineStr">
        <is>
          <t>Critical issues in psychiatry</t>
        </is>
      </c>
      <c r="T169" t="inlineStr">
        <is>
          <t xml:space="preserve">WA </t>
        </is>
      </c>
      <c r="U169" t="n">
        <v>10</v>
      </c>
      <c r="V169" t="n">
        <v>10</v>
      </c>
      <c r="W169" t="inlineStr">
        <is>
          <t>2005-10-11</t>
        </is>
      </c>
      <c r="X169" t="inlineStr">
        <is>
          <t>2005-10-11</t>
        </is>
      </c>
      <c r="Y169" t="inlineStr">
        <is>
          <t>1988-01-05</t>
        </is>
      </c>
      <c r="Z169" t="inlineStr">
        <is>
          <t>1988-01-05</t>
        </is>
      </c>
      <c r="AA169" t="n">
        <v>260</v>
      </c>
      <c r="AB169" t="n">
        <v>214</v>
      </c>
      <c r="AC169" t="n">
        <v>234</v>
      </c>
      <c r="AD169" t="n">
        <v>1</v>
      </c>
      <c r="AE169" t="n">
        <v>1</v>
      </c>
      <c r="AF169" t="n">
        <v>6</v>
      </c>
      <c r="AG169" t="n">
        <v>6</v>
      </c>
      <c r="AH169" t="n">
        <v>0</v>
      </c>
      <c r="AI169" t="n">
        <v>0</v>
      </c>
      <c r="AJ169" t="n">
        <v>1</v>
      </c>
      <c r="AK169" t="n">
        <v>1</v>
      </c>
      <c r="AL169" t="n">
        <v>5</v>
      </c>
      <c r="AM169" t="n">
        <v>5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HYPERLINK("http://catalog.hathitrust.org/Record/000590791","HathiTrust Record")</f>
        <v/>
      </c>
      <c r="AU169">
        <f>HYPERLINK("https://creighton-primo.hosted.exlibrisgroup.com/primo-explore/search?tab=default_tab&amp;search_scope=EVERYTHING&amp;vid=01CRU&amp;lang=en_US&amp;offset=0&amp;query=any,contains,991000723989702656","Catalog Record")</f>
        <v/>
      </c>
      <c r="AV169">
        <f>HYPERLINK("http://www.worldcat.org/oclc/13423756","WorldCat Record")</f>
        <v/>
      </c>
      <c r="AW169" t="inlineStr">
        <is>
          <t>7250561:eng</t>
        </is>
      </c>
      <c r="AX169" t="inlineStr">
        <is>
          <t>13423756</t>
        </is>
      </c>
      <c r="AY169" t="inlineStr">
        <is>
          <t>991000723989702656</t>
        </is>
      </c>
      <c r="AZ169" t="inlineStr">
        <is>
          <t>991000723989702656</t>
        </is>
      </c>
      <c r="BA169" t="inlineStr">
        <is>
          <t>2263990330002656</t>
        </is>
      </c>
      <c r="BB169" t="inlineStr">
        <is>
          <t>BOOK</t>
        </is>
      </c>
      <c r="BD169" t="inlineStr">
        <is>
          <t>9780306423062</t>
        </is>
      </c>
      <c r="BE169" t="inlineStr">
        <is>
          <t>30001000706376</t>
        </is>
      </c>
      <c r="BF169" t="inlineStr">
        <is>
          <t>893167636</t>
        </is>
      </c>
    </row>
    <row r="170">
      <c r="A170" t="inlineStr">
        <is>
          <t>No</t>
        </is>
      </c>
      <c r="B170" t="inlineStr">
        <is>
          <t>CUHSL</t>
        </is>
      </c>
      <c r="C170" t="inlineStr">
        <is>
          <t>SHELVES</t>
        </is>
      </c>
      <c r="D170" t="inlineStr">
        <is>
          <t>WA 305 H483 1989</t>
        </is>
      </c>
      <c r="E170" t="inlineStr">
        <is>
          <t>0                      WA 0305000H  483         1989</t>
        </is>
      </c>
      <c r="F170" t="inlineStr">
        <is>
          <t>Helping mentally ill homeless people : a manual for shelter workers / American Public Health Association.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Washington, D.C. : American Public Health Association, c1989.</t>
        </is>
      </c>
      <c r="O170" t="inlineStr">
        <is>
          <t>1989</t>
        </is>
      </c>
      <c r="Q170" t="inlineStr">
        <is>
          <t>eng</t>
        </is>
      </c>
      <c r="R170" t="inlineStr">
        <is>
          <t>dcu</t>
        </is>
      </c>
      <c r="T170" t="inlineStr">
        <is>
          <t xml:space="preserve">WA </t>
        </is>
      </c>
      <c r="U170" t="n">
        <v>6</v>
      </c>
      <c r="V170" t="n">
        <v>6</v>
      </c>
      <c r="W170" t="inlineStr">
        <is>
          <t>2001-09-24</t>
        </is>
      </c>
      <c r="X170" t="inlineStr">
        <is>
          <t>2001-09-24</t>
        </is>
      </c>
      <c r="Y170" t="inlineStr">
        <is>
          <t>1991-07-19</t>
        </is>
      </c>
      <c r="Z170" t="inlineStr">
        <is>
          <t>1991-07-19</t>
        </is>
      </c>
      <c r="AA170" t="n">
        <v>107</v>
      </c>
      <c r="AB170" t="n">
        <v>94</v>
      </c>
      <c r="AC170" t="n">
        <v>97</v>
      </c>
      <c r="AD170" t="n">
        <v>1</v>
      </c>
      <c r="AE170" t="n">
        <v>1</v>
      </c>
      <c r="AF170" t="n">
        <v>5</v>
      </c>
      <c r="AG170" t="n">
        <v>5</v>
      </c>
      <c r="AH170" t="n">
        <v>1</v>
      </c>
      <c r="AI170" t="n">
        <v>1</v>
      </c>
      <c r="AJ170" t="n">
        <v>0</v>
      </c>
      <c r="AK170" t="n">
        <v>0</v>
      </c>
      <c r="AL170" t="n">
        <v>4</v>
      </c>
      <c r="AM170" t="n">
        <v>4</v>
      </c>
      <c r="AN170" t="n">
        <v>0</v>
      </c>
      <c r="AO170" t="n">
        <v>0</v>
      </c>
      <c r="AP170" t="n">
        <v>1</v>
      </c>
      <c r="AQ170" t="n">
        <v>1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HYPERLINK("http://catalog.hathitrust.org/Record/004170748","HathiTrust Record")</f>
        <v/>
      </c>
      <c r="AU170">
        <f>HYPERLINK("https://creighton-primo.hosted.exlibrisgroup.com/primo-explore/search?tab=default_tab&amp;search_scope=EVERYTHING&amp;vid=01CRU&amp;lang=en_US&amp;offset=0&amp;query=any,contains,991000942119702656","Catalog Record")</f>
        <v/>
      </c>
      <c r="AV170">
        <f>HYPERLINK("http://www.worldcat.org/oclc/27435209","WorldCat Record")</f>
        <v/>
      </c>
      <c r="AW170" t="inlineStr">
        <is>
          <t>476495287:eng</t>
        </is>
      </c>
      <c r="AX170" t="inlineStr">
        <is>
          <t>27435209</t>
        </is>
      </c>
      <c r="AY170" t="inlineStr">
        <is>
          <t>991000942119702656</t>
        </is>
      </c>
      <c r="AZ170" t="inlineStr">
        <is>
          <t>991000942119702656</t>
        </is>
      </c>
      <c r="BA170" t="inlineStr">
        <is>
          <t>2254912590002656</t>
        </is>
      </c>
      <c r="BB170" t="inlineStr">
        <is>
          <t>BOOK</t>
        </is>
      </c>
      <c r="BD170" t="inlineStr">
        <is>
          <t>9780875531588</t>
        </is>
      </c>
      <c r="BE170" t="inlineStr">
        <is>
          <t>30001002192815</t>
        </is>
      </c>
      <c r="BF170" t="inlineStr">
        <is>
          <t>893278508</t>
        </is>
      </c>
    </row>
    <row r="171">
      <c r="A171" t="inlineStr">
        <is>
          <t>No</t>
        </is>
      </c>
      <c r="B171" t="inlineStr">
        <is>
          <t>CUHSL</t>
        </is>
      </c>
      <c r="C171" t="inlineStr">
        <is>
          <t>SHELVES</t>
        </is>
      </c>
      <c r="D171" t="inlineStr">
        <is>
          <t>WA305 H772p 2001</t>
        </is>
      </c>
      <c r="E171" t="inlineStr">
        <is>
          <t>0                      WA 0305000H  772p        2001</t>
        </is>
      </c>
      <c r="F171" t="inlineStr">
        <is>
          <t>Psychotherapy and counseling with Asian American clients : a practical guide / George K. Hong, MaryAnna Domokos-Cheng Ham.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Hong, George K.</t>
        </is>
      </c>
      <c r="N171" t="inlineStr">
        <is>
          <t>Thousand Oaks, Calif. : Sage Publications, c2001.</t>
        </is>
      </c>
      <c r="O171" t="inlineStr">
        <is>
          <t>2001</t>
        </is>
      </c>
      <c r="Q171" t="inlineStr">
        <is>
          <t>eng</t>
        </is>
      </c>
      <c r="R171" t="inlineStr">
        <is>
          <t>cau</t>
        </is>
      </c>
      <c r="S171" t="inlineStr">
        <is>
          <t>Multicultural aspects of counseling series ; v. 16</t>
        </is>
      </c>
      <c r="T171" t="inlineStr">
        <is>
          <t xml:space="preserve">WA </t>
        </is>
      </c>
      <c r="U171" t="n">
        <v>0</v>
      </c>
      <c r="V171" t="n">
        <v>0</v>
      </c>
      <c r="W171" t="inlineStr">
        <is>
          <t>2006-05-25</t>
        </is>
      </c>
      <c r="X171" t="inlineStr">
        <is>
          <t>2006-05-25</t>
        </is>
      </c>
      <c r="Y171" t="inlineStr">
        <is>
          <t>2006-04-10</t>
        </is>
      </c>
      <c r="Z171" t="inlineStr">
        <is>
          <t>2006-04-10</t>
        </is>
      </c>
      <c r="AA171" t="n">
        <v>312</v>
      </c>
      <c r="AB171" t="n">
        <v>273</v>
      </c>
      <c r="AC171" t="n">
        <v>274</v>
      </c>
      <c r="AD171" t="n">
        <v>3</v>
      </c>
      <c r="AE171" t="n">
        <v>3</v>
      </c>
      <c r="AF171" t="n">
        <v>14</v>
      </c>
      <c r="AG171" t="n">
        <v>14</v>
      </c>
      <c r="AH171" t="n">
        <v>4</v>
      </c>
      <c r="AI171" t="n">
        <v>4</v>
      </c>
      <c r="AJ171" t="n">
        <v>5</v>
      </c>
      <c r="AK171" t="n">
        <v>5</v>
      </c>
      <c r="AL171" t="n">
        <v>7</v>
      </c>
      <c r="AM171" t="n">
        <v>7</v>
      </c>
      <c r="AN171" t="n">
        <v>2</v>
      </c>
      <c r="AO171" t="n">
        <v>2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HYPERLINK("http://catalog.hathitrust.org/Record/004153785","HathiTrust Record")</f>
        <v/>
      </c>
      <c r="AU171">
        <f>HYPERLINK("https://creighton-primo.hosted.exlibrisgroup.com/primo-explore/search?tab=default_tab&amp;search_scope=EVERYTHING&amp;vid=01CRU&amp;lang=en_US&amp;offset=0&amp;query=any,contains,991000473369702656","Catalog Record")</f>
        <v/>
      </c>
      <c r="AV171">
        <f>HYPERLINK("http://www.worldcat.org/oclc/44467432","WorldCat Record")</f>
        <v/>
      </c>
      <c r="AW171" t="inlineStr">
        <is>
          <t>837012839:eng</t>
        </is>
      </c>
      <c r="AX171" t="inlineStr">
        <is>
          <t>44467432</t>
        </is>
      </c>
      <c r="AY171" t="inlineStr">
        <is>
          <t>991000473369702656</t>
        </is>
      </c>
      <c r="AZ171" t="inlineStr">
        <is>
          <t>991000473369702656</t>
        </is>
      </c>
      <c r="BA171" t="inlineStr">
        <is>
          <t>2271208270002656</t>
        </is>
      </c>
      <c r="BB171" t="inlineStr">
        <is>
          <t>BOOK</t>
        </is>
      </c>
      <c r="BD171" t="inlineStr">
        <is>
          <t>9780761916154</t>
        </is>
      </c>
      <c r="BE171" t="inlineStr">
        <is>
          <t>30001004914638</t>
        </is>
      </c>
      <c r="BF171" t="inlineStr">
        <is>
          <t>893269482</t>
        </is>
      </c>
    </row>
    <row r="172">
      <c r="A172" t="inlineStr">
        <is>
          <t>No</t>
        </is>
      </c>
      <c r="B172" t="inlineStr">
        <is>
          <t>CUHSL</t>
        </is>
      </c>
      <c r="C172" t="inlineStr">
        <is>
          <t>SHELVES</t>
        </is>
      </c>
      <c r="D172" t="inlineStr">
        <is>
          <t>WA305 M54939 2004</t>
        </is>
      </c>
      <c r="E172" t="inlineStr">
        <is>
          <t>0                      WA 0305000M  54939       2004</t>
        </is>
      </c>
      <c r="F172" t="inlineStr">
        <is>
          <t>Mental health services for minority ethnic children and adolescents / edited by Mhemooda Malek and Carol Joughin ; foreword by Kedar Nath Dwivedi.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1</t>
        </is>
      </c>
      <c r="N172" t="inlineStr">
        <is>
          <t>London ; New York : Jessica Kingsley Publishers, 2004.</t>
        </is>
      </c>
      <c r="O172" t="inlineStr">
        <is>
          <t>2004</t>
        </is>
      </c>
      <c r="Q172" t="inlineStr">
        <is>
          <t>eng</t>
        </is>
      </c>
      <c r="R172" t="inlineStr">
        <is>
          <t>enk</t>
        </is>
      </c>
      <c r="S172" t="inlineStr">
        <is>
          <t>Child and adolescent mental health series</t>
        </is>
      </c>
      <c r="T172" t="inlineStr">
        <is>
          <t xml:space="preserve">WA </t>
        </is>
      </c>
      <c r="U172" t="n">
        <v>1</v>
      </c>
      <c r="V172" t="n">
        <v>1</v>
      </c>
      <c r="W172" t="inlineStr">
        <is>
          <t>2010-09-16</t>
        </is>
      </c>
      <c r="X172" t="inlineStr">
        <is>
          <t>2010-09-16</t>
        </is>
      </c>
      <c r="Y172" t="inlineStr">
        <is>
          <t>2006-04-10</t>
        </is>
      </c>
      <c r="Z172" t="inlineStr">
        <is>
          <t>2006-04-10</t>
        </is>
      </c>
      <c r="AA172" t="n">
        <v>175</v>
      </c>
      <c r="AB172" t="n">
        <v>94</v>
      </c>
      <c r="AC172" t="n">
        <v>1268</v>
      </c>
      <c r="AD172" t="n">
        <v>2</v>
      </c>
      <c r="AE172" t="n">
        <v>15</v>
      </c>
      <c r="AF172" t="n">
        <v>4</v>
      </c>
      <c r="AG172" t="n">
        <v>45</v>
      </c>
      <c r="AH172" t="n">
        <v>1</v>
      </c>
      <c r="AI172" t="n">
        <v>14</v>
      </c>
      <c r="AJ172" t="n">
        <v>0</v>
      </c>
      <c r="AK172" t="n">
        <v>9</v>
      </c>
      <c r="AL172" t="n">
        <v>3</v>
      </c>
      <c r="AM172" t="n">
        <v>13</v>
      </c>
      <c r="AN172" t="n">
        <v>1</v>
      </c>
      <c r="AO172" t="n">
        <v>13</v>
      </c>
      <c r="AP172" t="n">
        <v>0</v>
      </c>
      <c r="AQ172" t="n">
        <v>3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HYPERLINK("https://creighton-primo.hosted.exlibrisgroup.com/primo-explore/search?tab=default_tab&amp;search_scope=EVERYTHING&amp;vid=01CRU&amp;lang=en_US&amp;offset=0&amp;query=any,contains,991000473519702656","Catalog Record")</f>
        <v/>
      </c>
      <c r="AV172">
        <f>HYPERLINK("http://www.worldcat.org/oclc/54425147","WorldCat Record")</f>
        <v/>
      </c>
      <c r="AW172" t="inlineStr">
        <is>
          <t>354962261:eng</t>
        </is>
      </c>
      <c r="AX172" t="inlineStr">
        <is>
          <t>54425147</t>
        </is>
      </c>
      <c r="AY172" t="inlineStr">
        <is>
          <t>991000473519702656</t>
        </is>
      </c>
      <c r="AZ172" t="inlineStr">
        <is>
          <t>991000473519702656</t>
        </is>
      </c>
      <c r="BA172" t="inlineStr">
        <is>
          <t>2267337860002656</t>
        </is>
      </c>
      <c r="BB172" t="inlineStr">
        <is>
          <t>BOOK</t>
        </is>
      </c>
      <c r="BD172" t="inlineStr">
        <is>
          <t>9781841870397</t>
        </is>
      </c>
      <c r="BE172" t="inlineStr">
        <is>
          <t>30001004914463</t>
        </is>
      </c>
      <c r="BF172" t="inlineStr">
        <is>
          <t>893644453</t>
        </is>
      </c>
    </row>
    <row r="173">
      <c r="A173" t="inlineStr">
        <is>
          <t>No</t>
        </is>
      </c>
      <c r="B173" t="inlineStr">
        <is>
          <t>CUHSL</t>
        </is>
      </c>
      <c r="C173" t="inlineStr">
        <is>
          <t>SHELVES</t>
        </is>
      </c>
      <c r="D173" t="inlineStr">
        <is>
          <t>WA 305 O97m 1980</t>
        </is>
      </c>
      <c r="E173" t="inlineStr">
        <is>
          <t>0                      WA 0305000O  97m         1980</t>
        </is>
      </c>
      <c r="F173" t="inlineStr">
        <is>
          <t>Mental health and black offenders / Charles E. Owens.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Owens, Charles E.</t>
        </is>
      </c>
      <c r="N173" t="inlineStr">
        <is>
          <t>Lexington, Mass. : Lexington Books, c1980.</t>
        </is>
      </c>
      <c r="O173" t="inlineStr">
        <is>
          <t>1980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WA </t>
        </is>
      </c>
      <c r="U173" t="n">
        <v>3</v>
      </c>
      <c r="V173" t="n">
        <v>3</v>
      </c>
      <c r="W173" t="inlineStr">
        <is>
          <t>1999-07-20</t>
        </is>
      </c>
      <c r="X173" t="inlineStr">
        <is>
          <t>1999-07-20</t>
        </is>
      </c>
      <c r="Y173" t="inlineStr">
        <is>
          <t>1988-01-05</t>
        </is>
      </c>
      <c r="Z173" t="inlineStr">
        <is>
          <t>1988-01-05</t>
        </is>
      </c>
      <c r="AA173" t="n">
        <v>326</v>
      </c>
      <c r="AB173" t="n">
        <v>289</v>
      </c>
      <c r="AC173" t="n">
        <v>297</v>
      </c>
      <c r="AD173" t="n">
        <v>2</v>
      </c>
      <c r="AE173" t="n">
        <v>2</v>
      </c>
      <c r="AF173" t="n">
        <v>9</v>
      </c>
      <c r="AG173" t="n">
        <v>9</v>
      </c>
      <c r="AH173" t="n">
        <v>1</v>
      </c>
      <c r="AI173" t="n">
        <v>1</v>
      </c>
      <c r="AJ173" t="n">
        <v>0</v>
      </c>
      <c r="AK173" t="n">
        <v>0</v>
      </c>
      <c r="AL173" t="n">
        <v>4</v>
      </c>
      <c r="AM173" t="n">
        <v>4</v>
      </c>
      <c r="AN173" t="n">
        <v>1</v>
      </c>
      <c r="AO173" t="n">
        <v>1</v>
      </c>
      <c r="AP173" t="n">
        <v>4</v>
      </c>
      <c r="AQ173" t="n">
        <v>4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HYPERLINK("http://catalog.hathitrust.org/Record/000700155","HathiTrust Record")</f>
        <v/>
      </c>
      <c r="AU173">
        <f>HYPERLINK("https://creighton-primo.hosted.exlibrisgroup.com/primo-explore/search?tab=default_tab&amp;search_scope=EVERYTHING&amp;vid=01CRU&amp;lang=en_US&amp;offset=0&amp;query=any,contains,991000724139702656","Catalog Record")</f>
        <v/>
      </c>
      <c r="AV173">
        <f>HYPERLINK("http://www.worldcat.org/oclc/6086291","WorldCat Record")</f>
        <v/>
      </c>
      <c r="AW173" t="inlineStr">
        <is>
          <t>514866:eng</t>
        </is>
      </c>
      <c r="AX173" t="inlineStr">
        <is>
          <t>6086291</t>
        </is>
      </c>
      <c r="AY173" t="inlineStr">
        <is>
          <t>991000724139702656</t>
        </is>
      </c>
      <c r="AZ173" t="inlineStr">
        <is>
          <t>991000724139702656</t>
        </is>
      </c>
      <c r="BA173" t="inlineStr">
        <is>
          <t>2257739420002656</t>
        </is>
      </c>
      <c r="BB173" t="inlineStr">
        <is>
          <t>BOOK</t>
        </is>
      </c>
      <c r="BD173" t="inlineStr">
        <is>
          <t>9780669026450</t>
        </is>
      </c>
      <c r="BE173" t="inlineStr">
        <is>
          <t>30001000706418</t>
        </is>
      </c>
      <c r="BF173" t="inlineStr">
        <is>
          <t>893540328</t>
        </is>
      </c>
    </row>
    <row r="174">
      <c r="A174" t="inlineStr">
        <is>
          <t>No</t>
        </is>
      </c>
      <c r="B174" t="inlineStr">
        <is>
          <t>CUHSL</t>
        </is>
      </c>
      <c r="C174" t="inlineStr">
        <is>
          <t>SHELVES</t>
        </is>
      </c>
      <c r="D174" t="inlineStr">
        <is>
          <t>WA 305 P192a 1994</t>
        </is>
      </c>
      <c r="E174" t="inlineStr">
        <is>
          <t>0                      WA 0305000P  192a        1994</t>
        </is>
      </c>
      <c r="F174" t="inlineStr">
        <is>
          <t>Assessing and treating culturally diverse clients : a practical guide / Freddy A. Paniagua.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Paniagua, Freddy A.</t>
        </is>
      </c>
      <c r="N174" t="inlineStr">
        <is>
          <t>Thousand Oaks, Calif. : Sage Publications, c1994.</t>
        </is>
      </c>
      <c r="O174" t="inlineStr">
        <is>
          <t>1994</t>
        </is>
      </c>
      <c r="Q174" t="inlineStr">
        <is>
          <t>eng</t>
        </is>
      </c>
      <c r="R174" t="inlineStr">
        <is>
          <t>cau</t>
        </is>
      </c>
      <c r="S174" t="inlineStr">
        <is>
          <t>Multicultural aspects of counseling series ; 4</t>
        </is>
      </c>
      <c r="T174" t="inlineStr">
        <is>
          <t xml:space="preserve">WA </t>
        </is>
      </c>
      <c r="U174" t="n">
        <v>16</v>
      </c>
      <c r="V174" t="n">
        <v>16</v>
      </c>
      <c r="W174" t="inlineStr">
        <is>
          <t>2007-05-10</t>
        </is>
      </c>
      <c r="X174" t="inlineStr">
        <is>
          <t>2007-05-10</t>
        </is>
      </c>
      <c r="Y174" t="inlineStr">
        <is>
          <t>1995-06-01</t>
        </is>
      </c>
      <c r="Z174" t="inlineStr">
        <is>
          <t>1995-06-01</t>
        </is>
      </c>
      <c r="AA174" t="n">
        <v>564</v>
      </c>
      <c r="AB174" t="n">
        <v>495</v>
      </c>
      <c r="AC174" t="n">
        <v>942</v>
      </c>
      <c r="AD174" t="n">
        <v>9</v>
      </c>
      <c r="AE174" t="n">
        <v>13</v>
      </c>
      <c r="AF174" t="n">
        <v>27</v>
      </c>
      <c r="AG174" t="n">
        <v>46</v>
      </c>
      <c r="AH174" t="n">
        <v>6</v>
      </c>
      <c r="AI174" t="n">
        <v>15</v>
      </c>
      <c r="AJ174" t="n">
        <v>5</v>
      </c>
      <c r="AK174" t="n">
        <v>10</v>
      </c>
      <c r="AL174" t="n">
        <v>13</v>
      </c>
      <c r="AM174" t="n">
        <v>23</v>
      </c>
      <c r="AN174" t="n">
        <v>8</v>
      </c>
      <c r="AO174" t="n">
        <v>11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HYPERLINK("http://catalog.hathitrust.org/Record/002983636","HathiTrust Record")</f>
        <v/>
      </c>
      <c r="AU174">
        <f>HYPERLINK("https://creighton-primo.hosted.exlibrisgroup.com/primo-explore/search?tab=default_tab&amp;search_scope=EVERYTHING&amp;vid=01CRU&amp;lang=en_US&amp;offset=0&amp;query=any,contains,991001400709702656","Catalog Record")</f>
        <v/>
      </c>
      <c r="AV174">
        <f>HYPERLINK("http://www.worldcat.org/oclc/30518577","WorldCat Record")</f>
        <v/>
      </c>
      <c r="AW174" t="inlineStr">
        <is>
          <t>10141334099:eng</t>
        </is>
      </c>
      <c r="AX174" t="inlineStr">
        <is>
          <t>30518577</t>
        </is>
      </c>
      <c r="AY174" t="inlineStr">
        <is>
          <t>991001400709702656</t>
        </is>
      </c>
      <c r="AZ174" t="inlineStr">
        <is>
          <t>991001400709702656</t>
        </is>
      </c>
      <c r="BA174" t="inlineStr">
        <is>
          <t>2267366010002656</t>
        </is>
      </c>
      <c r="BB174" t="inlineStr">
        <is>
          <t>BOOK</t>
        </is>
      </c>
      <c r="BD174" t="inlineStr">
        <is>
          <t>9780803954953</t>
        </is>
      </c>
      <c r="BE174" t="inlineStr">
        <is>
          <t>30001003147966</t>
        </is>
      </c>
      <c r="BF174" t="inlineStr">
        <is>
          <t>893134522</t>
        </is>
      </c>
    </row>
    <row r="175">
      <c r="A175" t="inlineStr">
        <is>
          <t>No</t>
        </is>
      </c>
      <c r="B175" t="inlineStr">
        <is>
          <t>CUHSL</t>
        </is>
      </c>
      <c r="C175" t="inlineStr">
        <is>
          <t>SHELVES</t>
        </is>
      </c>
      <c r="D175" t="inlineStr">
        <is>
          <t>WA305 P192a 2005</t>
        </is>
      </c>
      <c r="E175" t="inlineStr">
        <is>
          <t>0                      WA 0305000P  192a        2005</t>
        </is>
      </c>
      <c r="F175" t="inlineStr">
        <is>
          <t>Assessing and treating culturally diverse clients : a practical guide / Freddy A. Paniagua.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Paniagua, Freddy A.</t>
        </is>
      </c>
      <c r="N175" t="inlineStr">
        <is>
          <t>Thousand Oaks, Calif. : Sage Publications, c2005.</t>
        </is>
      </c>
      <c r="O175" t="inlineStr">
        <is>
          <t>2005</t>
        </is>
      </c>
      <c r="P175" t="inlineStr">
        <is>
          <t>3rd ed.</t>
        </is>
      </c>
      <c r="Q175" t="inlineStr">
        <is>
          <t>eng</t>
        </is>
      </c>
      <c r="R175" t="inlineStr">
        <is>
          <t>cau</t>
        </is>
      </c>
      <c r="S175" t="inlineStr">
        <is>
          <t>Multicultural aspects of counseling and psychotherapy series ; 4</t>
        </is>
      </c>
      <c r="T175" t="inlineStr">
        <is>
          <t xml:space="preserve">WA </t>
        </is>
      </c>
      <c r="U175" t="n">
        <v>1</v>
      </c>
      <c r="V175" t="n">
        <v>1</v>
      </c>
      <c r="W175" t="inlineStr">
        <is>
          <t>2008-06-17</t>
        </is>
      </c>
      <c r="X175" t="inlineStr">
        <is>
          <t>2008-06-17</t>
        </is>
      </c>
      <c r="Y175" t="inlineStr">
        <is>
          <t>2008-04-17</t>
        </is>
      </c>
      <c r="Z175" t="inlineStr">
        <is>
          <t>2008-04-17</t>
        </is>
      </c>
      <c r="AA175" t="n">
        <v>380</v>
      </c>
      <c r="AB175" t="n">
        <v>304</v>
      </c>
      <c r="AC175" t="n">
        <v>942</v>
      </c>
      <c r="AD175" t="n">
        <v>4</v>
      </c>
      <c r="AE175" t="n">
        <v>13</v>
      </c>
      <c r="AF175" t="n">
        <v>12</v>
      </c>
      <c r="AG175" t="n">
        <v>46</v>
      </c>
      <c r="AH175" t="n">
        <v>4</v>
      </c>
      <c r="AI175" t="n">
        <v>15</v>
      </c>
      <c r="AJ175" t="n">
        <v>3</v>
      </c>
      <c r="AK175" t="n">
        <v>10</v>
      </c>
      <c r="AL175" t="n">
        <v>5</v>
      </c>
      <c r="AM175" t="n">
        <v>23</v>
      </c>
      <c r="AN175" t="n">
        <v>3</v>
      </c>
      <c r="AO175" t="n">
        <v>11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HYPERLINK("http://catalog.hathitrust.org/Record/004975891","HathiTrust Record")</f>
        <v/>
      </c>
      <c r="AU175">
        <f>HYPERLINK("https://creighton-primo.hosted.exlibrisgroup.com/primo-explore/search?tab=default_tab&amp;search_scope=EVERYTHING&amp;vid=01CRU&amp;lang=en_US&amp;offset=0&amp;query=any,contains,991000692999702656","Catalog Record")</f>
        <v/>
      </c>
      <c r="AV175">
        <f>HYPERLINK("http://www.worldcat.org/oclc/56755717","WorldCat Record")</f>
        <v/>
      </c>
      <c r="AW175" t="inlineStr">
        <is>
          <t>10141334099:eng</t>
        </is>
      </c>
      <c r="AX175" t="inlineStr">
        <is>
          <t>56755717</t>
        </is>
      </c>
      <c r="AY175" t="inlineStr">
        <is>
          <t>991000692999702656</t>
        </is>
      </c>
      <c r="AZ175" t="inlineStr">
        <is>
          <t>991000692999702656</t>
        </is>
      </c>
      <c r="BA175" t="inlineStr">
        <is>
          <t>2272177600002656</t>
        </is>
      </c>
      <c r="BB175" t="inlineStr">
        <is>
          <t>BOOK</t>
        </is>
      </c>
      <c r="BD175" t="inlineStr">
        <is>
          <t>9781412910088</t>
        </is>
      </c>
      <c r="BE175" t="inlineStr">
        <is>
          <t>30001005292513</t>
        </is>
      </c>
      <c r="BF175" t="inlineStr">
        <is>
          <t>893726576</t>
        </is>
      </c>
    </row>
    <row r="176">
      <c r="A176" t="inlineStr">
        <is>
          <t>No</t>
        </is>
      </c>
      <c r="B176" t="inlineStr">
        <is>
          <t>CUHSL</t>
        </is>
      </c>
      <c r="C176" t="inlineStr">
        <is>
          <t>SHELVES</t>
        </is>
      </c>
      <c r="D176" t="inlineStr">
        <is>
          <t>WA 305 P9738 2000</t>
        </is>
      </c>
      <c r="E176" t="inlineStr">
        <is>
          <t>0                      WA 0305000P  9738        2000</t>
        </is>
      </c>
      <c r="F176" t="inlineStr">
        <is>
          <t>Psychological intervention and cultural diversity / edited by Joseph F. Aponte, Julian Wohl.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N176" t="inlineStr">
        <is>
          <t>Boston : Allyn and Bacon, c2000.</t>
        </is>
      </c>
      <c r="O176" t="inlineStr">
        <is>
          <t>2000</t>
        </is>
      </c>
      <c r="P176" t="inlineStr">
        <is>
          <t>2nd ed.</t>
        </is>
      </c>
      <c r="Q176" t="inlineStr">
        <is>
          <t>eng</t>
        </is>
      </c>
      <c r="R176" t="inlineStr">
        <is>
          <t>mau</t>
        </is>
      </c>
      <c r="T176" t="inlineStr">
        <is>
          <t xml:space="preserve">WA </t>
        </is>
      </c>
      <c r="U176" t="n">
        <v>2</v>
      </c>
      <c r="V176" t="n">
        <v>2</v>
      </c>
      <c r="W176" t="inlineStr">
        <is>
          <t>2005-11-19</t>
        </is>
      </c>
      <c r="X176" t="inlineStr">
        <is>
          <t>2005-11-19</t>
        </is>
      </c>
      <c r="Y176" t="inlineStr">
        <is>
          <t>2004-09-08</t>
        </is>
      </c>
      <c r="Z176" t="inlineStr">
        <is>
          <t>2004-09-08</t>
        </is>
      </c>
      <c r="AA176" t="n">
        <v>268</v>
      </c>
      <c r="AB176" t="n">
        <v>219</v>
      </c>
      <c r="AC176" t="n">
        <v>557</v>
      </c>
      <c r="AD176" t="n">
        <v>2</v>
      </c>
      <c r="AE176" t="n">
        <v>8</v>
      </c>
      <c r="AF176" t="n">
        <v>11</v>
      </c>
      <c r="AG176" t="n">
        <v>34</v>
      </c>
      <c r="AH176" t="n">
        <v>2</v>
      </c>
      <c r="AI176" t="n">
        <v>12</v>
      </c>
      <c r="AJ176" t="n">
        <v>3</v>
      </c>
      <c r="AK176" t="n">
        <v>4</v>
      </c>
      <c r="AL176" t="n">
        <v>9</v>
      </c>
      <c r="AM176" t="n">
        <v>19</v>
      </c>
      <c r="AN176" t="n">
        <v>1</v>
      </c>
      <c r="AO176" t="n">
        <v>7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HYPERLINK("https://creighton-primo.hosted.exlibrisgroup.com/primo-explore/search?tab=default_tab&amp;search_scope=EVERYTHING&amp;vid=01CRU&amp;lang=en_US&amp;offset=0&amp;query=any,contains,991000385249702656","Catalog Record")</f>
        <v/>
      </c>
      <c r="AV176">
        <f>HYPERLINK("http://www.worldcat.org/oclc/41646977","WorldCat Record")</f>
        <v/>
      </c>
      <c r="AW176" t="inlineStr">
        <is>
          <t>476695150:eng</t>
        </is>
      </c>
      <c r="AX176" t="inlineStr">
        <is>
          <t>41646977</t>
        </is>
      </c>
      <c r="AY176" t="inlineStr">
        <is>
          <t>991000385249702656</t>
        </is>
      </c>
      <c r="AZ176" t="inlineStr">
        <is>
          <t>991000385249702656</t>
        </is>
      </c>
      <c r="BA176" t="inlineStr">
        <is>
          <t>2261667230002656</t>
        </is>
      </c>
      <c r="BB176" t="inlineStr">
        <is>
          <t>BOOK</t>
        </is>
      </c>
      <c r="BD176" t="inlineStr">
        <is>
          <t>9780205294749</t>
        </is>
      </c>
      <c r="BE176" t="inlineStr">
        <is>
          <t>30001004921674</t>
        </is>
      </c>
      <c r="BF176" t="inlineStr">
        <is>
          <t>893365385</t>
        </is>
      </c>
    </row>
    <row r="177">
      <c r="A177" t="inlineStr">
        <is>
          <t>No</t>
        </is>
      </c>
      <c r="B177" t="inlineStr">
        <is>
          <t>CUHSL</t>
        </is>
      </c>
      <c r="C177" t="inlineStr">
        <is>
          <t>SHELVES</t>
        </is>
      </c>
      <c r="D177" t="inlineStr">
        <is>
          <t>WA 305 T784 1986</t>
        </is>
      </c>
      <c r="E177" t="inlineStr">
        <is>
          <t>0                      WA 0305000T  784         1986</t>
        </is>
      </c>
      <c r="F177" t="inlineStr">
        <is>
          <t>Treating the homeless : urban psychiatry's challenge / edited by Billy E. Jones.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N177" t="inlineStr">
        <is>
          <t>Washington, D.C. : American Psychiatric Press, c1986.</t>
        </is>
      </c>
      <c r="O177" t="inlineStr">
        <is>
          <t>1986</t>
        </is>
      </c>
      <c r="Q177" t="inlineStr">
        <is>
          <t>eng</t>
        </is>
      </c>
      <c r="R177" t="inlineStr">
        <is>
          <t>xxu</t>
        </is>
      </c>
      <c r="S177" t="inlineStr">
        <is>
          <t>Clinical insights</t>
        </is>
      </c>
      <c r="T177" t="inlineStr">
        <is>
          <t xml:space="preserve">WA </t>
        </is>
      </c>
      <c r="U177" t="n">
        <v>9</v>
      </c>
      <c r="V177" t="n">
        <v>9</v>
      </c>
      <c r="W177" t="inlineStr">
        <is>
          <t>2001-11-19</t>
        </is>
      </c>
      <c r="X177" t="inlineStr">
        <is>
          <t>2001-11-19</t>
        </is>
      </c>
      <c r="Y177" t="inlineStr">
        <is>
          <t>1988-01-05</t>
        </is>
      </c>
      <c r="Z177" t="inlineStr">
        <is>
          <t>1988-01-05</t>
        </is>
      </c>
      <c r="AA177" t="n">
        <v>205</v>
      </c>
      <c r="AB177" t="n">
        <v>178</v>
      </c>
      <c r="AC177" t="n">
        <v>180</v>
      </c>
      <c r="AD177" t="n">
        <v>2</v>
      </c>
      <c r="AE177" t="n">
        <v>2</v>
      </c>
      <c r="AF177" t="n">
        <v>9</v>
      </c>
      <c r="AG177" t="n">
        <v>9</v>
      </c>
      <c r="AH177" t="n">
        <v>2</v>
      </c>
      <c r="AI177" t="n">
        <v>2</v>
      </c>
      <c r="AJ177" t="n">
        <v>1</v>
      </c>
      <c r="AK177" t="n">
        <v>1</v>
      </c>
      <c r="AL177" t="n">
        <v>5</v>
      </c>
      <c r="AM177" t="n">
        <v>5</v>
      </c>
      <c r="AN177" t="n">
        <v>1</v>
      </c>
      <c r="AO177" t="n">
        <v>1</v>
      </c>
      <c r="AP177" t="n">
        <v>1</v>
      </c>
      <c r="AQ177" t="n">
        <v>1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HYPERLINK("http://catalog.hathitrust.org/Record/000556487","HathiTrust Record")</f>
        <v/>
      </c>
      <c r="AU177">
        <f>HYPERLINK("https://creighton-primo.hosted.exlibrisgroup.com/primo-explore/search?tab=default_tab&amp;search_scope=EVERYTHING&amp;vid=01CRU&amp;lang=en_US&amp;offset=0&amp;query=any,contains,991000724319702656","Catalog Record")</f>
        <v/>
      </c>
      <c r="AV177">
        <f>HYPERLINK("http://www.worldcat.org/oclc/12972932","WorldCat Record")</f>
        <v/>
      </c>
      <c r="AW177" t="inlineStr">
        <is>
          <t>54779859:eng</t>
        </is>
      </c>
      <c r="AX177" t="inlineStr">
        <is>
          <t>12972932</t>
        </is>
      </c>
      <c r="AY177" t="inlineStr">
        <is>
          <t>991000724319702656</t>
        </is>
      </c>
      <c r="AZ177" t="inlineStr">
        <is>
          <t>991000724319702656</t>
        </is>
      </c>
      <c r="BA177" t="inlineStr">
        <is>
          <t>2256030410002656</t>
        </is>
      </c>
      <c r="BB177" t="inlineStr">
        <is>
          <t>BOOK</t>
        </is>
      </c>
      <c r="BD177" t="inlineStr">
        <is>
          <t>9780880480802</t>
        </is>
      </c>
      <c r="BE177" t="inlineStr">
        <is>
          <t>30001000706434</t>
        </is>
      </c>
      <c r="BF177" t="inlineStr">
        <is>
          <t>893120076</t>
        </is>
      </c>
    </row>
    <row r="178">
      <c r="A178" t="inlineStr">
        <is>
          <t>No</t>
        </is>
      </c>
      <c r="B178" t="inlineStr">
        <is>
          <t>CUHSL</t>
        </is>
      </c>
      <c r="C178" t="inlineStr">
        <is>
          <t>SHELVES</t>
        </is>
      </c>
      <c r="D178" t="inlineStr">
        <is>
          <t>WA305 U12a 2003</t>
        </is>
      </c>
      <c r="E178" t="inlineStr">
        <is>
          <t>0                      WA 0305000U  12a         2003</t>
        </is>
      </c>
      <c r="F178" t="inlineStr">
        <is>
          <t>Asian Americans : personality patterns, identity, and mental health / Laura Uba.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Yes</t>
        </is>
      </c>
      <c r="L178" t="inlineStr">
        <is>
          <t>0</t>
        </is>
      </c>
      <c r="M178" t="inlineStr">
        <is>
          <t>Uba, Laura.</t>
        </is>
      </c>
      <c r="N178" t="inlineStr">
        <is>
          <t>New York : Guilford Press, 2003.</t>
        </is>
      </c>
      <c r="O178" t="inlineStr">
        <is>
          <t>2003</t>
        </is>
      </c>
      <c r="P178" t="inlineStr">
        <is>
          <t>Paperback ed.</t>
        </is>
      </c>
      <c r="Q178" t="inlineStr">
        <is>
          <t>eng</t>
        </is>
      </c>
      <c r="R178" t="inlineStr">
        <is>
          <t>nyu</t>
        </is>
      </c>
      <c r="T178" t="inlineStr">
        <is>
          <t xml:space="preserve">WA </t>
        </is>
      </c>
      <c r="U178" t="n">
        <v>5</v>
      </c>
      <c r="V178" t="n">
        <v>5</v>
      </c>
      <c r="W178" t="inlineStr">
        <is>
          <t>2009-09-01</t>
        </is>
      </c>
      <c r="X178" t="inlineStr">
        <is>
          <t>2009-09-01</t>
        </is>
      </c>
      <c r="Y178" t="inlineStr">
        <is>
          <t>2004-06-03</t>
        </is>
      </c>
      <c r="Z178" t="inlineStr">
        <is>
          <t>2004-06-03</t>
        </is>
      </c>
      <c r="AA178" t="n">
        <v>52</v>
      </c>
      <c r="AB178" t="n">
        <v>44</v>
      </c>
      <c r="AC178" t="n">
        <v>526</v>
      </c>
      <c r="AD178" t="n">
        <v>2</v>
      </c>
      <c r="AE178" t="n">
        <v>7</v>
      </c>
      <c r="AF178" t="n">
        <v>1</v>
      </c>
      <c r="AG178" t="n">
        <v>29</v>
      </c>
      <c r="AH178" t="n">
        <v>0</v>
      </c>
      <c r="AI178" t="n">
        <v>12</v>
      </c>
      <c r="AJ178" t="n">
        <v>0</v>
      </c>
      <c r="AK178" t="n">
        <v>6</v>
      </c>
      <c r="AL178" t="n">
        <v>0</v>
      </c>
      <c r="AM178" t="n">
        <v>16</v>
      </c>
      <c r="AN178" t="n">
        <v>1</v>
      </c>
      <c r="AO178" t="n">
        <v>4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HYPERLINK("https://creighton-primo.hosted.exlibrisgroup.com/primo-explore/search?tab=default_tab&amp;search_scope=EVERYTHING&amp;vid=01CRU&amp;lang=en_US&amp;offset=0&amp;query=any,contains,991000370539702656","Catalog Record")</f>
        <v/>
      </c>
      <c r="AV178">
        <f>HYPERLINK("http://www.worldcat.org/oclc/54017018","WorldCat Record")</f>
        <v/>
      </c>
      <c r="AW178" t="inlineStr">
        <is>
          <t>783249:eng</t>
        </is>
      </c>
      <c r="AX178" t="inlineStr">
        <is>
          <t>54017018</t>
        </is>
      </c>
      <c r="AY178" t="inlineStr">
        <is>
          <t>991000370539702656</t>
        </is>
      </c>
      <c r="AZ178" t="inlineStr">
        <is>
          <t>991000370539702656</t>
        </is>
      </c>
      <c r="BA178" t="inlineStr">
        <is>
          <t>2271584250002656</t>
        </is>
      </c>
      <c r="BB178" t="inlineStr">
        <is>
          <t>BOOK</t>
        </is>
      </c>
      <c r="BD178" t="inlineStr">
        <is>
          <t>9781572309128</t>
        </is>
      </c>
      <c r="BE178" t="inlineStr">
        <is>
          <t>30001004920148</t>
        </is>
      </c>
      <c r="BF178" t="inlineStr">
        <is>
          <t>893370427</t>
        </is>
      </c>
    </row>
    <row r="179">
      <c r="A179" t="inlineStr">
        <is>
          <t>No</t>
        </is>
      </c>
      <c r="B179" t="inlineStr">
        <is>
          <t>CUHSL</t>
        </is>
      </c>
      <c r="C179" t="inlineStr">
        <is>
          <t>SHELVES</t>
        </is>
      </c>
      <c r="D179" t="inlineStr">
        <is>
          <t>WA 307 V5677 2002</t>
        </is>
      </c>
      <c r="E179" t="inlineStr">
        <is>
          <t>0                      WA 0307000V  5677        2002</t>
        </is>
      </c>
      <c r="F179" t="inlineStr">
        <is>
          <t>Violence in the lives of black women : battered, black, and blue / Carolyn M. West, editor.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1</t>
        </is>
      </c>
      <c r="N179" t="inlineStr">
        <is>
          <t>New York : Haworth Press, c2002.</t>
        </is>
      </c>
      <c r="O179" t="inlineStr">
        <is>
          <t>2002</t>
        </is>
      </c>
      <c r="Q179" t="inlineStr">
        <is>
          <t>eng</t>
        </is>
      </c>
      <c r="R179" t="inlineStr">
        <is>
          <t>nyu</t>
        </is>
      </c>
      <c r="S179" t="inlineStr">
        <is>
          <t>Women &amp; therapy ; v. 25, no. 3/4, 2002</t>
        </is>
      </c>
      <c r="T179" t="inlineStr">
        <is>
          <t xml:space="preserve">WA </t>
        </is>
      </c>
      <c r="U179" t="n">
        <v>3</v>
      </c>
      <c r="V179" t="n">
        <v>3</v>
      </c>
      <c r="W179" t="inlineStr">
        <is>
          <t>2009-05-19</t>
        </is>
      </c>
      <c r="X179" t="inlineStr">
        <is>
          <t>2009-05-19</t>
        </is>
      </c>
      <c r="Y179" t="inlineStr">
        <is>
          <t>2008-10-31</t>
        </is>
      </c>
      <c r="Z179" t="inlineStr">
        <is>
          <t>2008-10-31</t>
        </is>
      </c>
      <c r="AA179" t="n">
        <v>291</v>
      </c>
      <c r="AB179" t="n">
        <v>264</v>
      </c>
      <c r="AC179" t="n">
        <v>921</v>
      </c>
      <c r="AD179" t="n">
        <v>3</v>
      </c>
      <c r="AE179" t="n">
        <v>14</v>
      </c>
      <c r="AF179" t="n">
        <v>14</v>
      </c>
      <c r="AG179" t="n">
        <v>45</v>
      </c>
      <c r="AH179" t="n">
        <v>3</v>
      </c>
      <c r="AI179" t="n">
        <v>12</v>
      </c>
      <c r="AJ179" t="n">
        <v>2</v>
      </c>
      <c r="AK179" t="n">
        <v>10</v>
      </c>
      <c r="AL179" t="n">
        <v>8</v>
      </c>
      <c r="AM179" t="n">
        <v>15</v>
      </c>
      <c r="AN179" t="n">
        <v>1</v>
      </c>
      <c r="AO179" t="n">
        <v>11</v>
      </c>
      <c r="AP179" t="n">
        <v>2</v>
      </c>
      <c r="AQ179" t="n">
        <v>4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HYPERLINK("https://creighton-primo.hosted.exlibrisgroup.com/primo-explore/search?tab=default_tab&amp;search_scope=EVERYTHING&amp;vid=01CRU&amp;lang=en_US&amp;offset=0&amp;query=any,contains,991001327859702656","Catalog Record")</f>
        <v/>
      </c>
      <c r="AV179">
        <f>HYPERLINK("http://www.worldcat.org/oclc/50448163","WorldCat Record")</f>
        <v/>
      </c>
      <c r="AW179" t="inlineStr">
        <is>
          <t>837998292:eng</t>
        </is>
      </c>
      <c r="AX179" t="inlineStr">
        <is>
          <t>50448163</t>
        </is>
      </c>
      <c r="AY179" t="inlineStr">
        <is>
          <t>991001327859702656</t>
        </is>
      </c>
      <c r="AZ179" t="inlineStr">
        <is>
          <t>991001327859702656</t>
        </is>
      </c>
      <c r="BA179" t="inlineStr">
        <is>
          <t>2270968250002656</t>
        </is>
      </c>
      <c r="BB179" t="inlineStr">
        <is>
          <t>BOOK</t>
        </is>
      </c>
      <c r="BD179" t="inlineStr">
        <is>
          <t>9780789019943</t>
        </is>
      </c>
      <c r="BE179" t="inlineStr">
        <is>
          <t>30001004914778</t>
        </is>
      </c>
      <c r="BF179" t="inlineStr">
        <is>
          <t>893134471</t>
        </is>
      </c>
    </row>
    <row r="180">
      <c r="A180" t="inlineStr">
        <is>
          <t>No</t>
        </is>
      </c>
      <c r="B180" t="inlineStr">
        <is>
          <t>CUHSL</t>
        </is>
      </c>
      <c r="C180" t="inlineStr">
        <is>
          <t>SHELVES</t>
        </is>
      </c>
      <c r="D180" t="inlineStr">
        <is>
          <t>WA 308 B573 1988</t>
        </is>
      </c>
      <c r="E180" t="inlineStr">
        <is>
          <t>0                      WA 0308000B  573         1988</t>
        </is>
      </c>
      <c r="F180" t="inlineStr">
        <is>
          <t>Beyond individual risk assessment : community wide approaches to promoting the health and development of families and children / edited by Robert W. Chamberlin.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N180" t="inlineStr">
        <is>
          <t>Washington, D.C. : National Center for Education in Maternal and Child Health, c1988.</t>
        </is>
      </c>
      <c r="O180" t="inlineStr">
        <is>
          <t>1988</t>
        </is>
      </c>
      <c r="Q180" t="inlineStr">
        <is>
          <t>eng</t>
        </is>
      </c>
      <c r="R180" t="inlineStr">
        <is>
          <t>dcu</t>
        </is>
      </c>
      <c r="T180" t="inlineStr">
        <is>
          <t xml:space="preserve">WA </t>
        </is>
      </c>
      <c r="U180" t="n">
        <v>2</v>
      </c>
      <c r="V180" t="n">
        <v>2</v>
      </c>
      <c r="W180" t="inlineStr">
        <is>
          <t>1989-11-14</t>
        </is>
      </c>
      <c r="X180" t="inlineStr">
        <is>
          <t>1989-11-14</t>
        </is>
      </c>
      <c r="Y180" t="inlineStr">
        <is>
          <t>1989-07-19</t>
        </is>
      </c>
      <c r="Z180" t="inlineStr">
        <is>
          <t>1989-07-19</t>
        </is>
      </c>
      <c r="AA180" t="n">
        <v>64</v>
      </c>
      <c r="AB180" t="n">
        <v>64</v>
      </c>
      <c r="AC180" t="n">
        <v>106</v>
      </c>
      <c r="AD180" t="n">
        <v>1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HYPERLINK("https://creighton-primo.hosted.exlibrisgroup.com/primo-explore/search?tab=default_tab&amp;search_scope=EVERYTHING&amp;vid=01CRU&amp;lang=en_US&amp;offset=0&amp;query=any,contains,991001310109702656","Catalog Record")</f>
        <v/>
      </c>
      <c r="AV180">
        <f>HYPERLINK("http://www.worldcat.org/oclc/19882248","WorldCat Record")</f>
        <v/>
      </c>
      <c r="AW180" t="inlineStr">
        <is>
          <t>2908653354:eng</t>
        </is>
      </c>
      <c r="AX180" t="inlineStr">
        <is>
          <t>19882248</t>
        </is>
      </c>
      <c r="AY180" t="inlineStr">
        <is>
          <t>991001310109702656</t>
        </is>
      </c>
      <c r="AZ180" t="inlineStr">
        <is>
          <t>991001310109702656</t>
        </is>
      </c>
      <c r="BA180" t="inlineStr">
        <is>
          <t>2263047990002656</t>
        </is>
      </c>
      <c r="BB180" t="inlineStr">
        <is>
          <t>BOOK</t>
        </is>
      </c>
      <c r="BE180" t="inlineStr">
        <is>
          <t>30001001750639</t>
        </is>
      </c>
      <c r="BF180" t="inlineStr">
        <is>
          <t>893149078</t>
        </is>
      </c>
    </row>
    <row r="181">
      <c r="A181" t="inlineStr">
        <is>
          <t>No</t>
        </is>
      </c>
      <c r="B181" t="inlineStr">
        <is>
          <t>CUHSL</t>
        </is>
      </c>
      <c r="C181" t="inlineStr">
        <is>
          <t>SHELVES</t>
        </is>
      </c>
      <c r="D181" t="inlineStr">
        <is>
          <t>WA 308 D186f 1993</t>
        </is>
      </c>
      <c r="E181" t="inlineStr">
        <is>
          <t>0                      WA 0308000D  186f        1993</t>
        </is>
      </c>
      <c r="F181" t="inlineStr">
        <is>
          <t>Families, health &amp; illness : perspectives on coping and intervention / Carol B. Danielson, Brenda Hamel-Bissell, Patricia Winstead-Fry.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Danielson, Carol B.</t>
        </is>
      </c>
      <c r="N181" t="inlineStr">
        <is>
          <t>St. Louis : Mosby, c1993.</t>
        </is>
      </c>
      <c r="O181" t="inlineStr">
        <is>
          <t>1993</t>
        </is>
      </c>
      <c r="Q181" t="inlineStr">
        <is>
          <t>eng</t>
        </is>
      </c>
      <c r="R181" t="inlineStr">
        <is>
          <t>mou</t>
        </is>
      </c>
      <c r="T181" t="inlineStr">
        <is>
          <t xml:space="preserve">WA </t>
        </is>
      </c>
      <c r="U181" t="n">
        <v>9</v>
      </c>
      <c r="V181" t="n">
        <v>9</v>
      </c>
      <c r="W181" t="inlineStr">
        <is>
          <t>2005-06-11</t>
        </is>
      </c>
      <c r="X181" t="inlineStr">
        <is>
          <t>2005-06-11</t>
        </is>
      </c>
      <c r="Y181" t="inlineStr">
        <is>
          <t>1994-08-04</t>
        </is>
      </c>
      <c r="Z181" t="inlineStr">
        <is>
          <t>1994-08-04</t>
        </is>
      </c>
      <c r="AA181" t="n">
        <v>375</v>
      </c>
      <c r="AB181" t="n">
        <v>277</v>
      </c>
      <c r="AC181" t="n">
        <v>281</v>
      </c>
      <c r="AD181" t="n">
        <v>3</v>
      </c>
      <c r="AE181" t="n">
        <v>3</v>
      </c>
      <c r="AF181" t="n">
        <v>14</v>
      </c>
      <c r="AG181" t="n">
        <v>14</v>
      </c>
      <c r="AH181" t="n">
        <v>6</v>
      </c>
      <c r="AI181" t="n">
        <v>6</v>
      </c>
      <c r="AJ181" t="n">
        <v>2</v>
      </c>
      <c r="AK181" t="n">
        <v>2</v>
      </c>
      <c r="AL181" t="n">
        <v>8</v>
      </c>
      <c r="AM181" t="n">
        <v>8</v>
      </c>
      <c r="AN181" t="n">
        <v>1</v>
      </c>
      <c r="AO181" t="n">
        <v>1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HYPERLINK("http://catalog.hathitrust.org/Record/002612374","HathiTrust Record")</f>
        <v/>
      </c>
      <c r="AU181">
        <f>HYPERLINK("https://creighton-primo.hosted.exlibrisgroup.com/primo-explore/search?tab=default_tab&amp;search_scope=EVERYTHING&amp;vid=01CRU&amp;lang=en_US&amp;offset=0&amp;query=any,contains,991001161109702656","Catalog Record")</f>
        <v/>
      </c>
      <c r="AV181">
        <f>HYPERLINK("http://www.worldcat.org/oclc/26769041","WorldCat Record")</f>
        <v/>
      </c>
      <c r="AW181" t="inlineStr">
        <is>
          <t>311438683:eng</t>
        </is>
      </c>
      <c r="AX181" t="inlineStr">
        <is>
          <t>26769041</t>
        </is>
      </c>
      <c r="AY181" t="inlineStr">
        <is>
          <t>991001161109702656</t>
        </is>
      </c>
      <c r="AZ181" t="inlineStr">
        <is>
          <t>991001161109702656</t>
        </is>
      </c>
      <c r="BA181" t="inlineStr">
        <is>
          <t>2267421940002656</t>
        </is>
      </c>
      <c r="BB181" t="inlineStr">
        <is>
          <t>BOOK</t>
        </is>
      </c>
      <c r="BD181" t="inlineStr">
        <is>
          <t>9780801603600</t>
        </is>
      </c>
      <c r="BE181" t="inlineStr">
        <is>
          <t>30001002974097</t>
        </is>
      </c>
      <c r="BF181" t="inlineStr">
        <is>
          <t>893121227</t>
        </is>
      </c>
    </row>
    <row r="182">
      <c r="A182" t="inlineStr">
        <is>
          <t>No</t>
        </is>
      </c>
      <c r="B182" t="inlineStr">
        <is>
          <t>CUHSL</t>
        </is>
      </c>
      <c r="C182" t="inlineStr">
        <is>
          <t>SHELVES</t>
        </is>
      </c>
      <c r="D182" t="inlineStr">
        <is>
          <t>WA 308 F1983 1992</t>
        </is>
      </c>
      <c r="E182" t="inlineStr">
        <is>
          <t>0                      WA 0308000F  1983        1992</t>
        </is>
      </c>
      <c r="F182" t="inlineStr">
        <is>
          <t>Family health care / Russell J. Sawa, editor.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Newbury Park, CA : SAGE Publications, c1992.</t>
        </is>
      </c>
      <c r="O182" t="inlineStr">
        <is>
          <t>1992</t>
        </is>
      </c>
      <c r="Q182" t="inlineStr">
        <is>
          <t>eng</t>
        </is>
      </c>
      <c r="R182" t="inlineStr">
        <is>
          <t>cau</t>
        </is>
      </c>
      <c r="T182" t="inlineStr">
        <is>
          <t xml:space="preserve">WA </t>
        </is>
      </c>
      <c r="U182" t="n">
        <v>3</v>
      </c>
      <c r="V182" t="n">
        <v>3</v>
      </c>
      <c r="W182" t="inlineStr">
        <is>
          <t>1992-11-19</t>
        </is>
      </c>
      <c r="X182" t="inlineStr">
        <is>
          <t>1992-11-19</t>
        </is>
      </c>
      <c r="Y182" t="inlineStr">
        <is>
          <t>1992-10-20</t>
        </is>
      </c>
      <c r="Z182" t="inlineStr">
        <is>
          <t>1992-10-20</t>
        </is>
      </c>
      <c r="AA182" t="n">
        <v>201</v>
      </c>
      <c r="AB182" t="n">
        <v>155</v>
      </c>
      <c r="AC182" t="n">
        <v>161</v>
      </c>
      <c r="AD182" t="n">
        <v>2</v>
      </c>
      <c r="AE182" t="n">
        <v>2</v>
      </c>
      <c r="AF182" t="n">
        <v>12</v>
      </c>
      <c r="AG182" t="n">
        <v>12</v>
      </c>
      <c r="AH182" t="n">
        <v>5</v>
      </c>
      <c r="AI182" t="n">
        <v>5</v>
      </c>
      <c r="AJ182" t="n">
        <v>2</v>
      </c>
      <c r="AK182" t="n">
        <v>2</v>
      </c>
      <c r="AL182" t="n">
        <v>7</v>
      </c>
      <c r="AM182" t="n">
        <v>7</v>
      </c>
      <c r="AN182" t="n">
        <v>1</v>
      </c>
      <c r="AO182" t="n">
        <v>1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HYPERLINK("http://catalog.hathitrust.org/Record/002570678","HathiTrust Record")</f>
        <v/>
      </c>
      <c r="AU182">
        <f>HYPERLINK("https://creighton-primo.hosted.exlibrisgroup.com/primo-explore/search?tab=default_tab&amp;search_scope=EVERYTHING&amp;vid=01CRU&amp;lang=en_US&amp;offset=0&amp;query=any,contains,991001342769702656","Catalog Record")</f>
        <v/>
      </c>
      <c r="AV182">
        <f>HYPERLINK("http://www.worldcat.org/oclc/26318438","WorldCat Record")</f>
        <v/>
      </c>
      <c r="AW182" t="inlineStr">
        <is>
          <t>28820181:eng</t>
        </is>
      </c>
      <c r="AX182" t="inlineStr">
        <is>
          <t>26318438</t>
        </is>
      </c>
      <c r="AY182" t="inlineStr">
        <is>
          <t>991001342769702656</t>
        </is>
      </c>
      <c r="AZ182" t="inlineStr">
        <is>
          <t>991001342769702656</t>
        </is>
      </c>
      <c r="BA182" t="inlineStr">
        <is>
          <t>2263483690002656</t>
        </is>
      </c>
      <c r="BB182" t="inlineStr">
        <is>
          <t>BOOK</t>
        </is>
      </c>
      <c r="BD182" t="inlineStr">
        <is>
          <t>9780803947481</t>
        </is>
      </c>
      <c r="BE182" t="inlineStr">
        <is>
          <t>30001002456368</t>
        </is>
      </c>
      <c r="BF182" t="inlineStr">
        <is>
          <t>893460484</t>
        </is>
      </c>
    </row>
    <row r="183">
      <c r="A183" t="inlineStr">
        <is>
          <t>No</t>
        </is>
      </c>
      <c r="B183" t="inlineStr">
        <is>
          <t>CUHSL</t>
        </is>
      </c>
      <c r="C183" t="inlineStr">
        <is>
          <t>SHELVES</t>
        </is>
      </c>
      <c r="D183" t="inlineStr">
        <is>
          <t>WA 308 F312w 1990</t>
        </is>
      </c>
      <c r="E183" t="inlineStr">
        <is>
          <t>0                      WA 0308000F  312w        1990</t>
        </is>
      </c>
      <c r="F183" t="inlineStr">
        <is>
          <t>When a loved one is ill : how to take better care of your loved one, your family, and yourself / by Leonard Felder.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Felder, Leonard.</t>
        </is>
      </c>
      <c r="N183" t="inlineStr">
        <is>
          <t>New York : New American Library, c1990.</t>
        </is>
      </c>
      <c r="O183" t="inlineStr">
        <is>
          <t>1990</t>
        </is>
      </c>
      <c r="Q183" t="inlineStr">
        <is>
          <t>eng</t>
        </is>
      </c>
      <c r="R183" t="inlineStr">
        <is>
          <t>nyu</t>
        </is>
      </c>
      <c r="T183" t="inlineStr">
        <is>
          <t xml:space="preserve">WA </t>
        </is>
      </c>
      <c r="U183" t="n">
        <v>5</v>
      </c>
      <c r="V183" t="n">
        <v>5</v>
      </c>
      <c r="W183" t="inlineStr">
        <is>
          <t>1991-04-04</t>
        </is>
      </c>
      <c r="X183" t="inlineStr">
        <is>
          <t>1991-04-04</t>
        </is>
      </c>
      <c r="Y183" t="inlineStr">
        <is>
          <t>1991-01-29</t>
        </is>
      </c>
      <c r="Z183" t="inlineStr">
        <is>
          <t>1991-01-29</t>
        </is>
      </c>
      <c r="AA183" t="n">
        <v>274</v>
      </c>
      <c r="AB183" t="n">
        <v>266</v>
      </c>
      <c r="AC183" t="n">
        <v>289</v>
      </c>
      <c r="AD183" t="n">
        <v>1</v>
      </c>
      <c r="AE183" t="n">
        <v>1</v>
      </c>
      <c r="AF183" t="n">
        <v>3</v>
      </c>
      <c r="AG183" t="n">
        <v>3</v>
      </c>
      <c r="AH183" t="n">
        <v>1</v>
      </c>
      <c r="AI183" t="n">
        <v>1</v>
      </c>
      <c r="AJ183" t="n">
        <v>0</v>
      </c>
      <c r="AK183" t="n">
        <v>0</v>
      </c>
      <c r="AL183" t="n">
        <v>3</v>
      </c>
      <c r="AM183" t="n">
        <v>3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HYPERLINK("https://creighton-primo.hosted.exlibrisgroup.com/primo-explore/search?tab=default_tab&amp;search_scope=EVERYTHING&amp;vid=01CRU&amp;lang=en_US&amp;offset=0&amp;query=any,contains,991000815439702656","Catalog Record")</f>
        <v/>
      </c>
      <c r="AV183">
        <f>HYPERLINK("http://www.worldcat.org/oclc/20294308","WorldCat Record")</f>
        <v/>
      </c>
      <c r="AW183" t="inlineStr">
        <is>
          <t>25075639:eng</t>
        </is>
      </c>
      <c r="AX183" t="inlineStr">
        <is>
          <t>20294308</t>
        </is>
      </c>
      <c r="AY183" t="inlineStr">
        <is>
          <t>991000815439702656</t>
        </is>
      </c>
      <c r="AZ183" t="inlineStr">
        <is>
          <t>991000815439702656</t>
        </is>
      </c>
      <c r="BA183" t="inlineStr">
        <is>
          <t>2266170570002656</t>
        </is>
      </c>
      <c r="BB183" t="inlineStr">
        <is>
          <t>BOOK</t>
        </is>
      </c>
      <c r="BD183" t="inlineStr">
        <is>
          <t>9780453007122</t>
        </is>
      </c>
      <c r="BE183" t="inlineStr">
        <is>
          <t>30001002086025</t>
        </is>
      </c>
      <c r="BF183" t="inlineStr">
        <is>
          <t>893820520</t>
        </is>
      </c>
    </row>
    <row r="184">
      <c r="A184" t="inlineStr">
        <is>
          <t>No</t>
        </is>
      </c>
      <c r="B184" t="inlineStr">
        <is>
          <t>CUHSL</t>
        </is>
      </c>
      <c r="C184" t="inlineStr">
        <is>
          <t>SHELVES</t>
        </is>
      </c>
      <c r="D184" t="inlineStr">
        <is>
          <t>WA308 H4335 2003</t>
        </is>
      </c>
      <c r="E184" t="inlineStr">
        <is>
          <t>0                      WA 0308000H  4335        2003</t>
        </is>
      </c>
      <c r="F184" t="inlineStr">
        <is>
          <t>Health and welfare for families in the 21st century / edited by Helen M. Wallace, Gordon Green, Kenneth J. Jaros ; with contributing editor, Naomi Morris.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N184" t="inlineStr">
        <is>
          <t>Boston : Jones and Bartlett, c2003.</t>
        </is>
      </c>
      <c r="O184" t="inlineStr">
        <is>
          <t>2003</t>
        </is>
      </c>
      <c r="P184" t="inlineStr">
        <is>
          <t>2nd ed.</t>
        </is>
      </c>
      <c r="Q184" t="inlineStr">
        <is>
          <t>eng</t>
        </is>
      </c>
      <c r="R184" t="inlineStr">
        <is>
          <t>mau</t>
        </is>
      </c>
      <c r="T184" t="inlineStr">
        <is>
          <t xml:space="preserve">WA </t>
        </is>
      </c>
      <c r="U184" t="n">
        <v>1</v>
      </c>
      <c r="V184" t="n">
        <v>1</v>
      </c>
      <c r="W184" t="inlineStr">
        <is>
          <t>2006-02-28</t>
        </is>
      </c>
      <c r="X184" t="inlineStr">
        <is>
          <t>2006-02-28</t>
        </is>
      </c>
      <c r="Y184" t="inlineStr">
        <is>
          <t>2003-06-09</t>
        </is>
      </c>
      <c r="Z184" t="inlineStr">
        <is>
          <t>2003-06-09</t>
        </is>
      </c>
      <c r="AA184" t="n">
        <v>425</v>
      </c>
      <c r="AB184" t="n">
        <v>369</v>
      </c>
      <c r="AC184" t="n">
        <v>605</v>
      </c>
      <c r="AD184" t="n">
        <v>3</v>
      </c>
      <c r="AE184" t="n">
        <v>4</v>
      </c>
      <c r="AF184" t="n">
        <v>17</v>
      </c>
      <c r="AG184" t="n">
        <v>26</v>
      </c>
      <c r="AH184" t="n">
        <v>9</v>
      </c>
      <c r="AI184" t="n">
        <v>14</v>
      </c>
      <c r="AJ184" t="n">
        <v>3</v>
      </c>
      <c r="AK184" t="n">
        <v>4</v>
      </c>
      <c r="AL184" t="n">
        <v>6</v>
      </c>
      <c r="AM184" t="n">
        <v>10</v>
      </c>
      <c r="AN184" t="n">
        <v>2</v>
      </c>
      <c r="AO184" t="n">
        <v>3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HYPERLINK("http://catalog.hathitrust.org/Record/004323218","HathiTrust Record")</f>
        <v/>
      </c>
      <c r="AU184">
        <f>HYPERLINK("https://creighton-primo.hosted.exlibrisgroup.com/primo-explore/search?tab=default_tab&amp;search_scope=EVERYTHING&amp;vid=01CRU&amp;lang=en_US&amp;offset=0&amp;query=any,contains,991000349469702656","Catalog Record")</f>
        <v/>
      </c>
      <c r="AV184">
        <f>HYPERLINK("http://www.worldcat.org/oclc/51096020","WorldCat Record")</f>
        <v/>
      </c>
      <c r="AW184" t="inlineStr">
        <is>
          <t>364546134:eng</t>
        </is>
      </c>
      <c r="AX184" t="inlineStr">
        <is>
          <t>51096020</t>
        </is>
      </c>
      <c r="AY184" t="inlineStr">
        <is>
          <t>991000349469702656</t>
        </is>
      </c>
      <c r="AZ184" t="inlineStr">
        <is>
          <t>991000349469702656</t>
        </is>
      </c>
      <c r="BA184" t="inlineStr">
        <is>
          <t>2269211170002656</t>
        </is>
      </c>
      <c r="BB184" t="inlineStr">
        <is>
          <t>BOOK</t>
        </is>
      </c>
      <c r="BD184" t="inlineStr">
        <is>
          <t>9780736718592</t>
        </is>
      </c>
      <c r="BE184" t="inlineStr">
        <is>
          <t>30001004504561</t>
        </is>
      </c>
      <c r="BF184" t="inlineStr">
        <is>
          <t>893827413</t>
        </is>
      </c>
    </row>
    <row r="185">
      <c r="A185" t="inlineStr">
        <is>
          <t>No</t>
        </is>
      </c>
      <c r="B185" t="inlineStr">
        <is>
          <t>CUHSL</t>
        </is>
      </c>
      <c r="C185" t="inlineStr">
        <is>
          <t>SHELVES</t>
        </is>
      </c>
      <c r="D185" t="inlineStr">
        <is>
          <t>WA308 R429 1998</t>
        </is>
      </c>
      <c r="E185" t="inlineStr">
        <is>
          <t>0                      WA 0308000R  429         1998</t>
        </is>
      </c>
      <c r="F185" t="inlineStr">
        <is>
          <t>Resiliency in African-American families / editors, Hamilton I. McCubbin ... [et al.].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N185" t="inlineStr">
        <is>
          <t>Thousand Oaks, Calif. : Sage Publications, c1998.</t>
        </is>
      </c>
      <c r="O185" t="inlineStr">
        <is>
          <t>1998</t>
        </is>
      </c>
      <c r="Q185" t="inlineStr">
        <is>
          <t>eng</t>
        </is>
      </c>
      <c r="R185" t="inlineStr">
        <is>
          <t>cau</t>
        </is>
      </c>
      <c r="S185" t="inlineStr">
        <is>
          <t>Resiliency in families series ; v. 3</t>
        </is>
      </c>
      <c r="T185" t="inlineStr">
        <is>
          <t xml:space="preserve">WA </t>
        </is>
      </c>
      <c r="U185" t="n">
        <v>1</v>
      </c>
      <c r="V185" t="n">
        <v>1</v>
      </c>
      <c r="W185" t="inlineStr">
        <is>
          <t>2004-06-06</t>
        </is>
      </c>
      <c r="X185" t="inlineStr">
        <is>
          <t>2004-06-06</t>
        </is>
      </c>
      <c r="Y185" t="inlineStr">
        <is>
          <t>2004-06-03</t>
        </is>
      </c>
      <c r="Z185" t="inlineStr">
        <is>
          <t>2004-06-03</t>
        </is>
      </c>
      <c r="AA185" t="n">
        <v>347</v>
      </c>
      <c r="AB185" t="n">
        <v>318</v>
      </c>
      <c r="AC185" t="n">
        <v>608</v>
      </c>
      <c r="AD185" t="n">
        <v>4</v>
      </c>
      <c r="AE185" t="n">
        <v>6</v>
      </c>
      <c r="AF185" t="n">
        <v>18</v>
      </c>
      <c r="AG185" t="n">
        <v>21</v>
      </c>
      <c r="AH185" t="n">
        <v>2</v>
      </c>
      <c r="AI185" t="n">
        <v>3</v>
      </c>
      <c r="AJ185" t="n">
        <v>6</v>
      </c>
      <c r="AK185" t="n">
        <v>6</v>
      </c>
      <c r="AL185" t="n">
        <v>11</v>
      </c>
      <c r="AM185" t="n">
        <v>12</v>
      </c>
      <c r="AN185" t="n">
        <v>3</v>
      </c>
      <c r="AO185" t="n">
        <v>5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HYPERLINK("http://catalog.hathitrust.org/Record/003981184","HathiTrust Record")</f>
        <v/>
      </c>
      <c r="AU185">
        <f>HYPERLINK("https://creighton-primo.hosted.exlibrisgroup.com/primo-explore/search?tab=default_tab&amp;search_scope=EVERYTHING&amp;vid=01CRU&amp;lang=en_US&amp;offset=0&amp;query=any,contains,991000370839702656","Catalog Record")</f>
        <v/>
      </c>
      <c r="AV185">
        <f>HYPERLINK("http://www.worldcat.org/oclc/38573229","WorldCat Record")</f>
        <v/>
      </c>
      <c r="AW185" t="inlineStr">
        <is>
          <t>41966086:eng</t>
        </is>
      </c>
      <c r="AX185" t="inlineStr">
        <is>
          <t>38573229</t>
        </is>
      </c>
      <c r="AY185" t="inlineStr">
        <is>
          <t>991000370839702656</t>
        </is>
      </c>
      <c r="AZ185" t="inlineStr">
        <is>
          <t>991000370839702656</t>
        </is>
      </c>
      <c r="BA185" t="inlineStr">
        <is>
          <t>2268480040002656</t>
        </is>
      </c>
      <c r="BB185" t="inlineStr">
        <is>
          <t>BOOK</t>
        </is>
      </c>
      <c r="BD185" t="inlineStr">
        <is>
          <t>9780761913924</t>
        </is>
      </c>
      <c r="BE185" t="inlineStr">
        <is>
          <t>30001004920106</t>
        </is>
      </c>
      <c r="BF185" t="inlineStr">
        <is>
          <t>893447245</t>
        </is>
      </c>
    </row>
    <row r="186">
      <c r="A186" t="inlineStr">
        <is>
          <t>No</t>
        </is>
      </c>
      <c r="B186" t="inlineStr">
        <is>
          <t>CUHSL</t>
        </is>
      </c>
      <c r="C186" t="inlineStr">
        <is>
          <t>SHELVES</t>
        </is>
      </c>
      <c r="D186" t="inlineStr">
        <is>
          <t>WA 308 R749f 1994</t>
        </is>
      </c>
      <c r="E186" t="inlineStr">
        <is>
          <t>0                      WA 0308000R  749f        1994</t>
        </is>
      </c>
      <c r="F186" t="inlineStr">
        <is>
          <t>Families, illness, and disability : an integrative treatment model / John S. Rolland.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Rolland, John S., 1948-</t>
        </is>
      </c>
      <c r="N186" t="inlineStr">
        <is>
          <t>New York : BasicBooks, c1994.</t>
        </is>
      </c>
      <c r="O186" t="inlineStr">
        <is>
          <t>1994</t>
        </is>
      </c>
      <c r="Q186" t="inlineStr">
        <is>
          <t>eng</t>
        </is>
      </c>
      <c r="R186" t="inlineStr">
        <is>
          <t>nyu</t>
        </is>
      </c>
      <c r="T186" t="inlineStr">
        <is>
          <t xml:space="preserve">WA </t>
        </is>
      </c>
      <c r="U186" t="n">
        <v>5</v>
      </c>
      <c r="V186" t="n">
        <v>5</v>
      </c>
      <c r="W186" t="inlineStr">
        <is>
          <t>2002-01-08</t>
        </is>
      </c>
      <c r="X186" t="inlineStr">
        <is>
          <t>2002-01-08</t>
        </is>
      </c>
      <c r="Y186" t="inlineStr">
        <is>
          <t>1995-02-20</t>
        </is>
      </c>
      <c r="Z186" t="inlineStr">
        <is>
          <t>1995-02-20</t>
        </is>
      </c>
      <c r="AA186" t="n">
        <v>439</v>
      </c>
      <c r="AB186" t="n">
        <v>360</v>
      </c>
      <c r="AC186" t="n">
        <v>367</v>
      </c>
      <c r="AD186" t="n">
        <v>2</v>
      </c>
      <c r="AE186" t="n">
        <v>2</v>
      </c>
      <c r="AF186" t="n">
        <v>17</v>
      </c>
      <c r="AG186" t="n">
        <v>17</v>
      </c>
      <c r="AH186" t="n">
        <v>5</v>
      </c>
      <c r="AI186" t="n">
        <v>5</v>
      </c>
      <c r="AJ186" t="n">
        <v>3</v>
      </c>
      <c r="AK186" t="n">
        <v>3</v>
      </c>
      <c r="AL186" t="n">
        <v>13</v>
      </c>
      <c r="AM186" t="n">
        <v>13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HYPERLINK("http://catalog.hathitrust.org/Record/002882958","HathiTrust Record")</f>
        <v/>
      </c>
      <c r="AU186">
        <f>HYPERLINK("https://creighton-primo.hosted.exlibrisgroup.com/primo-explore/search?tab=default_tab&amp;search_scope=EVERYTHING&amp;vid=01CRU&amp;lang=en_US&amp;offset=0&amp;query=any,contains,991001397049702656","Catalog Record")</f>
        <v/>
      </c>
      <c r="AV186">
        <f>HYPERLINK("http://www.worldcat.org/oclc/29848184","WorldCat Record")</f>
        <v/>
      </c>
      <c r="AW186" t="inlineStr">
        <is>
          <t>836747484:eng</t>
        </is>
      </c>
      <c r="AX186" t="inlineStr">
        <is>
          <t>29848184</t>
        </is>
      </c>
      <c r="AY186" t="inlineStr">
        <is>
          <t>991001397049702656</t>
        </is>
      </c>
      <c r="AZ186" t="inlineStr">
        <is>
          <t>991001397049702656</t>
        </is>
      </c>
      <c r="BA186" t="inlineStr">
        <is>
          <t>2263806440002656</t>
        </is>
      </c>
      <c r="BB186" t="inlineStr">
        <is>
          <t>BOOK</t>
        </is>
      </c>
      <c r="BD186" t="inlineStr">
        <is>
          <t>9780465029150</t>
        </is>
      </c>
      <c r="BE186" t="inlineStr">
        <is>
          <t>30001003146364</t>
        </is>
      </c>
      <c r="BF186" t="inlineStr">
        <is>
          <t>893826705</t>
        </is>
      </c>
    </row>
    <row r="187">
      <c r="A187" t="inlineStr">
        <is>
          <t>No</t>
        </is>
      </c>
      <c r="B187" t="inlineStr">
        <is>
          <t>CUHSL</t>
        </is>
      </c>
      <c r="C187" t="inlineStr">
        <is>
          <t>SHELVES</t>
        </is>
      </c>
      <c r="D187" t="inlineStr">
        <is>
          <t>WA 308 W726f 1989</t>
        </is>
      </c>
      <c r="E187" t="inlineStr">
        <is>
          <t>0                      WA 0308000W  726f        1989</t>
        </is>
      </c>
      <c r="F187" t="inlineStr">
        <is>
          <t>Family problems / Peter R. Williams.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Williams, Peter R.</t>
        </is>
      </c>
      <c r="N187" t="inlineStr">
        <is>
          <t>Oxford [England] ; New York : Oxford University Press, c1989.</t>
        </is>
      </c>
      <c r="O187" t="inlineStr">
        <is>
          <t>1989</t>
        </is>
      </c>
      <c r="Q187" t="inlineStr">
        <is>
          <t>eng</t>
        </is>
      </c>
      <c r="R187" t="inlineStr">
        <is>
          <t>enk</t>
        </is>
      </c>
      <c r="S187" t="inlineStr">
        <is>
          <t>Oxford general practice series ; 17</t>
        </is>
      </c>
      <c r="T187" t="inlineStr">
        <is>
          <t xml:space="preserve">WA </t>
        </is>
      </c>
      <c r="U187" t="n">
        <v>2</v>
      </c>
      <c r="V187" t="n">
        <v>2</v>
      </c>
      <c r="W187" t="inlineStr">
        <is>
          <t>1992-04-02</t>
        </is>
      </c>
      <c r="X187" t="inlineStr">
        <is>
          <t>1992-04-02</t>
        </is>
      </c>
      <c r="Y187" t="inlineStr">
        <is>
          <t>1992-04-02</t>
        </is>
      </c>
      <c r="Z187" t="inlineStr">
        <is>
          <t>1992-04-02</t>
        </is>
      </c>
      <c r="AA187" t="n">
        <v>130</v>
      </c>
      <c r="AB187" t="n">
        <v>64</v>
      </c>
      <c r="AC187" t="n">
        <v>71</v>
      </c>
      <c r="AD187" t="n">
        <v>1</v>
      </c>
      <c r="AE187" t="n">
        <v>1</v>
      </c>
      <c r="AF187" t="n">
        <v>4</v>
      </c>
      <c r="AG187" t="n">
        <v>4</v>
      </c>
      <c r="AH187" t="n">
        <v>1</v>
      </c>
      <c r="AI187" t="n">
        <v>1</v>
      </c>
      <c r="AJ187" t="n">
        <v>1</v>
      </c>
      <c r="AK187" t="n">
        <v>1</v>
      </c>
      <c r="AL187" t="n">
        <v>4</v>
      </c>
      <c r="AM187" t="n">
        <v>4</v>
      </c>
      <c r="AN187" t="n">
        <v>0</v>
      </c>
      <c r="AO187" t="n">
        <v>0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HYPERLINK("http://catalog.hathitrust.org/Record/001841133","HathiTrust Record")</f>
        <v/>
      </c>
      <c r="AU187">
        <f>HYPERLINK("https://creighton-primo.hosted.exlibrisgroup.com/primo-explore/search?tab=default_tab&amp;search_scope=EVERYTHING&amp;vid=01CRU&amp;lang=en_US&amp;offset=0&amp;query=any,contains,991001300089702656","Catalog Record")</f>
        <v/>
      </c>
      <c r="AV187">
        <f>HYPERLINK("http://www.worldcat.org/oclc/19513371","WorldCat Record")</f>
        <v/>
      </c>
      <c r="AW187" t="inlineStr">
        <is>
          <t>21325054:eng</t>
        </is>
      </c>
      <c r="AX187" t="inlineStr">
        <is>
          <t>19513371</t>
        </is>
      </c>
      <c r="AY187" t="inlineStr">
        <is>
          <t>991001300089702656</t>
        </is>
      </c>
      <c r="AZ187" t="inlineStr">
        <is>
          <t>991001300089702656</t>
        </is>
      </c>
      <c r="BA187" t="inlineStr">
        <is>
          <t>2260345500002656</t>
        </is>
      </c>
      <c r="BB187" t="inlineStr">
        <is>
          <t>BOOK</t>
        </is>
      </c>
      <c r="BD187" t="inlineStr">
        <is>
          <t>9780192616043</t>
        </is>
      </c>
      <c r="BE187" t="inlineStr">
        <is>
          <t>30001002411470</t>
        </is>
      </c>
      <c r="BF187" t="inlineStr">
        <is>
          <t>893638216</t>
        </is>
      </c>
    </row>
    <row r="188">
      <c r="A188" t="inlineStr">
        <is>
          <t>No</t>
        </is>
      </c>
      <c r="B188" t="inlineStr">
        <is>
          <t>CUHSL</t>
        </is>
      </c>
      <c r="C188" t="inlineStr">
        <is>
          <t>SHELVES</t>
        </is>
      </c>
      <c r="D188" t="inlineStr">
        <is>
          <t>WA309 B973c 2001</t>
        </is>
      </c>
      <c r="E188" t="inlineStr">
        <is>
          <t>0                      WA 0309000B  973c        2001</t>
        </is>
      </c>
      <c r="F188" t="inlineStr">
        <is>
          <t>Concise guide to women's mental health / Vivien K. Burt, Victoria C. Hendrick.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Burt, Vivien K., 1944-</t>
        </is>
      </c>
      <c r="N188" t="inlineStr">
        <is>
          <t>Washington, DC : American Psychiatric Pub., c2001.</t>
        </is>
      </c>
      <c r="O188" t="inlineStr">
        <is>
          <t>2001</t>
        </is>
      </c>
      <c r="P188" t="inlineStr">
        <is>
          <t>2nd ed.</t>
        </is>
      </c>
      <c r="Q188" t="inlineStr">
        <is>
          <t>eng</t>
        </is>
      </c>
      <c r="R188" t="inlineStr">
        <is>
          <t>dcu</t>
        </is>
      </c>
      <c r="S188" t="inlineStr">
        <is>
          <t>Concise guides</t>
        </is>
      </c>
      <c r="T188" t="inlineStr">
        <is>
          <t xml:space="preserve">WA </t>
        </is>
      </c>
      <c r="U188" t="n">
        <v>2</v>
      </c>
      <c r="V188" t="n">
        <v>2</v>
      </c>
      <c r="W188" t="inlineStr">
        <is>
          <t>2002-10-07</t>
        </is>
      </c>
      <c r="X188" t="inlineStr">
        <is>
          <t>2002-10-07</t>
        </is>
      </c>
      <c r="Y188" t="inlineStr">
        <is>
          <t>2002-06-17</t>
        </is>
      </c>
      <c r="Z188" t="inlineStr">
        <is>
          <t>2002-06-17</t>
        </is>
      </c>
      <c r="AA188" t="n">
        <v>167</v>
      </c>
      <c r="AB188" t="n">
        <v>142</v>
      </c>
      <c r="AC188" t="n">
        <v>212</v>
      </c>
      <c r="AD188" t="n">
        <v>1</v>
      </c>
      <c r="AE188" t="n">
        <v>1</v>
      </c>
      <c r="AF188" t="n">
        <v>3</v>
      </c>
      <c r="AG188" t="n">
        <v>4</v>
      </c>
      <c r="AH188" t="n">
        <v>3</v>
      </c>
      <c r="AI188" t="n">
        <v>4</v>
      </c>
      <c r="AJ188" t="n">
        <v>0</v>
      </c>
      <c r="AK188" t="n">
        <v>0</v>
      </c>
      <c r="AL188" t="n">
        <v>1</v>
      </c>
      <c r="AM188" t="n">
        <v>1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HYPERLINK("https://creighton-primo.hosted.exlibrisgroup.com/primo-explore/search?tab=default_tab&amp;search_scope=EVERYTHING&amp;vid=01CRU&amp;lang=en_US&amp;offset=0&amp;query=any,contains,991000316159702656","Catalog Record")</f>
        <v/>
      </c>
      <c r="AV188">
        <f>HYPERLINK("http://www.worldcat.org/oclc/45500394","WorldCat Record")</f>
        <v/>
      </c>
      <c r="AW188" t="inlineStr">
        <is>
          <t>34844715:eng</t>
        </is>
      </c>
      <c r="AX188" t="inlineStr">
        <is>
          <t>45500394</t>
        </is>
      </c>
      <c r="AY188" t="inlineStr">
        <is>
          <t>991000316159702656</t>
        </is>
      </c>
      <c r="AZ188" t="inlineStr">
        <is>
          <t>991000316159702656</t>
        </is>
      </c>
      <c r="BA188" t="inlineStr">
        <is>
          <t>2272689240002656</t>
        </is>
      </c>
      <c r="BB188" t="inlineStr">
        <is>
          <t>BOOK</t>
        </is>
      </c>
      <c r="BD188" t="inlineStr">
        <is>
          <t>9781585620302</t>
        </is>
      </c>
      <c r="BE188" t="inlineStr">
        <is>
          <t>30001004239408</t>
        </is>
      </c>
      <c r="BF188" t="inlineStr">
        <is>
          <t>893456552</t>
        </is>
      </c>
    </row>
    <row r="189">
      <c r="A189" t="inlineStr">
        <is>
          <t>No</t>
        </is>
      </c>
      <c r="B189" t="inlineStr">
        <is>
          <t>CUHSL</t>
        </is>
      </c>
      <c r="C189" t="inlineStr">
        <is>
          <t>SHELVES</t>
        </is>
      </c>
      <c r="D189" t="inlineStr">
        <is>
          <t>WA 309 C746w 2004</t>
        </is>
      </c>
      <c r="E189" t="inlineStr">
        <is>
          <t>0                      WA 0309000C  746w        2004</t>
        </is>
      </c>
      <c r="F189" t="inlineStr">
        <is>
          <t>Women's health : body, mind, spirit : an integrated approach to wellness and illness / Marian C. Condon.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Condon, Marian C.</t>
        </is>
      </c>
      <c r="N189" t="inlineStr">
        <is>
          <t>Upper Saddle River, N.J. : Prentice Hall, c2004.</t>
        </is>
      </c>
      <c r="O189" t="inlineStr">
        <is>
          <t>2004</t>
        </is>
      </c>
      <c r="Q189" t="inlineStr">
        <is>
          <t>eng</t>
        </is>
      </c>
      <c r="R189" t="inlineStr">
        <is>
          <t>nju</t>
        </is>
      </c>
      <c r="T189" t="inlineStr">
        <is>
          <t xml:space="preserve">WA </t>
        </is>
      </c>
      <c r="U189" t="n">
        <v>0</v>
      </c>
      <c r="V189" t="n">
        <v>0</v>
      </c>
      <c r="W189" t="inlineStr">
        <is>
          <t>2007-06-28</t>
        </is>
      </c>
      <c r="X189" t="inlineStr">
        <is>
          <t>2007-06-28</t>
        </is>
      </c>
      <c r="Y189" t="inlineStr">
        <is>
          <t>2007-06-22</t>
        </is>
      </c>
      <c r="Z189" t="inlineStr">
        <is>
          <t>2007-06-22</t>
        </is>
      </c>
      <c r="AA189" t="n">
        <v>285</v>
      </c>
      <c r="AB189" t="n">
        <v>223</v>
      </c>
      <c r="AC189" t="n">
        <v>230</v>
      </c>
      <c r="AD189" t="n">
        <v>0</v>
      </c>
      <c r="AE189" t="n">
        <v>0</v>
      </c>
      <c r="AF189" t="n">
        <v>8</v>
      </c>
      <c r="AG189" t="n">
        <v>8</v>
      </c>
      <c r="AH189" t="n">
        <v>3</v>
      </c>
      <c r="AI189" t="n">
        <v>3</v>
      </c>
      <c r="AJ189" t="n">
        <v>1</v>
      </c>
      <c r="AK189" t="n">
        <v>1</v>
      </c>
      <c r="AL189" t="n">
        <v>5</v>
      </c>
      <c r="AM189" t="n">
        <v>5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Yes</t>
        </is>
      </c>
      <c r="AT189">
        <f>HYPERLINK("http://catalog.hathitrust.org/Record/004305030","HathiTrust Record")</f>
        <v/>
      </c>
      <c r="AU189">
        <f>HYPERLINK("https://creighton-primo.hosted.exlibrisgroup.com/primo-explore/search?tab=default_tab&amp;search_scope=EVERYTHING&amp;vid=01CRU&amp;lang=en_US&amp;offset=0&amp;query=any,contains,991000634469702656","Catalog Record")</f>
        <v/>
      </c>
      <c r="AV189">
        <f>HYPERLINK("http://www.worldcat.org/oclc/47798253","WorldCat Record")</f>
        <v/>
      </c>
      <c r="AW189" t="inlineStr">
        <is>
          <t>14419008:eng</t>
        </is>
      </c>
      <c r="AX189" t="inlineStr">
        <is>
          <t>47798253</t>
        </is>
      </c>
      <c r="AY189" t="inlineStr">
        <is>
          <t>991000634469702656</t>
        </is>
      </c>
      <c r="AZ189" t="inlineStr">
        <is>
          <t>991000634469702656</t>
        </is>
      </c>
      <c r="BA189" t="inlineStr">
        <is>
          <t>2264350520002656</t>
        </is>
      </c>
      <c r="BB189" t="inlineStr">
        <is>
          <t>BOOK</t>
        </is>
      </c>
      <c r="BD189" t="inlineStr">
        <is>
          <t>9780838596487</t>
        </is>
      </c>
      <c r="BE189" t="inlineStr">
        <is>
          <t>30001005218617</t>
        </is>
      </c>
      <c r="BF189" t="inlineStr">
        <is>
          <t>893467437</t>
        </is>
      </c>
    </row>
    <row r="190">
      <c r="A190" t="inlineStr">
        <is>
          <t>No</t>
        </is>
      </c>
      <c r="B190" t="inlineStr">
        <is>
          <t>CUHSL</t>
        </is>
      </c>
      <c r="C190" t="inlineStr">
        <is>
          <t>SHELVES</t>
        </is>
      </c>
      <c r="D190" t="inlineStr">
        <is>
          <t>WA 309 C87 2004</t>
        </is>
      </c>
      <c r="E190" t="inlineStr">
        <is>
          <t>0                      WA 0309000C  87          2004</t>
        </is>
      </c>
      <c r="F190" t="inlineStr">
        <is>
          <t>Current care of women : diagnosis &amp; treatment / edited by Dawn P. Lemcke ... [et al.].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N190" t="inlineStr">
        <is>
          <t>New York : Lange Medical Books/McGraw-Hill, c2004.</t>
        </is>
      </c>
      <c r="O190" t="inlineStr">
        <is>
          <t>2004</t>
        </is>
      </c>
      <c r="Q190" t="inlineStr">
        <is>
          <t>eng</t>
        </is>
      </c>
      <c r="R190" t="inlineStr">
        <is>
          <t>nyu</t>
        </is>
      </c>
      <c r="T190" t="inlineStr">
        <is>
          <t xml:space="preserve">WA </t>
        </is>
      </c>
      <c r="U190" t="n">
        <v>2</v>
      </c>
      <c r="V190" t="n">
        <v>2</v>
      </c>
      <c r="W190" t="inlineStr">
        <is>
          <t>2005-11-07</t>
        </is>
      </c>
      <c r="X190" t="inlineStr">
        <is>
          <t>2005-11-07</t>
        </is>
      </c>
      <c r="Y190" t="inlineStr">
        <is>
          <t>2004-09-16</t>
        </is>
      </c>
      <c r="Z190" t="inlineStr">
        <is>
          <t>2004-09-16</t>
        </is>
      </c>
      <c r="AA190" t="n">
        <v>209</v>
      </c>
      <c r="AB190" t="n">
        <v>169</v>
      </c>
      <c r="AC190" t="n">
        <v>188</v>
      </c>
      <c r="AD190" t="n">
        <v>1</v>
      </c>
      <c r="AE190" t="n">
        <v>1</v>
      </c>
      <c r="AF190" t="n">
        <v>5</v>
      </c>
      <c r="AG190" t="n">
        <v>6</v>
      </c>
      <c r="AH190" t="n">
        <v>2</v>
      </c>
      <c r="AI190" t="n">
        <v>2</v>
      </c>
      <c r="AJ190" t="n">
        <v>1</v>
      </c>
      <c r="AK190" t="n">
        <v>2</v>
      </c>
      <c r="AL190" t="n">
        <v>3</v>
      </c>
      <c r="AM190" t="n">
        <v>3</v>
      </c>
      <c r="AN190" t="n">
        <v>0</v>
      </c>
      <c r="AO190" t="n">
        <v>0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HYPERLINK("http://catalog.hathitrust.org/Record/004342121","HathiTrust Record")</f>
        <v/>
      </c>
      <c r="AU190">
        <f>HYPERLINK("https://creighton-primo.hosted.exlibrisgroup.com/primo-explore/search?tab=default_tab&amp;search_scope=EVERYTHING&amp;vid=01CRU&amp;lang=en_US&amp;offset=0&amp;query=any,contains,991000391279702656","Catalog Record")</f>
        <v/>
      </c>
      <c r="AV190">
        <f>HYPERLINK("http://www.worldcat.org/oclc/53971836","WorldCat Record")</f>
        <v/>
      </c>
      <c r="AW190" t="inlineStr">
        <is>
          <t>1077198544:eng</t>
        </is>
      </c>
      <c r="AX190" t="inlineStr">
        <is>
          <t>53971836</t>
        </is>
      </c>
      <c r="AY190" t="inlineStr">
        <is>
          <t>991000391279702656</t>
        </is>
      </c>
      <c r="AZ190" t="inlineStr">
        <is>
          <t>991000391279702656</t>
        </is>
      </c>
      <c r="BA190" t="inlineStr">
        <is>
          <t>2262889130002656</t>
        </is>
      </c>
      <c r="BB190" t="inlineStr">
        <is>
          <t>BOOK</t>
        </is>
      </c>
      <c r="BD190" t="inlineStr">
        <is>
          <t>9780071219778</t>
        </is>
      </c>
      <c r="BE190" t="inlineStr">
        <is>
          <t>30001004977106</t>
        </is>
      </c>
      <c r="BF190" t="inlineStr">
        <is>
          <t>893365389</t>
        </is>
      </c>
    </row>
    <row r="191">
      <c r="A191" t="inlineStr">
        <is>
          <t>No</t>
        </is>
      </c>
      <c r="B191" t="inlineStr">
        <is>
          <t>CUHSL</t>
        </is>
      </c>
      <c r="C191" t="inlineStr">
        <is>
          <t>SHELVES</t>
        </is>
      </c>
      <c r="D191" t="inlineStr">
        <is>
          <t>WA309 D279 1998</t>
        </is>
      </c>
      <c r="E191" t="inlineStr">
        <is>
          <t>0                      WA 0309000D  279         1998</t>
        </is>
      </c>
      <c r="F191" t="inlineStr">
        <is>
          <t>Too little, too late : dealing with the health needs of women in poverty / edited by Cesar A. Perales and Lauren S. Young.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Women, health, and poverty.</t>
        </is>
      </c>
      <c r="N191" t="inlineStr">
        <is>
          <t>New York : Harrington Park Press, c1988.</t>
        </is>
      </c>
      <c r="O191" t="inlineStr">
        <is>
          <t>1988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WA </t>
        </is>
      </c>
      <c r="U191" t="n">
        <v>2</v>
      </c>
      <c r="V191" t="n">
        <v>2</v>
      </c>
      <c r="W191" t="inlineStr">
        <is>
          <t>2005-10-07</t>
        </is>
      </c>
      <c r="X191" t="inlineStr">
        <is>
          <t>2005-10-07</t>
        </is>
      </c>
      <c r="Y191" t="inlineStr">
        <is>
          <t>2004-06-04</t>
        </is>
      </c>
      <c r="Z191" t="inlineStr">
        <is>
          <t>2004-06-04</t>
        </is>
      </c>
      <c r="AA191" t="n">
        <v>112</v>
      </c>
      <c r="AB191" t="n">
        <v>88</v>
      </c>
      <c r="AC191" t="n">
        <v>93</v>
      </c>
      <c r="AD191" t="n">
        <v>1</v>
      </c>
      <c r="AE191" t="n">
        <v>1</v>
      </c>
      <c r="AF191" t="n">
        <v>3</v>
      </c>
      <c r="AG191" t="n">
        <v>3</v>
      </c>
      <c r="AH191" t="n">
        <v>2</v>
      </c>
      <c r="AI191" t="n">
        <v>2</v>
      </c>
      <c r="AJ191" t="n">
        <v>0</v>
      </c>
      <c r="AK191" t="n">
        <v>0</v>
      </c>
      <c r="AL191" t="n">
        <v>2</v>
      </c>
      <c r="AM191" t="n">
        <v>2</v>
      </c>
      <c r="AN191" t="n">
        <v>0</v>
      </c>
      <c r="AO191" t="n">
        <v>0</v>
      </c>
      <c r="AP191" t="n">
        <v>1</v>
      </c>
      <c r="AQ191" t="n">
        <v>1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HYPERLINK("https://creighton-primo.hosted.exlibrisgroup.com/primo-explore/search?tab=default_tab&amp;search_scope=EVERYTHING&amp;vid=01CRU&amp;lang=en_US&amp;offset=0&amp;query=any,contains,991000371739702656","Catalog Record")</f>
        <v/>
      </c>
      <c r="AV191">
        <f>HYPERLINK("http://www.worldcat.org/oclc/17412601","WorldCat Record")</f>
        <v/>
      </c>
      <c r="AW191" t="inlineStr">
        <is>
          <t>1007551978:eng</t>
        </is>
      </c>
      <c r="AX191" t="inlineStr">
        <is>
          <t>17412601</t>
        </is>
      </c>
      <c r="AY191" t="inlineStr">
        <is>
          <t>991000371739702656</t>
        </is>
      </c>
      <c r="AZ191" t="inlineStr">
        <is>
          <t>991000371739702656</t>
        </is>
      </c>
      <c r="BA191" t="inlineStr">
        <is>
          <t>2264471730002656</t>
        </is>
      </c>
      <c r="BB191" t="inlineStr">
        <is>
          <t>BOOK</t>
        </is>
      </c>
      <c r="BD191" t="inlineStr">
        <is>
          <t>9780918393500</t>
        </is>
      </c>
      <c r="BE191" t="inlineStr">
        <is>
          <t>30001004921203</t>
        </is>
      </c>
      <c r="BF191" t="inlineStr">
        <is>
          <t>893285528</t>
        </is>
      </c>
    </row>
    <row r="192">
      <c r="A192" t="inlineStr">
        <is>
          <t>No</t>
        </is>
      </c>
      <c r="B192" t="inlineStr">
        <is>
          <t>CUHSL</t>
        </is>
      </c>
      <c r="C192" t="inlineStr">
        <is>
          <t>SHELVES</t>
        </is>
      </c>
      <c r="D192" t="inlineStr">
        <is>
          <t>WA309 E61 2002</t>
        </is>
      </c>
      <c r="E192" t="inlineStr">
        <is>
          <t>0                      WA 0309000E  61          2002</t>
        </is>
      </c>
      <c r="F192" t="inlineStr">
        <is>
          <t>Environmental, policy, and cultural factors related to physical activity in a diverse sample of women : the Women's Cardiovascular Health Network project / Amy A. Eyler, editor.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New York : Haworth Medical Press, c2002.</t>
        </is>
      </c>
      <c r="O192" t="inlineStr">
        <is>
          <t>2002</t>
        </is>
      </c>
      <c r="Q192" t="inlineStr">
        <is>
          <t>eng</t>
        </is>
      </c>
      <c r="R192" t="inlineStr">
        <is>
          <t>nyu</t>
        </is>
      </c>
      <c r="T192" t="inlineStr">
        <is>
          <t xml:space="preserve">WA </t>
        </is>
      </c>
      <c r="U192" t="n">
        <v>1</v>
      </c>
      <c r="V192" t="n">
        <v>1</v>
      </c>
      <c r="W192" t="inlineStr">
        <is>
          <t>2004-06-06</t>
        </is>
      </c>
      <c r="X192" t="inlineStr">
        <is>
          <t>2004-06-06</t>
        </is>
      </c>
      <c r="Y192" t="inlineStr">
        <is>
          <t>2004-06-06</t>
        </is>
      </c>
      <c r="Z192" t="inlineStr">
        <is>
          <t>2004-06-06</t>
        </is>
      </c>
      <c r="AA192" t="n">
        <v>65</v>
      </c>
      <c r="AB192" t="n">
        <v>52</v>
      </c>
      <c r="AC192" t="n">
        <v>57</v>
      </c>
      <c r="AD192" t="n">
        <v>1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HYPERLINK("https://creighton-primo.hosted.exlibrisgroup.com/primo-explore/search?tab=default_tab&amp;search_scope=EVERYTHING&amp;vid=01CRU&amp;lang=en_US&amp;offset=0&amp;query=any,contains,991000373009702656","Catalog Record")</f>
        <v/>
      </c>
      <c r="AV192">
        <f>HYPERLINK("http://www.worldcat.org/oclc/50285705","WorldCat Record")</f>
        <v/>
      </c>
      <c r="AW192" t="inlineStr">
        <is>
          <t>953637:eng</t>
        </is>
      </c>
      <c r="AX192" t="inlineStr">
        <is>
          <t>50285705</t>
        </is>
      </c>
      <c r="AY192" t="inlineStr">
        <is>
          <t>991000373009702656</t>
        </is>
      </c>
      <c r="AZ192" t="inlineStr">
        <is>
          <t>991000373009702656</t>
        </is>
      </c>
      <c r="BA192" t="inlineStr">
        <is>
          <t>2262181520002656</t>
        </is>
      </c>
      <c r="BB192" t="inlineStr">
        <is>
          <t>BOOK</t>
        </is>
      </c>
      <c r="BD192" t="inlineStr">
        <is>
          <t>9780789020000</t>
        </is>
      </c>
      <c r="BE192" t="inlineStr">
        <is>
          <t>30001004670636</t>
        </is>
      </c>
      <c r="BF192" t="inlineStr">
        <is>
          <t>893370431</t>
        </is>
      </c>
    </row>
    <row r="193">
      <c r="A193" t="inlineStr">
        <is>
          <t>No</t>
        </is>
      </c>
      <c r="B193" t="inlineStr">
        <is>
          <t>CUHSL</t>
        </is>
      </c>
      <c r="C193" t="inlineStr">
        <is>
          <t>SHELVES</t>
        </is>
      </c>
      <c r="D193" t="inlineStr">
        <is>
          <t>WA 309 E92 1996</t>
        </is>
      </c>
      <c r="E193" t="inlineStr">
        <is>
          <t>0                      WA 0309000E  92          1996</t>
        </is>
      </c>
      <c r="F193" t="inlineStr">
        <is>
          <t>Evaluating women's health messages : a resource book / Roxanne Louiselle Parrott, Celeste Michelle Condit, editors.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N193" t="inlineStr">
        <is>
          <t>Thousand Oaks : Sage Publications, c1996.</t>
        </is>
      </c>
      <c r="O193" t="inlineStr">
        <is>
          <t>1996</t>
        </is>
      </c>
      <c r="Q193" t="inlineStr">
        <is>
          <t>eng</t>
        </is>
      </c>
      <c r="R193" t="inlineStr">
        <is>
          <t>cau</t>
        </is>
      </c>
      <c r="T193" t="inlineStr">
        <is>
          <t xml:space="preserve">WA </t>
        </is>
      </c>
      <c r="U193" t="n">
        <v>6</v>
      </c>
      <c r="V193" t="n">
        <v>6</v>
      </c>
      <c r="W193" t="inlineStr">
        <is>
          <t>2000-06-08</t>
        </is>
      </c>
      <c r="X193" t="inlineStr">
        <is>
          <t>2000-06-08</t>
        </is>
      </c>
      <c r="Y193" t="inlineStr">
        <is>
          <t>1997-06-30</t>
        </is>
      </c>
      <c r="Z193" t="inlineStr">
        <is>
          <t>1997-06-30</t>
        </is>
      </c>
      <c r="AA193" t="n">
        <v>459</v>
      </c>
      <c r="AB193" t="n">
        <v>366</v>
      </c>
      <c r="AC193" t="n">
        <v>431</v>
      </c>
      <c r="AD193" t="n">
        <v>4</v>
      </c>
      <c r="AE193" t="n">
        <v>4</v>
      </c>
      <c r="AF193" t="n">
        <v>19</v>
      </c>
      <c r="AG193" t="n">
        <v>22</v>
      </c>
      <c r="AH193" t="n">
        <v>6</v>
      </c>
      <c r="AI193" t="n">
        <v>7</v>
      </c>
      <c r="AJ193" t="n">
        <v>2</v>
      </c>
      <c r="AK193" t="n">
        <v>4</v>
      </c>
      <c r="AL193" t="n">
        <v>11</v>
      </c>
      <c r="AM193" t="n">
        <v>11</v>
      </c>
      <c r="AN193" t="n">
        <v>3</v>
      </c>
      <c r="AO193" t="n">
        <v>3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HYPERLINK("http://catalog.hathitrust.org/Record/003069298","HathiTrust Record")</f>
        <v/>
      </c>
      <c r="AU193">
        <f>HYPERLINK("https://creighton-primo.hosted.exlibrisgroup.com/primo-explore/search?tab=default_tab&amp;search_scope=EVERYTHING&amp;vid=01CRU&amp;lang=en_US&amp;offset=0&amp;query=any,contains,991001255439702656","Catalog Record")</f>
        <v/>
      </c>
      <c r="AV193">
        <f>HYPERLINK("http://www.worldcat.org/oclc/33078540","WorldCat Record")</f>
        <v/>
      </c>
      <c r="AW193" t="inlineStr">
        <is>
          <t>836992186:eng</t>
        </is>
      </c>
      <c r="AX193" t="inlineStr">
        <is>
          <t>33078540</t>
        </is>
      </c>
      <c r="AY193" t="inlineStr">
        <is>
          <t>991001255439702656</t>
        </is>
      </c>
      <c r="AZ193" t="inlineStr">
        <is>
          <t>991001255439702656</t>
        </is>
      </c>
      <c r="BA193" t="inlineStr">
        <is>
          <t>2255176800002656</t>
        </is>
      </c>
      <c r="BB193" t="inlineStr">
        <is>
          <t>BOOK</t>
        </is>
      </c>
      <c r="BD193" t="inlineStr">
        <is>
          <t>9780761900566</t>
        </is>
      </c>
      <c r="BE193" t="inlineStr">
        <is>
          <t>30001003684703</t>
        </is>
      </c>
      <c r="BF193" t="inlineStr">
        <is>
          <t>893149027</t>
        </is>
      </c>
    </row>
    <row r="194">
      <c r="A194" t="inlineStr">
        <is>
          <t>No</t>
        </is>
      </c>
      <c r="B194" t="inlineStr">
        <is>
          <t>CUHSL</t>
        </is>
      </c>
      <c r="C194" t="inlineStr">
        <is>
          <t>SHELVES</t>
        </is>
      </c>
      <c r="D194" t="inlineStr">
        <is>
          <t>WA 309 F756w 1995</t>
        </is>
      </c>
      <c r="E194" t="inlineStr">
        <is>
          <t>0                      WA 0309000F  756w        1995</t>
        </is>
      </c>
      <c r="F194" t="inlineStr">
        <is>
          <t>Women and the health care industry : an unhealthy relationship? / Peggy Foster.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Foster, Peggy.</t>
        </is>
      </c>
      <c r="N194" t="inlineStr">
        <is>
          <t>Buckingham ; Bristol, Pa. : Open University Press, c1995.</t>
        </is>
      </c>
      <c r="O194" t="inlineStr">
        <is>
          <t>1995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WA </t>
        </is>
      </c>
      <c r="U194" t="n">
        <v>10</v>
      </c>
      <c r="V194" t="n">
        <v>10</v>
      </c>
      <c r="W194" t="inlineStr">
        <is>
          <t>2005-03-28</t>
        </is>
      </c>
      <c r="X194" t="inlineStr">
        <is>
          <t>2005-03-28</t>
        </is>
      </c>
      <c r="Y194" t="inlineStr">
        <is>
          <t>1996-01-11</t>
        </is>
      </c>
      <c r="Z194" t="inlineStr">
        <is>
          <t>1996-01-11</t>
        </is>
      </c>
      <c r="AA194" t="n">
        <v>279</v>
      </c>
      <c r="AB194" t="n">
        <v>130</v>
      </c>
      <c r="AC194" t="n">
        <v>132</v>
      </c>
      <c r="AD194" t="n">
        <v>2</v>
      </c>
      <c r="AE194" t="n">
        <v>2</v>
      </c>
      <c r="AF194" t="n">
        <v>9</v>
      </c>
      <c r="AG194" t="n">
        <v>9</v>
      </c>
      <c r="AH194" t="n">
        <v>4</v>
      </c>
      <c r="AI194" t="n">
        <v>4</v>
      </c>
      <c r="AJ194" t="n">
        <v>2</v>
      </c>
      <c r="AK194" t="n">
        <v>2</v>
      </c>
      <c r="AL194" t="n">
        <v>7</v>
      </c>
      <c r="AM194" t="n">
        <v>7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HYPERLINK("http://catalog.hathitrust.org/Record/002961032","HathiTrust Record")</f>
        <v/>
      </c>
      <c r="AU194">
        <f>HYPERLINK("https://creighton-primo.hosted.exlibrisgroup.com/primo-explore/search?tab=default_tab&amp;search_scope=EVERYTHING&amp;vid=01CRU&amp;lang=en_US&amp;offset=0&amp;query=any,contains,991001501339702656","Catalog Record")</f>
        <v/>
      </c>
      <c r="AV194">
        <f>HYPERLINK("http://www.worldcat.org/oclc/31607427","WorldCat Record")</f>
        <v/>
      </c>
      <c r="AW194" t="inlineStr">
        <is>
          <t>836992583:eng</t>
        </is>
      </c>
      <c r="AX194" t="inlineStr">
        <is>
          <t>31607427</t>
        </is>
      </c>
      <c r="AY194" t="inlineStr">
        <is>
          <t>991001501339702656</t>
        </is>
      </c>
      <c r="AZ194" t="inlineStr">
        <is>
          <t>991001501339702656</t>
        </is>
      </c>
      <c r="BA194" t="inlineStr">
        <is>
          <t>2264892100002656</t>
        </is>
      </c>
      <c r="BB194" t="inlineStr">
        <is>
          <t>BOOK</t>
        </is>
      </c>
      <c r="BD194" t="inlineStr">
        <is>
          <t>9780335094721</t>
        </is>
      </c>
      <c r="BE194" t="inlineStr">
        <is>
          <t>30001003262641</t>
        </is>
      </c>
      <c r="BF194" t="inlineStr">
        <is>
          <t>893561052</t>
        </is>
      </c>
    </row>
    <row r="195">
      <c r="A195" t="inlineStr">
        <is>
          <t>No</t>
        </is>
      </c>
      <c r="B195" t="inlineStr">
        <is>
          <t>CUHSL</t>
        </is>
      </c>
      <c r="C195" t="inlineStr">
        <is>
          <t>SHELVES</t>
        </is>
      </c>
      <c r="D195" t="inlineStr">
        <is>
          <t>WA 309 G325r 1996</t>
        </is>
      </c>
      <c r="E195" t="inlineStr">
        <is>
          <t>0                      WA 0309000G  325r        1996</t>
        </is>
      </c>
      <c r="F195" t="inlineStr">
        <is>
          <t>Gender-related health issues : an international perspective : proceedings, gender-related health issues / International Forum of Women for Pharmacy ; 55th World Congress of Pharmacy and Pharmaceutical Sciences, August 29-30, 1995, Stockholm, Sweden ; edited by Mary J. Berg, Gloria N. Francke, Marianne R. Rollings.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N195" t="inlineStr">
        <is>
          <t>Washington, D.C. : American Pharmaceutical Association, c1996.</t>
        </is>
      </c>
      <c r="O195" t="inlineStr">
        <is>
          <t>1996</t>
        </is>
      </c>
      <c r="Q195" t="inlineStr">
        <is>
          <t>eng</t>
        </is>
      </c>
      <c r="R195" t="inlineStr">
        <is>
          <t>dcu</t>
        </is>
      </c>
      <c r="T195" t="inlineStr">
        <is>
          <t xml:space="preserve">WA </t>
        </is>
      </c>
      <c r="U195" t="n">
        <v>5</v>
      </c>
      <c r="V195" t="n">
        <v>5</v>
      </c>
      <c r="W195" t="inlineStr">
        <is>
          <t>2002-09-29</t>
        </is>
      </c>
      <c r="X195" t="inlineStr">
        <is>
          <t>2002-09-29</t>
        </is>
      </c>
      <c r="Y195" t="inlineStr">
        <is>
          <t>1998-01-21</t>
        </is>
      </c>
      <c r="Z195" t="inlineStr">
        <is>
          <t>1998-01-21</t>
        </is>
      </c>
      <c r="AA195" t="n">
        <v>22</v>
      </c>
      <c r="AB195" t="n">
        <v>21</v>
      </c>
      <c r="AC195" t="n">
        <v>21</v>
      </c>
      <c r="AD195" t="n">
        <v>1</v>
      </c>
      <c r="AE195" t="n">
        <v>1</v>
      </c>
      <c r="AF195" t="n">
        <v>1</v>
      </c>
      <c r="AG195" t="n">
        <v>1</v>
      </c>
      <c r="AH195" t="n">
        <v>0</v>
      </c>
      <c r="AI195" t="n">
        <v>0</v>
      </c>
      <c r="AJ195" t="n">
        <v>1</v>
      </c>
      <c r="AK195" t="n">
        <v>1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inlineStr">
        <is>
          <t>No</t>
        </is>
      </c>
      <c r="AS195" t="inlineStr">
        <is>
          <t>No</t>
        </is>
      </c>
      <c r="AU195">
        <f>HYPERLINK("https://creighton-primo.hosted.exlibrisgroup.com/primo-explore/search?tab=default_tab&amp;search_scope=EVERYTHING&amp;vid=01CRU&amp;lang=en_US&amp;offset=0&amp;query=any,contains,991001297929702656","Catalog Record")</f>
        <v/>
      </c>
      <c r="AV195">
        <f>HYPERLINK("http://www.worldcat.org/oclc/38067423","WorldCat Record")</f>
        <v/>
      </c>
      <c r="AW195" t="inlineStr">
        <is>
          <t>891515907:eng</t>
        </is>
      </c>
      <c r="AX195" t="inlineStr">
        <is>
          <t>38067423</t>
        </is>
      </c>
      <c r="AY195" t="inlineStr">
        <is>
          <t>991001297929702656</t>
        </is>
      </c>
      <c r="AZ195" t="inlineStr">
        <is>
          <t>991001297929702656</t>
        </is>
      </c>
      <c r="BA195" t="inlineStr">
        <is>
          <t>2257999510002656</t>
        </is>
      </c>
      <c r="BB195" t="inlineStr">
        <is>
          <t>BOOK</t>
        </is>
      </c>
      <c r="BD195" t="inlineStr">
        <is>
          <t>9780917330803</t>
        </is>
      </c>
      <c r="BE195" t="inlineStr">
        <is>
          <t>30001003746445</t>
        </is>
      </c>
      <c r="BF195" t="inlineStr">
        <is>
          <t>893134455</t>
        </is>
      </c>
    </row>
    <row r="196">
      <c r="A196" t="inlineStr">
        <is>
          <t>No</t>
        </is>
      </c>
      <c r="B196" t="inlineStr">
        <is>
          <t>CUHSL</t>
        </is>
      </c>
      <c r="C196" t="inlineStr">
        <is>
          <t>SHELVES</t>
        </is>
      </c>
      <c r="D196" t="inlineStr">
        <is>
          <t>WA309 I33 1999</t>
        </is>
      </c>
      <c r="E196" t="inlineStr">
        <is>
          <t>0                      WA 0309000I  33          1999</t>
        </is>
      </c>
      <c r="F196" t="inlineStr">
        <is>
          <t>Immigrant women's health : problems and solutions / Elizabeth J. Kramer, Susan L. Ivey, and Yu-Wen Ying, editors.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San Francisco : Jossey-Bass, c1999.</t>
        </is>
      </c>
      <c r="O196" t="inlineStr">
        <is>
          <t>1999</t>
        </is>
      </c>
      <c r="P196" t="inlineStr">
        <is>
          <t>1st ed.</t>
        </is>
      </c>
      <c r="Q196" t="inlineStr">
        <is>
          <t>eng</t>
        </is>
      </c>
      <c r="R196" t="inlineStr">
        <is>
          <t>cau</t>
        </is>
      </c>
      <c r="T196" t="inlineStr">
        <is>
          <t xml:space="preserve">WA </t>
        </is>
      </c>
      <c r="U196" t="n">
        <v>5</v>
      </c>
      <c r="V196" t="n">
        <v>5</v>
      </c>
      <c r="W196" t="inlineStr">
        <is>
          <t>2008-04-04</t>
        </is>
      </c>
      <c r="X196" t="inlineStr">
        <is>
          <t>2008-04-04</t>
        </is>
      </c>
      <c r="Y196" t="inlineStr">
        <is>
          <t>2004-06-04</t>
        </is>
      </c>
      <c r="Z196" t="inlineStr">
        <is>
          <t>2004-06-04</t>
        </is>
      </c>
      <c r="AA196" t="n">
        <v>353</v>
      </c>
      <c r="AB196" t="n">
        <v>315</v>
      </c>
      <c r="AC196" t="n">
        <v>322</v>
      </c>
      <c r="AD196" t="n">
        <v>1</v>
      </c>
      <c r="AE196" t="n">
        <v>1</v>
      </c>
      <c r="AF196" t="n">
        <v>11</v>
      </c>
      <c r="AG196" t="n">
        <v>11</v>
      </c>
      <c r="AH196" t="n">
        <v>4</v>
      </c>
      <c r="AI196" t="n">
        <v>4</v>
      </c>
      <c r="AJ196" t="n">
        <v>2</v>
      </c>
      <c r="AK196" t="n">
        <v>2</v>
      </c>
      <c r="AL196" t="n">
        <v>8</v>
      </c>
      <c r="AM196" t="n">
        <v>8</v>
      </c>
      <c r="AN196" t="n">
        <v>0</v>
      </c>
      <c r="AO196" t="n">
        <v>0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HYPERLINK("http://catalog.hathitrust.org/Record/004024265","HathiTrust Record")</f>
        <v/>
      </c>
      <c r="AU196">
        <f>HYPERLINK("https://creighton-primo.hosted.exlibrisgroup.com/primo-explore/search?tab=default_tab&amp;search_scope=EVERYTHING&amp;vid=01CRU&amp;lang=en_US&amp;offset=0&amp;query=any,contains,991000371639702656","Catalog Record")</f>
        <v/>
      </c>
      <c r="AV196">
        <f>HYPERLINK("http://www.worldcat.org/oclc/39981342","WorldCat Record")</f>
        <v/>
      </c>
      <c r="AW196" t="inlineStr">
        <is>
          <t>862938721:eng</t>
        </is>
      </c>
      <c r="AX196" t="inlineStr">
        <is>
          <t>39981342</t>
        </is>
      </c>
      <c r="AY196" t="inlineStr">
        <is>
          <t>991000371639702656</t>
        </is>
      </c>
      <c r="AZ196" t="inlineStr">
        <is>
          <t>991000371639702656</t>
        </is>
      </c>
      <c r="BA196" t="inlineStr">
        <is>
          <t>2258405630002656</t>
        </is>
      </c>
      <c r="BB196" t="inlineStr">
        <is>
          <t>BOOK</t>
        </is>
      </c>
      <c r="BD196" t="inlineStr">
        <is>
          <t>9780787942946</t>
        </is>
      </c>
      <c r="BE196" t="inlineStr">
        <is>
          <t>30001004921245</t>
        </is>
      </c>
      <c r="BF196" t="inlineStr">
        <is>
          <t>893817046</t>
        </is>
      </c>
    </row>
    <row r="197">
      <c r="A197" t="inlineStr">
        <is>
          <t>No</t>
        </is>
      </c>
      <c r="B197" t="inlineStr">
        <is>
          <t>CUHSL</t>
        </is>
      </c>
      <c r="C197" t="inlineStr">
        <is>
          <t>SHELVES</t>
        </is>
      </c>
      <c r="D197" t="inlineStr">
        <is>
          <t>WA309 I39 2003</t>
        </is>
      </c>
      <c r="E197" t="inlineStr">
        <is>
          <t>0                      WA 0309000I  39          2003</t>
        </is>
      </c>
      <c r="F197" t="inlineStr">
        <is>
          <t>Indigenous women's health book, within the sacred circle.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Lake Andes, S.D. : Indigenous Women's Press, c2003.</t>
        </is>
      </c>
      <c r="O197" t="inlineStr">
        <is>
          <t>2003</t>
        </is>
      </c>
      <c r="Q197" t="inlineStr">
        <is>
          <t>eng</t>
        </is>
      </c>
      <c r="R197" t="inlineStr">
        <is>
          <t>sdu</t>
        </is>
      </c>
      <c r="T197" t="inlineStr">
        <is>
          <t xml:space="preserve">WA </t>
        </is>
      </c>
      <c r="U197" t="n">
        <v>3</v>
      </c>
      <c r="V197" t="n">
        <v>3</v>
      </c>
      <c r="W197" t="inlineStr">
        <is>
          <t>2007-03-12</t>
        </is>
      </c>
      <c r="X197" t="inlineStr">
        <is>
          <t>2007-03-12</t>
        </is>
      </c>
      <c r="Y197" t="inlineStr">
        <is>
          <t>2004-06-06</t>
        </is>
      </c>
      <c r="Z197" t="inlineStr">
        <is>
          <t>2004-06-06</t>
        </is>
      </c>
      <c r="AA197" t="n">
        <v>102</v>
      </c>
      <c r="AB197" t="n">
        <v>84</v>
      </c>
      <c r="AC197" t="n">
        <v>84</v>
      </c>
      <c r="AD197" t="n">
        <v>1</v>
      </c>
      <c r="AE197" t="n">
        <v>1</v>
      </c>
      <c r="AF197" t="n">
        <v>2</v>
      </c>
      <c r="AG197" t="n">
        <v>2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1</v>
      </c>
      <c r="AQ197" t="n">
        <v>1</v>
      </c>
      <c r="AR197" t="inlineStr">
        <is>
          <t>No</t>
        </is>
      </c>
      <c r="AS197" t="inlineStr">
        <is>
          <t>No</t>
        </is>
      </c>
      <c r="AU197">
        <f>HYPERLINK("https://creighton-primo.hosted.exlibrisgroup.com/primo-explore/search?tab=default_tab&amp;search_scope=EVERYTHING&amp;vid=01CRU&amp;lang=en_US&amp;offset=0&amp;query=any,contains,991000373259702656","Catalog Record")</f>
        <v/>
      </c>
      <c r="AV197">
        <f>HYPERLINK("http://www.worldcat.org/oclc/54057628","WorldCat Record")</f>
        <v/>
      </c>
      <c r="AW197" t="inlineStr">
        <is>
          <t>8909473694:eng</t>
        </is>
      </c>
      <c r="AX197" t="inlineStr">
        <is>
          <t>54057628</t>
        </is>
      </c>
      <c r="AY197" t="inlineStr">
        <is>
          <t>991000373259702656</t>
        </is>
      </c>
      <c r="AZ197" t="inlineStr">
        <is>
          <t>991000373259702656</t>
        </is>
      </c>
      <c r="BA197" t="inlineStr">
        <is>
          <t>2261448410002656</t>
        </is>
      </c>
      <c r="BB197" t="inlineStr">
        <is>
          <t>BOOK</t>
        </is>
      </c>
      <c r="BD197" t="inlineStr">
        <is>
          <t>9780974129709</t>
        </is>
      </c>
      <c r="BE197" t="inlineStr">
        <is>
          <t>30001004920056</t>
        </is>
      </c>
      <c r="BF197" t="inlineStr">
        <is>
          <t>893109464</t>
        </is>
      </c>
    </row>
    <row r="198">
      <c r="A198" t="inlineStr">
        <is>
          <t>No</t>
        </is>
      </c>
      <c r="B198" t="inlineStr">
        <is>
          <t>CUHSL</t>
        </is>
      </c>
      <c r="C198" t="inlineStr">
        <is>
          <t>SHELVES</t>
        </is>
      </c>
      <c r="D198" t="inlineStr">
        <is>
          <t>WA 309 J27w 2000</t>
        </is>
      </c>
      <c r="E198" t="inlineStr">
        <is>
          <t>0                      WA 0309000J  27w         2000</t>
        </is>
      </c>
      <c r="F198" t="inlineStr">
        <is>
          <t>Winning in the women's health care marketplace : a comprehensive plan for health care strategists / Genie James.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James, Genie.</t>
        </is>
      </c>
      <c r="N198" t="inlineStr">
        <is>
          <t>San Francisco : Jossey-Bass Publishers, c2000.</t>
        </is>
      </c>
      <c r="O198" t="inlineStr">
        <is>
          <t>2000</t>
        </is>
      </c>
      <c r="Q198" t="inlineStr">
        <is>
          <t>eng</t>
        </is>
      </c>
      <c r="R198" t="inlineStr">
        <is>
          <t>cau</t>
        </is>
      </c>
      <c r="T198" t="inlineStr">
        <is>
          <t xml:space="preserve">WA </t>
        </is>
      </c>
      <c r="U198" t="n">
        <v>1</v>
      </c>
      <c r="V198" t="n">
        <v>1</v>
      </c>
      <c r="W198" t="inlineStr">
        <is>
          <t>2004-08-31</t>
        </is>
      </c>
      <c r="X198" t="inlineStr">
        <is>
          <t>2004-08-31</t>
        </is>
      </c>
      <c r="Y198" t="inlineStr">
        <is>
          <t>2004-08-31</t>
        </is>
      </c>
      <c r="Z198" t="inlineStr">
        <is>
          <t>2004-08-31</t>
        </is>
      </c>
      <c r="AA198" t="n">
        <v>185</v>
      </c>
      <c r="AB198" t="n">
        <v>164</v>
      </c>
      <c r="AC198" t="n">
        <v>1267</v>
      </c>
      <c r="AD198" t="n">
        <v>1</v>
      </c>
      <c r="AE198" t="n">
        <v>3</v>
      </c>
      <c r="AF198" t="n">
        <v>9</v>
      </c>
      <c r="AG198" t="n">
        <v>29</v>
      </c>
      <c r="AH198" t="n">
        <v>4</v>
      </c>
      <c r="AI198" t="n">
        <v>15</v>
      </c>
      <c r="AJ198" t="n">
        <v>3</v>
      </c>
      <c r="AK198" t="n">
        <v>6</v>
      </c>
      <c r="AL198" t="n">
        <v>3</v>
      </c>
      <c r="AM198" t="n">
        <v>12</v>
      </c>
      <c r="AN198" t="n">
        <v>0</v>
      </c>
      <c r="AO198" t="n">
        <v>1</v>
      </c>
      <c r="AP198" t="n">
        <v>0</v>
      </c>
      <c r="AQ198" t="n">
        <v>0</v>
      </c>
      <c r="AR198" t="inlineStr">
        <is>
          <t>No</t>
        </is>
      </c>
      <c r="AS198" t="inlineStr">
        <is>
          <t>No</t>
        </is>
      </c>
      <c r="AU198">
        <f>HYPERLINK("https://creighton-primo.hosted.exlibrisgroup.com/primo-explore/search?tab=default_tab&amp;search_scope=EVERYTHING&amp;vid=01CRU&amp;lang=en_US&amp;offset=0&amp;query=any,contains,991000381449702656","Catalog Record")</f>
        <v/>
      </c>
      <c r="AV198">
        <f>HYPERLINK("http://www.worldcat.org/oclc/41892389","WorldCat Record")</f>
        <v/>
      </c>
      <c r="AW198" t="inlineStr">
        <is>
          <t>799607774:eng</t>
        </is>
      </c>
      <c r="AX198" t="inlineStr">
        <is>
          <t>41892389</t>
        </is>
      </c>
      <c r="AY198" t="inlineStr">
        <is>
          <t>991000381449702656</t>
        </is>
      </c>
      <c r="AZ198" t="inlineStr">
        <is>
          <t>991000381449702656</t>
        </is>
      </c>
      <c r="BA198" t="inlineStr">
        <is>
          <t>2259262260002656</t>
        </is>
      </c>
      <c r="BB198" t="inlineStr">
        <is>
          <t>BOOK</t>
        </is>
      </c>
      <c r="BD198" t="inlineStr">
        <is>
          <t>9780787944445</t>
        </is>
      </c>
      <c r="BE198" t="inlineStr">
        <is>
          <t>30001004841229</t>
        </is>
      </c>
      <c r="BF198" t="inlineStr">
        <is>
          <t>893547782</t>
        </is>
      </c>
    </row>
    <row r="199">
      <c r="A199" t="inlineStr">
        <is>
          <t>No</t>
        </is>
      </c>
      <c r="B199" t="inlineStr">
        <is>
          <t>CUHSL</t>
        </is>
      </c>
      <c r="C199" t="inlineStr">
        <is>
          <t>SHELVES</t>
        </is>
      </c>
      <c r="D199" t="inlineStr">
        <is>
          <t>WA309 L357 2003</t>
        </is>
      </c>
      <c r="E199" t="inlineStr">
        <is>
          <t>0                      WA 0309000L  357         2003</t>
        </is>
      </c>
      <c r="F199" t="inlineStr">
        <is>
          <t>Latina health in the United States : a public health reader / Marilyn Aguirre-Molina, Carlos W. Molina, editors.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N199" t="inlineStr">
        <is>
          <t>San Francisco, CA : Jossey-Bass, c2003.</t>
        </is>
      </c>
      <c r="O199" t="inlineStr">
        <is>
          <t>2003</t>
        </is>
      </c>
      <c r="P199" t="inlineStr">
        <is>
          <t>1st ed.</t>
        </is>
      </c>
      <c r="Q199" t="inlineStr">
        <is>
          <t>eng</t>
        </is>
      </c>
      <c r="R199" t="inlineStr">
        <is>
          <t>cau</t>
        </is>
      </c>
      <c r="T199" t="inlineStr">
        <is>
          <t xml:space="preserve">WA </t>
        </is>
      </c>
      <c r="U199" t="n">
        <v>4</v>
      </c>
      <c r="V199" t="n">
        <v>4</v>
      </c>
      <c r="W199" t="inlineStr">
        <is>
          <t>2008-09-11</t>
        </is>
      </c>
      <c r="X199" t="inlineStr">
        <is>
          <t>2008-09-11</t>
        </is>
      </c>
      <c r="Y199" t="inlineStr">
        <is>
          <t>2004-06-04</t>
        </is>
      </c>
      <c r="Z199" t="inlineStr">
        <is>
          <t>2004-06-04</t>
        </is>
      </c>
      <c r="AA199" t="n">
        <v>274</v>
      </c>
      <c r="AB199" t="n">
        <v>268</v>
      </c>
      <c r="AC199" t="n">
        <v>275</v>
      </c>
      <c r="AD199" t="n">
        <v>2</v>
      </c>
      <c r="AE199" t="n">
        <v>2</v>
      </c>
      <c r="AF199" t="n">
        <v>10</v>
      </c>
      <c r="AG199" t="n">
        <v>10</v>
      </c>
      <c r="AH199" t="n">
        <v>3</v>
      </c>
      <c r="AI199" t="n">
        <v>3</v>
      </c>
      <c r="AJ199" t="n">
        <v>3</v>
      </c>
      <c r="AK199" t="n">
        <v>3</v>
      </c>
      <c r="AL199" t="n">
        <v>7</v>
      </c>
      <c r="AM199" t="n">
        <v>7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HYPERLINK("http://catalog.hathitrust.org/Record/004344284","HathiTrust Record")</f>
        <v/>
      </c>
      <c r="AU199">
        <f>HYPERLINK("https://creighton-primo.hosted.exlibrisgroup.com/primo-explore/search?tab=default_tab&amp;search_scope=EVERYTHING&amp;vid=01CRU&amp;lang=en_US&amp;offset=0&amp;query=any,contains,991000371519702656","Catalog Record")</f>
        <v/>
      </c>
      <c r="AV199">
        <f>HYPERLINK("http://www.worldcat.org/oclc/51892922","WorldCat Record")</f>
        <v/>
      </c>
      <c r="AW199" t="inlineStr">
        <is>
          <t>838030115:eng</t>
        </is>
      </c>
      <c r="AX199" t="inlineStr">
        <is>
          <t>51892922</t>
        </is>
      </c>
      <c r="AY199" t="inlineStr">
        <is>
          <t>991000371519702656</t>
        </is>
      </c>
      <c r="AZ199" t="inlineStr">
        <is>
          <t>991000371519702656</t>
        </is>
      </c>
      <c r="BA199" t="inlineStr">
        <is>
          <t>2272755320002656</t>
        </is>
      </c>
      <c r="BB199" t="inlineStr">
        <is>
          <t>BOOK</t>
        </is>
      </c>
      <c r="BD199" t="inlineStr">
        <is>
          <t>9780787965792</t>
        </is>
      </c>
      <c r="BE199" t="inlineStr">
        <is>
          <t>30001004509099</t>
        </is>
      </c>
      <c r="BF199" t="inlineStr">
        <is>
          <t>893537123</t>
        </is>
      </c>
    </row>
    <row r="200">
      <c r="A200" t="inlineStr">
        <is>
          <t>No</t>
        </is>
      </c>
      <c r="B200" t="inlineStr">
        <is>
          <t>CUHSL</t>
        </is>
      </c>
      <c r="C200" t="inlineStr">
        <is>
          <t>SHELVES</t>
        </is>
      </c>
      <c r="D200" t="inlineStr">
        <is>
          <t>WA 309 L7219 2002</t>
        </is>
      </c>
      <c r="E200" t="inlineStr">
        <is>
          <t>0                      WA 0309000L  7219        2002</t>
        </is>
      </c>
      <c r="F200" t="inlineStr">
        <is>
          <t>A life course approach to women's health / edited by Diana Kuh and Rebecca Hardy.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N200" t="inlineStr">
        <is>
          <t>Oxford ; New York : Oxford University Press, c2002.</t>
        </is>
      </c>
      <c r="O200" t="inlineStr">
        <is>
          <t>2002</t>
        </is>
      </c>
      <c r="Q200" t="inlineStr">
        <is>
          <t>eng</t>
        </is>
      </c>
      <c r="R200" t="inlineStr">
        <is>
          <t>enk</t>
        </is>
      </c>
      <c r="S200" t="inlineStr">
        <is>
          <t>Life course approach to adult health ; no. 1</t>
        </is>
      </c>
      <c r="T200" t="inlineStr">
        <is>
          <t xml:space="preserve">WA </t>
        </is>
      </c>
      <c r="U200" t="n">
        <v>3</v>
      </c>
      <c r="V200" t="n">
        <v>3</v>
      </c>
      <c r="W200" t="inlineStr">
        <is>
          <t>2009-05-20</t>
        </is>
      </c>
      <c r="X200" t="inlineStr">
        <is>
          <t>2009-05-20</t>
        </is>
      </c>
      <c r="Y200" t="inlineStr">
        <is>
          <t>2004-09-03</t>
        </is>
      </c>
      <c r="Z200" t="inlineStr">
        <is>
          <t>2004-09-03</t>
        </is>
      </c>
      <c r="AA200" t="n">
        <v>240</v>
      </c>
      <c r="AB200" t="n">
        <v>157</v>
      </c>
      <c r="AC200" t="n">
        <v>264</v>
      </c>
      <c r="AD200" t="n">
        <v>1</v>
      </c>
      <c r="AE200" t="n">
        <v>1</v>
      </c>
      <c r="AF200" t="n">
        <v>4</v>
      </c>
      <c r="AG200" t="n">
        <v>8</v>
      </c>
      <c r="AH200" t="n">
        <v>1</v>
      </c>
      <c r="AI200" t="n">
        <v>1</v>
      </c>
      <c r="AJ200" t="n">
        <v>2</v>
      </c>
      <c r="AK200" t="n">
        <v>6</v>
      </c>
      <c r="AL200" t="n">
        <v>2</v>
      </c>
      <c r="AM200" t="n">
        <v>3</v>
      </c>
      <c r="AN200" t="n">
        <v>0</v>
      </c>
      <c r="AO200" t="n">
        <v>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HYPERLINK("https://creighton-primo.hosted.exlibrisgroup.com/primo-explore/search?tab=default_tab&amp;search_scope=EVERYTHING&amp;vid=01CRU&amp;lang=en_US&amp;offset=0&amp;query=any,contains,991000382859702656","Catalog Record")</f>
        <v/>
      </c>
      <c r="AV200">
        <f>HYPERLINK("http://www.worldcat.org/oclc/49977172","WorldCat Record")</f>
        <v/>
      </c>
      <c r="AW200" t="inlineStr">
        <is>
          <t>363850974:eng</t>
        </is>
      </c>
      <c r="AX200" t="inlineStr">
        <is>
          <t>49977172</t>
        </is>
      </c>
      <c r="AY200" t="inlineStr">
        <is>
          <t>991000382859702656</t>
        </is>
      </c>
      <c r="AZ200" t="inlineStr">
        <is>
          <t>991000382859702656</t>
        </is>
      </c>
      <c r="BA200" t="inlineStr">
        <is>
          <t>2260876030002656</t>
        </is>
      </c>
      <c r="BB200" t="inlineStr">
        <is>
          <t>BOOK</t>
        </is>
      </c>
      <c r="BD200" t="inlineStr">
        <is>
          <t>9780192632890</t>
        </is>
      </c>
      <c r="BE200" t="inlineStr">
        <is>
          <t>30001004507267</t>
        </is>
      </c>
      <c r="BF200" t="inlineStr">
        <is>
          <t>893639141</t>
        </is>
      </c>
    </row>
    <row r="201">
      <c r="A201" t="inlineStr">
        <is>
          <t>No</t>
        </is>
      </c>
      <c r="B201" t="inlineStr">
        <is>
          <t>CUHSL</t>
        </is>
      </c>
      <c r="C201" t="inlineStr">
        <is>
          <t>SHELVES</t>
        </is>
      </c>
      <c r="D201" t="inlineStr">
        <is>
          <t>WA309 M549 2003</t>
        </is>
      </c>
      <c r="E201" t="inlineStr">
        <is>
          <t>0                      WA 0309000M  549         2003</t>
        </is>
      </c>
      <c r="F201" t="inlineStr">
        <is>
          <t>Mental health issues for sexual minority women : redefining women's mental health / Tonda L. Hughes, Carrol Smith, Alice Dan, editors.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N201" t="inlineStr">
        <is>
          <t>New York : Harrington Park Press, 2003.</t>
        </is>
      </c>
      <c r="O201" t="inlineStr">
        <is>
          <t>2003</t>
        </is>
      </c>
      <c r="Q201" t="inlineStr">
        <is>
          <t>eng</t>
        </is>
      </c>
      <c r="R201" t="inlineStr">
        <is>
          <t>nyu</t>
        </is>
      </c>
      <c r="T201" t="inlineStr">
        <is>
          <t xml:space="preserve">WA </t>
        </is>
      </c>
      <c r="U201" t="n">
        <v>1</v>
      </c>
      <c r="V201" t="n">
        <v>1</v>
      </c>
      <c r="W201" t="inlineStr">
        <is>
          <t>2004-06-06</t>
        </is>
      </c>
      <c r="X201" t="inlineStr">
        <is>
          <t>2004-06-06</t>
        </is>
      </c>
      <c r="Y201" t="inlineStr">
        <is>
          <t>2004-06-04</t>
        </is>
      </c>
      <c r="Z201" t="inlineStr">
        <is>
          <t>2004-06-04</t>
        </is>
      </c>
      <c r="AA201" t="n">
        <v>106</v>
      </c>
      <c r="AB201" t="n">
        <v>90</v>
      </c>
      <c r="AC201" t="n">
        <v>122</v>
      </c>
      <c r="AD201" t="n">
        <v>2</v>
      </c>
      <c r="AE201" t="n">
        <v>2</v>
      </c>
      <c r="AF201" t="n">
        <v>3</v>
      </c>
      <c r="AG201" t="n">
        <v>3</v>
      </c>
      <c r="AH201" t="n">
        <v>1</v>
      </c>
      <c r="AI201" t="n">
        <v>1</v>
      </c>
      <c r="AJ201" t="n">
        <v>1</v>
      </c>
      <c r="AK201" t="n">
        <v>1</v>
      </c>
      <c r="AL201" t="n">
        <v>2</v>
      </c>
      <c r="AM201" t="n">
        <v>2</v>
      </c>
      <c r="AN201" t="n">
        <v>1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HYPERLINK("http://catalog.hathitrust.org/Record/004319868","HathiTrust Record")</f>
        <v/>
      </c>
      <c r="AU201">
        <f>HYPERLINK("https://creighton-primo.hosted.exlibrisgroup.com/primo-explore/search?tab=default_tab&amp;search_scope=EVERYTHING&amp;vid=01CRU&amp;lang=en_US&amp;offset=0&amp;query=any,contains,991000371279702656","Catalog Record")</f>
        <v/>
      </c>
      <c r="AV201">
        <f>HYPERLINK("http://www.worldcat.org/oclc/50960707","WorldCat Record")</f>
        <v/>
      </c>
      <c r="AW201" t="inlineStr">
        <is>
          <t>910152389:eng</t>
        </is>
      </c>
      <c r="AX201" t="inlineStr">
        <is>
          <t>50960707</t>
        </is>
      </c>
      <c r="AY201" t="inlineStr">
        <is>
          <t>991000371279702656</t>
        </is>
      </c>
      <c r="AZ201" t="inlineStr">
        <is>
          <t>991000371279702656</t>
        </is>
      </c>
      <c r="BA201" t="inlineStr">
        <is>
          <t>2256189460002656</t>
        </is>
      </c>
      <c r="BB201" t="inlineStr">
        <is>
          <t>BOOK</t>
        </is>
      </c>
      <c r="BD201" t="inlineStr">
        <is>
          <t>9781560233107</t>
        </is>
      </c>
      <c r="BE201" t="inlineStr">
        <is>
          <t>30001004509149</t>
        </is>
      </c>
      <c r="BF201" t="inlineStr">
        <is>
          <t>893466231</t>
        </is>
      </c>
    </row>
    <row r="202">
      <c r="A202" t="inlineStr">
        <is>
          <t>No</t>
        </is>
      </c>
      <c r="B202" t="inlineStr">
        <is>
          <t>CUHSL</t>
        </is>
      </c>
      <c r="C202" t="inlineStr">
        <is>
          <t>SHELVES</t>
        </is>
      </c>
      <c r="D202" t="inlineStr">
        <is>
          <t>WA309 N424w 2003</t>
        </is>
      </c>
      <c r="E202" t="inlineStr">
        <is>
          <t>0                      WA 0309000N  424w        2003</t>
        </is>
      </c>
      <c r="F202" t="inlineStr">
        <is>
          <t>Women of color and the reproductive rights movement / Jennifer Nelson.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1</t>
        </is>
      </c>
      <c r="M202" t="inlineStr">
        <is>
          <t>Nelson, Jennifer, 1967-</t>
        </is>
      </c>
      <c r="N202" t="inlineStr">
        <is>
          <t>New York : New York University Press, c2003.</t>
        </is>
      </c>
      <c r="O202" t="inlineStr">
        <is>
          <t>2003</t>
        </is>
      </c>
      <c r="Q202" t="inlineStr">
        <is>
          <t>eng</t>
        </is>
      </c>
      <c r="R202" t="inlineStr">
        <is>
          <t>nyu</t>
        </is>
      </c>
      <c r="T202" t="inlineStr">
        <is>
          <t xml:space="preserve">WA </t>
        </is>
      </c>
      <c r="U202" t="n">
        <v>0</v>
      </c>
      <c r="V202" t="n">
        <v>0</v>
      </c>
      <c r="W202" t="inlineStr">
        <is>
          <t>2004-06-06</t>
        </is>
      </c>
      <c r="X202" t="inlineStr">
        <is>
          <t>2004-06-06</t>
        </is>
      </c>
      <c r="Y202" t="inlineStr">
        <is>
          <t>2004-06-06</t>
        </is>
      </c>
      <c r="Z202" t="inlineStr">
        <is>
          <t>2004-06-06</t>
        </is>
      </c>
      <c r="AA202" t="n">
        <v>451</v>
      </c>
      <c r="AB202" t="n">
        <v>387</v>
      </c>
      <c r="AC202" t="n">
        <v>1533</v>
      </c>
      <c r="AD202" t="n">
        <v>2</v>
      </c>
      <c r="AE202" t="n">
        <v>24</v>
      </c>
      <c r="AF202" t="n">
        <v>17</v>
      </c>
      <c r="AG202" t="n">
        <v>56</v>
      </c>
      <c r="AH202" t="n">
        <v>3</v>
      </c>
      <c r="AI202" t="n">
        <v>16</v>
      </c>
      <c r="AJ202" t="n">
        <v>5</v>
      </c>
      <c r="AK202" t="n">
        <v>11</v>
      </c>
      <c r="AL202" t="n">
        <v>7</v>
      </c>
      <c r="AM202" t="n">
        <v>16</v>
      </c>
      <c r="AN202" t="n">
        <v>1</v>
      </c>
      <c r="AO202" t="n">
        <v>15</v>
      </c>
      <c r="AP202" t="n">
        <v>4</v>
      </c>
      <c r="AQ202" t="n">
        <v>6</v>
      </c>
      <c r="AR202" t="inlineStr">
        <is>
          <t>No</t>
        </is>
      </c>
      <c r="AS202" t="inlineStr">
        <is>
          <t>No</t>
        </is>
      </c>
      <c r="AU202">
        <f>HYPERLINK("https://creighton-primo.hosted.exlibrisgroup.com/primo-explore/search?tab=default_tab&amp;search_scope=EVERYTHING&amp;vid=01CRU&amp;lang=en_US&amp;offset=0&amp;query=any,contains,991000373089702656","Catalog Record")</f>
        <v/>
      </c>
      <c r="AV202">
        <f>HYPERLINK("http://www.worldcat.org/oclc/52203414","WorldCat Record")</f>
        <v/>
      </c>
      <c r="AW202" t="inlineStr">
        <is>
          <t>708215:eng</t>
        </is>
      </c>
      <c r="AX202" t="inlineStr">
        <is>
          <t>52203414</t>
        </is>
      </c>
      <c r="AY202" t="inlineStr">
        <is>
          <t>991000373089702656</t>
        </is>
      </c>
      <c r="AZ202" t="inlineStr">
        <is>
          <t>991000373089702656</t>
        </is>
      </c>
      <c r="BA202" t="inlineStr">
        <is>
          <t>2259474550002656</t>
        </is>
      </c>
      <c r="BB202" t="inlineStr">
        <is>
          <t>BOOK</t>
        </is>
      </c>
      <c r="BD202" t="inlineStr">
        <is>
          <t>9780814758212</t>
        </is>
      </c>
      <c r="BE202" t="inlineStr">
        <is>
          <t>30001004921260</t>
        </is>
      </c>
      <c r="BF202" t="inlineStr">
        <is>
          <t>893447248</t>
        </is>
      </c>
    </row>
    <row r="203">
      <c r="A203" t="inlineStr">
        <is>
          <t>No</t>
        </is>
      </c>
      <c r="B203" t="inlineStr">
        <is>
          <t>CUHSL</t>
        </is>
      </c>
      <c r="C203" t="inlineStr">
        <is>
          <t>SHELVES</t>
        </is>
      </c>
      <c r="D203" t="inlineStr">
        <is>
          <t>WA 309 N976 1996</t>
        </is>
      </c>
      <c r="E203" t="inlineStr">
        <is>
          <t>0                      WA 0309000N  976         1996</t>
        </is>
      </c>
      <c r="F203" t="inlineStr">
        <is>
          <t>Nutrition in women's health / [edited by] Debra A. Krummel, Penny M. Kris-Etherton.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N203" t="inlineStr">
        <is>
          <t>Gaithersburg, Md. : Aspen Publishers, c1996.</t>
        </is>
      </c>
      <c r="O203" t="inlineStr">
        <is>
          <t>1996</t>
        </is>
      </c>
      <c r="Q203" t="inlineStr">
        <is>
          <t>eng</t>
        </is>
      </c>
      <c r="R203" t="inlineStr">
        <is>
          <t>mdu</t>
        </is>
      </c>
      <c r="T203" t="inlineStr">
        <is>
          <t xml:space="preserve">WA </t>
        </is>
      </c>
      <c r="U203" t="n">
        <v>20</v>
      </c>
      <c r="V203" t="n">
        <v>20</v>
      </c>
      <c r="W203" t="inlineStr">
        <is>
          <t>2001-02-26</t>
        </is>
      </c>
      <c r="X203" t="inlineStr">
        <is>
          <t>2001-02-26</t>
        </is>
      </c>
      <c r="Y203" t="inlineStr">
        <is>
          <t>1996-02-14</t>
        </is>
      </c>
      <c r="Z203" t="inlineStr">
        <is>
          <t>1996-02-14</t>
        </is>
      </c>
      <c r="AA203" t="n">
        <v>395</v>
      </c>
      <c r="AB203" t="n">
        <v>350</v>
      </c>
      <c r="AC203" t="n">
        <v>352</v>
      </c>
      <c r="AD203" t="n">
        <v>2</v>
      </c>
      <c r="AE203" t="n">
        <v>2</v>
      </c>
      <c r="AF203" t="n">
        <v>11</v>
      </c>
      <c r="AG203" t="n">
        <v>11</v>
      </c>
      <c r="AH203" t="n">
        <v>3</v>
      </c>
      <c r="AI203" t="n">
        <v>3</v>
      </c>
      <c r="AJ203" t="n">
        <v>3</v>
      </c>
      <c r="AK203" t="n">
        <v>3</v>
      </c>
      <c r="AL203" t="n">
        <v>5</v>
      </c>
      <c r="AM203" t="n">
        <v>5</v>
      </c>
      <c r="AN203" t="n">
        <v>1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HYPERLINK("http://catalog.hathitrust.org/Record/003022856","HathiTrust Record")</f>
        <v/>
      </c>
      <c r="AU203">
        <f>HYPERLINK("https://creighton-primo.hosted.exlibrisgroup.com/primo-explore/search?tab=default_tab&amp;search_scope=EVERYTHING&amp;vid=01CRU&amp;lang=en_US&amp;offset=0&amp;query=any,contains,991001504909702656","Catalog Record")</f>
        <v/>
      </c>
      <c r="AV203">
        <f>HYPERLINK("http://www.worldcat.org/oclc/32822170","WorldCat Record")</f>
        <v/>
      </c>
      <c r="AW203" t="inlineStr">
        <is>
          <t>357807935:eng</t>
        </is>
      </c>
      <c r="AX203" t="inlineStr">
        <is>
          <t>32822170</t>
        </is>
      </c>
      <c r="AY203" t="inlineStr">
        <is>
          <t>991001504909702656</t>
        </is>
      </c>
      <c r="AZ203" t="inlineStr">
        <is>
          <t>991001504909702656</t>
        </is>
      </c>
      <c r="BA203" t="inlineStr">
        <is>
          <t>2264106640002656</t>
        </is>
      </c>
      <c r="BB203" t="inlineStr">
        <is>
          <t>BOOK</t>
        </is>
      </c>
      <c r="BD203" t="inlineStr">
        <is>
          <t>9780834206823</t>
        </is>
      </c>
      <c r="BE203" t="inlineStr">
        <is>
          <t>30001003263946</t>
        </is>
      </c>
      <c r="BF203" t="inlineStr">
        <is>
          <t>893149292</t>
        </is>
      </c>
    </row>
    <row r="204">
      <c r="A204" t="inlineStr">
        <is>
          <t>No</t>
        </is>
      </c>
      <c r="B204" t="inlineStr">
        <is>
          <t>CUHSL</t>
        </is>
      </c>
      <c r="C204" t="inlineStr">
        <is>
          <t>SHELVES</t>
        </is>
      </c>
      <c r="D204" t="inlineStr">
        <is>
          <t>WA309 N9765 2004</t>
        </is>
      </c>
      <c r="E204" t="inlineStr">
        <is>
          <t>0                      WA 0309000N  9765        2004</t>
        </is>
      </c>
      <c r="F204" t="inlineStr">
        <is>
          <t>Nutritional concerns of women / edited by Dorothy Klimis-Zacas, Ira Wolinsky.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N204" t="inlineStr">
        <is>
          <t>Boca Raton : CRC Press, c2004.</t>
        </is>
      </c>
      <c r="O204" t="inlineStr">
        <is>
          <t>2004</t>
        </is>
      </c>
      <c r="P204" t="inlineStr">
        <is>
          <t>2nd ed.</t>
        </is>
      </c>
      <c r="Q204" t="inlineStr">
        <is>
          <t>eng</t>
        </is>
      </c>
      <c r="R204" t="inlineStr">
        <is>
          <t>flu</t>
        </is>
      </c>
      <c r="S204" t="inlineStr">
        <is>
          <t>CRC series in modern nutrition</t>
        </is>
      </c>
      <c r="T204" t="inlineStr">
        <is>
          <t xml:space="preserve">WA </t>
        </is>
      </c>
      <c r="U204" t="n">
        <v>1</v>
      </c>
      <c r="V204" t="n">
        <v>1</v>
      </c>
      <c r="W204" t="inlineStr">
        <is>
          <t>2005-10-27</t>
        </is>
      </c>
      <c r="X204" t="inlineStr">
        <is>
          <t>2005-10-27</t>
        </is>
      </c>
      <c r="Y204" t="inlineStr">
        <is>
          <t>2005-10-25</t>
        </is>
      </c>
      <c r="Z204" t="inlineStr">
        <is>
          <t>2005-10-25</t>
        </is>
      </c>
      <c r="AA204" t="n">
        <v>264</v>
      </c>
      <c r="AB204" t="n">
        <v>190</v>
      </c>
      <c r="AC204" t="n">
        <v>599</v>
      </c>
      <c r="AD204" t="n">
        <v>1</v>
      </c>
      <c r="AE204" t="n">
        <v>3</v>
      </c>
      <c r="AF204" t="n">
        <v>4</v>
      </c>
      <c r="AG204" t="n">
        <v>25</v>
      </c>
      <c r="AH204" t="n">
        <v>1</v>
      </c>
      <c r="AI204" t="n">
        <v>11</v>
      </c>
      <c r="AJ204" t="n">
        <v>2</v>
      </c>
      <c r="AK204" t="n">
        <v>7</v>
      </c>
      <c r="AL204" t="n">
        <v>2</v>
      </c>
      <c r="AM204" t="n">
        <v>9</v>
      </c>
      <c r="AN204" t="n">
        <v>0</v>
      </c>
      <c r="AO204" t="n">
        <v>2</v>
      </c>
      <c r="AP204" t="n">
        <v>0</v>
      </c>
      <c r="AQ204" t="n">
        <v>0</v>
      </c>
      <c r="AR204" t="inlineStr">
        <is>
          <t>No</t>
        </is>
      </c>
      <c r="AS204" t="inlineStr">
        <is>
          <t>No</t>
        </is>
      </c>
      <c r="AU204">
        <f>HYPERLINK("https://creighton-primo.hosted.exlibrisgroup.com/primo-explore/search?tab=default_tab&amp;search_scope=EVERYTHING&amp;vid=01CRU&amp;lang=en_US&amp;offset=0&amp;query=any,contains,991000445909702656","Catalog Record")</f>
        <v/>
      </c>
      <c r="AV204">
        <f>HYPERLINK("http://www.worldcat.org/oclc/52127760","WorldCat Record")</f>
        <v/>
      </c>
      <c r="AW204" t="inlineStr">
        <is>
          <t>766866324:eng</t>
        </is>
      </c>
      <c r="AX204" t="inlineStr">
        <is>
          <t>52127760</t>
        </is>
      </c>
      <c r="AY204" t="inlineStr">
        <is>
          <t>991000445909702656</t>
        </is>
      </c>
      <c r="AZ204" t="inlineStr">
        <is>
          <t>991000445909702656</t>
        </is>
      </c>
      <c r="BA204" t="inlineStr">
        <is>
          <t>2262626400002656</t>
        </is>
      </c>
      <c r="BB204" t="inlineStr">
        <is>
          <t>BOOK</t>
        </is>
      </c>
      <c r="BD204" t="inlineStr">
        <is>
          <t>9780849313370</t>
        </is>
      </c>
      <c r="BE204" t="inlineStr">
        <is>
          <t>30001004913655</t>
        </is>
      </c>
      <c r="BF204" t="inlineStr">
        <is>
          <t>893365483</t>
        </is>
      </c>
    </row>
    <row r="205">
      <c r="A205" t="inlineStr">
        <is>
          <t>No</t>
        </is>
      </c>
      <c r="B205" t="inlineStr">
        <is>
          <t>CUHSL</t>
        </is>
      </c>
      <c r="C205" t="inlineStr">
        <is>
          <t>SHELVES</t>
        </is>
      </c>
      <c r="D205" t="inlineStr">
        <is>
          <t>WA309 P652 2002</t>
        </is>
      </c>
      <c r="E205" t="inlineStr">
        <is>
          <t>0                      WA 0309000P  652         2002</t>
        </is>
      </c>
      <c r="F205" t="inlineStr">
        <is>
          <t>Primary care of women / editors, Karen J. Carlson, Stephanie A. Eisenstat ; associate editors, Fredric D. Frigoletto, Jr., Isaac Schiff.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N205" t="inlineStr">
        <is>
          <t>St. Louis : Mosby, c2002.</t>
        </is>
      </c>
      <c r="O205" t="inlineStr">
        <is>
          <t>2002</t>
        </is>
      </c>
      <c r="P205" t="inlineStr">
        <is>
          <t>2nd ed.</t>
        </is>
      </c>
      <c r="Q205" t="inlineStr">
        <is>
          <t>eng</t>
        </is>
      </c>
      <c r="R205" t="inlineStr">
        <is>
          <t>mou</t>
        </is>
      </c>
      <c r="T205" t="inlineStr">
        <is>
          <t xml:space="preserve">WA </t>
        </is>
      </c>
      <c r="U205" t="n">
        <v>0</v>
      </c>
      <c r="V205" t="n">
        <v>0</v>
      </c>
      <c r="W205" t="inlineStr">
        <is>
          <t>2006-01-17</t>
        </is>
      </c>
      <c r="X205" t="inlineStr">
        <is>
          <t>2006-01-17</t>
        </is>
      </c>
      <c r="Y205" t="inlineStr">
        <is>
          <t>2006-01-16</t>
        </is>
      </c>
      <c r="Z205" t="inlineStr">
        <is>
          <t>2006-01-16</t>
        </is>
      </c>
      <c r="AA205" t="n">
        <v>226</v>
      </c>
      <c r="AB205" t="n">
        <v>183</v>
      </c>
      <c r="AC205" t="n">
        <v>308</v>
      </c>
      <c r="AD205" t="n">
        <v>2</v>
      </c>
      <c r="AE205" t="n">
        <v>4</v>
      </c>
      <c r="AF205" t="n">
        <v>5</v>
      </c>
      <c r="AG205" t="n">
        <v>14</v>
      </c>
      <c r="AH205" t="n">
        <v>1</v>
      </c>
      <c r="AI205" t="n">
        <v>6</v>
      </c>
      <c r="AJ205" t="n">
        <v>1</v>
      </c>
      <c r="AK205" t="n">
        <v>2</v>
      </c>
      <c r="AL205" t="n">
        <v>2</v>
      </c>
      <c r="AM205" t="n">
        <v>6</v>
      </c>
      <c r="AN205" t="n">
        <v>1</v>
      </c>
      <c r="AO205" t="n">
        <v>2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HYPERLINK("http://catalog.hathitrust.org/Record/004247990","HathiTrust Record")</f>
        <v/>
      </c>
      <c r="AU205">
        <f>HYPERLINK("https://creighton-primo.hosted.exlibrisgroup.com/primo-explore/search?tab=default_tab&amp;search_scope=EVERYTHING&amp;vid=01CRU&amp;lang=en_US&amp;offset=0&amp;query=any,contains,991000455459702656","Catalog Record")</f>
        <v/>
      </c>
      <c r="AV205">
        <f>HYPERLINK("http://www.worldcat.org/oclc/48093223","WorldCat Record")</f>
        <v/>
      </c>
      <c r="AW205" t="inlineStr">
        <is>
          <t>350042723:eng</t>
        </is>
      </c>
      <c r="AX205" t="inlineStr">
        <is>
          <t>48093223</t>
        </is>
      </c>
      <c r="AY205" t="inlineStr">
        <is>
          <t>991000455459702656</t>
        </is>
      </c>
      <c r="AZ205" t="inlineStr">
        <is>
          <t>991000455459702656</t>
        </is>
      </c>
      <c r="BA205" t="inlineStr">
        <is>
          <t>2263245110002656</t>
        </is>
      </c>
      <c r="BB205" t="inlineStr">
        <is>
          <t>BOOK</t>
        </is>
      </c>
      <c r="BD205" t="inlineStr">
        <is>
          <t>9780323010658</t>
        </is>
      </c>
      <c r="BE205" t="inlineStr">
        <is>
          <t>30001004910479</t>
        </is>
      </c>
      <c r="BF205" t="inlineStr">
        <is>
          <t>893354374</t>
        </is>
      </c>
    </row>
    <row r="206">
      <c r="A206" t="inlineStr">
        <is>
          <t>No</t>
        </is>
      </c>
      <c r="B206" t="inlineStr">
        <is>
          <t>CUHSL</t>
        </is>
      </c>
      <c r="C206" t="inlineStr">
        <is>
          <t>SHELVES</t>
        </is>
      </c>
      <c r="D206" t="inlineStr">
        <is>
          <t>WA309 P771c 1998</t>
        </is>
      </c>
      <c r="E206" t="inlineStr">
        <is>
          <t>0                      WA 0309000P  771c        1998</t>
        </is>
      </c>
      <c r="F206" t="inlineStr">
        <is>
          <t>Counseling women in prison / Joycelyn M. Pollock.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Pollock, Joycelyn M., 1956-</t>
        </is>
      </c>
      <c r="N206" t="inlineStr">
        <is>
          <t>Thousand Oaks, CA : Sage Publications, c1998.</t>
        </is>
      </c>
      <c r="O206" t="inlineStr">
        <is>
          <t>1998</t>
        </is>
      </c>
      <c r="Q206" t="inlineStr">
        <is>
          <t>eng</t>
        </is>
      </c>
      <c r="R206" t="inlineStr">
        <is>
          <t>cau</t>
        </is>
      </c>
      <c r="S206" t="inlineStr">
        <is>
          <t>Women's mental health and development ; v. 3</t>
        </is>
      </c>
      <c r="T206" t="inlineStr">
        <is>
          <t xml:space="preserve">WA </t>
        </is>
      </c>
      <c r="U206" t="n">
        <v>0</v>
      </c>
      <c r="V206" t="n">
        <v>0</v>
      </c>
      <c r="W206" t="inlineStr">
        <is>
          <t>2004-06-06</t>
        </is>
      </c>
      <c r="X206" t="inlineStr">
        <is>
          <t>2004-06-06</t>
        </is>
      </c>
      <c r="Y206" t="inlineStr">
        <is>
          <t>2004-06-03</t>
        </is>
      </c>
      <c r="Z206" t="inlineStr">
        <is>
          <t>2004-06-03</t>
        </is>
      </c>
      <c r="AA206" t="n">
        <v>396</v>
      </c>
      <c r="AB206" t="n">
        <v>332</v>
      </c>
      <c r="AC206" t="n">
        <v>338</v>
      </c>
      <c r="AD206" t="n">
        <v>5</v>
      </c>
      <c r="AE206" t="n">
        <v>5</v>
      </c>
      <c r="AF206" t="n">
        <v>17</v>
      </c>
      <c r="AG206" t="n">
        <v>17</v>
      </c>
      <c r="AH206" t="n">
        <v>4</v>
      </c>
      <c r="AI206" t="n">
        <v>4</v>
      </c>
      <c r="AJ206" t="n">
        <v>3</v>
      </c>
      <c r="AK206" t="n">
        <v>3</v>
      </c>
      <c r="AL206" t="n">
        <v>9</v>
      </c>
      <c r="AM206" t="n">
        <v>9</v>
      </c>
      <c r="AN206" t="n">
        <v>4</v>
      </c>
      <c r="AO206" t="n">
        <v>4</v>
      </c>
      <c r="AP206" t="n">
        <v>1</v>
      </c>
      <c r="AQ206" t="n">
        <v>1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HYPERLINK("https://creighton-primo.hosted.exlibrisgroup.com/primo-explore/search?tab=default_tab&amp;search_scope=EVERYTHING&amp;vid=01CRU&amp;lang=en_US&amp;offset=0&amp;query=any,contains,991000370799702656","Catalog Record")</f>
        <v/>
      </c>
      <c r="AV206">
        <f>HYPERLINK("http://www.worldcat.org/oclc/37725461","WorldCat Record")</f>
        <v/>
      </c>
      <c r="AW206" t="inlineStr">
        <is>
          <t>612905:eng</t>
        </is>
      </c>
      <c r="AX206" t="inlineStr">
        <is>
          <t>37725461</t>
        </is>
      </c>
      <c r="AY206" t="inlineStr">
        <is>
          <t>991000370799702656</t>
        </is>
      </c>
      <c r="AZ206" t="inlineStr">
        <is>
          <t>991000370799702656</t>
        </is>
      </c>
      <c r="BA206" t="inlineStr">
        <is>
          <t>2255880700002656</t>
        </is>
      </c>
      <c r="BB206" t="inlineStr">
        <is>
          <t>BOOK</t>
        </is>
      </c>
      <c r="BD206" t="inlineStr">
        <is>
          <t>9780803973305</t>
        </is>
      </c>
      <c r="BE206" t="inlineStr">
        <is>
          <t>30001004920163</t>
        </is>
      </c>
      <c r="BF206" t="inlineStr">
        <is>
          <t>893452070</t>
        </is>
      </c>
    </row>
    <row r="207">
      <c r="A207" t="inlineStr">
        <is>
          <t>No</t>
        </is>
      </c>
      <c r="B207" t="inlineStr">
        <is>
          <t>CUHSL</t>
        </is>
      </c>
      <c r="C207" t="inlineStr">
        <is>
          <t>SHELVES</t>
        </is>
      </c>
      <c r="D207" t="inlineStr">
        <is>
          <t>WA 309 P9521 2004</t>
        </is>
      </c>
      <c r="E207" t="inlineStr">
        <is>
          <t>0                      WA 0309000P  9521        2004</t>
        </is>
      </c>
      <c r="F207" t="inlineStr">
        <is>
          <t>Primary care for women / edited by Phyllis C. Leppert, Jeffrey F. Peipert.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N207" t="inlineStr">
        <is>
          <t>Philadelphia : Lippincott Williams &amp; Wilkins, c2004.</t>
        </is>
      </c>
      <c r="O207" t="inlineStr">
        <is>
          <t>2004</t>
        </is>
      </c>
      <c r="P207" t="inlineStr">
        <is>
          <t>2nd ed.</t>
        </is>
      </c>
      <c r="Q207" t="inlineStr">
        <is>
          <t>eng</t>
        </is>
      </c>
      <c r="R207" t="inlineStr">
        <is>
          <t>pau</t>
        </is>
      </c>
      <c r="T207" t="inlineStr">
        <is>
          <t xml:space="preserve">WA </t>
        </is>
      </c>
      <c r="U207" t="n">
        <v>0</v>
      </c>
      <c r="V207" t="n">
        <v>0</v>
      </c>
      <c r="W207" t="inlineStr">
        <is>
          <t>2006-09-11</t>
        </is>
      </c>
      <c r="X207" t="inlineStr">
        <is>
          <t>2006-09-11</t>
        </is>
      </c>
      <c r="Y207" t="inlineStr">
        <is>
          <t>2006-09-11</t>
        </is>
      </c>
      <c r="Z207" t="inlineStr">
        <is>
          <t>2006-09-11</t>
        </is>
      </c>
      <c r="AA207" t="n">
        <v>129</v>
      </c>
      <c r="AB207" t="n">
        <v>97</v>
      </c>
      <c r="AC207" t="n">
        <v>98</v>
      </c>
      <c r="AD207" t="n">
        <v>1</v>
      </c>
      <c r="AE207" t="n">
        <v>1</v>
      </c>
      <c r="AF207" t="n">
        <v>5</v>
      </c>
      <c r="AG207" t="n">
        <v>5</v>
      </c>
      <c r="AH207" t="n">
        <v>1</v>
      </c>
      <c r="AI207" t="n">
        <v>1</v>
      </c>
      <c r="AJ207" t="n">
        <v>1</v>
      </c>
      <c r="AK207" t="n">
        <v>1</v>
      </c>
      <c r="AL207" t="n">
        <v>3</v>
      </c>
      <c r="AM207" t="n">
        <v>3</v>
      </c>
      <c r="AN207" t="n">
        <v>0</v>
      </c>
      <c r="AO207" t="n">
        <v>0</v>
      </c>
      <c r="AP207" t="n">
        <v>0</v>
      </c>
      <c r="AQ207" t="n">
        <v>0</v>
      </c>
      <c r="AR207" t="inlineStr">
        <is>
          <t>No</t>
        </is>
      </c>
      <c r="AS207" t="inlineStr">
        <is>
          <t>No</t>
        </is>
      </c>
      <c r="AU207">
        <f>HYPERLINK("https://creighton-primo.hosted.exlibrisgroup.com/primo-explore/search?tab=default_tab&amp;search_scope=EVERYTHING&amp;vid=01CRU&amp;lang=en_US&amp;offset=0&amp;query=any,contains,991000537139702656","Catalog Record")</f>
        <v/>
      </c>
      <c r="AV207">
        <f>HYPERLINK("http://www.worldcat.org/oclc/52208421","WorldCat Record")</f>
        <v/>
      </c>
      <c r="AW207" t="inlineStr">
        <is>
          <t>136235571:eng</t>
        </is>
      </c>
      <c r="AX207" t="inlineStr">
        <is>
          <t>52208421</t>
        </is>
      </c>
      <c r="AY207" t="inlineStr">
        <is>
          <t>991000537139702656</t>
        </is>
      </c>
      <c r="AZ207" t="inlineStr">
        <is>
          <t>991000537139702656</t>
        </is>
      </c>
      <c r="BA207" t="inlineStr">
        <is>
          <t>2255159260002656</t>
        </is>
      </c>
      <c r="BB207" t="inlineStr">
        <is>
          <t>BOOK</t>
        </is>
      </c>
      <c r="BD207" t="inlineStr">
        <is>
          <t>9780781737906</t>
        </is>
      </c>
      <c r="BE207" t="inlineStr">
        <is>
          <t>30001005120656</t>
        </is>
      </c>
      <c r="BF207" t="inlineStr">
        <is>
          <t>893366815</t>
        </is>
      </c>
    </row>
    <row r="208">
      <c r="A208" t="inlineStr">
        <is>
          <t>No</t>
        </is>
      </c>
      <c r="B208" t="inlineStr">
        <is>
          <t>CUHSL</t>
        </is>
      </c>
      <c r="C208" t="inlineStr">
        <is>
          <t>SHELVES</t>
        </is>
      </c>
      <c r="D208" t="inlineStr">
        <is>
          <t>WA309 R318w 1999</t>
        </is>
      </c>
      <c r="E208" t="inlineStr">
        <is>
          <t>0                      WA 0309000R  318w        1999</t>
        </is>
      </c>
      <c r="F208" t="inlineStr">
        <is>
          <t>Women's health needs in patient education / Barbara K. Redman.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1</t>
        </is>
      </c>
      <c r="M208" t="inlineStr">
        <is>
          <t>Redman, Barbara Klug.</t>
        </is>
      </c>
      <c r="N208" t="inlineStr">
        <is>
          <t>New York : Springer Pub. Co., c1999.</t>
        </is>
      </c>
      <c r="O208" t="inlineStr">
        <is>
          <t>1999</t>
        </is>
      </c>
      <c r="Q208" t="inlineStr">
        <is>
          <t>eng</t>
        </is>
      </c>
      <c r="R208" t="inlineStr">
        <is>
          <t>nyu</t>
        </is>
      </c>
      <c r="S208" t="inlineStr">
        <is>
          <t>Springer series, focus on women</t>
        </is>
      </c>
      <c r="T208" t="inlineStr">
        <is>
          <t xml:space="preserve">WA </t>
        </is>
      </c>
      <c r="U208" t="n">
        <v>2</v>
      </c>
      <c r="V208" t="n">
        <v>2</v>
      </c>
      <c r="W208" t="inlineStr">
        <is>
          <t>2005-08-31</t>
        </is>
      </c>
      <c r="X208" t="inlineStr">
        <is>
          <t>2005-08-31</t>
        </is>
      </c>
      <c r="Y208" t="inlineStr">
        <is>
          <t>2004-06-05</t>
        </is>
      </c>
      <c r="Z208" t="inlineStr">
        <is>
          <t>2004-06-05</t>
        </is>
      </c>
      <c r="AA208" t="n">
        <v>409</v>
      </c>
      <c r="AB208" t="n">
        <v>371</v>
      </c>
      <c r="AC208" t="n">
        <v>1315</v>
      </c>
      <c r="AD208" t="n">
        <v>3</v>
      </c>
      <c r="AE208" t="n">
        <v>15</v>
      </c>
      <c r="AF208" t="n">
        <v>14</v>
      </c>
      <c r="AG208" t="n">
        <v>48</v>
      </c>
      <c r="AH208" t="n">
        <v>5</v>
      </c>
      <c r="AI208" t="n">
        <v>15</v>
      </c>
      <c r="AJ208" t="n">
        <v>2</v>
      </c>
      <c r="AK208" t="n">
        <v>10</v>
      </c>
      <c r="AL208" t="n">
        <v>8</v>
      </c>
      <c r="AM208" t="n">
        <v>16</v>
      </c>
      <c r="AN208" t="n">
        <v>2</v>
      </c>
      <c r="AO208" t="n">
        <v>13</v>
      </c>
      <c r="AP208" t="n">
        <v>0</v>
      </c>
      <c r="AQ208" t="n">
        <v>2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HYPERLINK("https://creighton-primo.hosted.exlibrisgroup.com/primo-explore/search?tab=default_tab&amp;search_scope=EVERYTHING&amp;vid=01CRU&amp;lang=en_US&amp;offset=0&amp;query=any,contains,991000372529702656","Catalog Record")</f>
        <v/>
      </c>
      <c r="AV208">
        <f>HYPERLINK("http://www.worldcat.org/oclc/41231396","WorldCat Record")</f>
        <v/>
      </c>
      <c r="AW208" t="inlineStr">
        <is>
          <t>966228:eng</t>
        </is>
      </c>
      <c r="AX208" t="inlineStr">
        <is>
          <t>41231396</t>
        </is>
      </c>
      <c r="AY208" t="inlineStr">
        <is>
          <t>991000372529702656</t>
        </is>
      </c>
      <c r="AZ208" t="inlineStr">
        <is>
          <t>991000372529702656</t>
        </is>
      </c>
      <c r="BA208" t="inlineStr">
        <is>
          <t>2257765520002656</t>
        </is>
      </c>
      <c r="BB208" t="inlineStr">
        <is>
          <t>BOOK</t>
        </is>
      </c>
      <c r="BD208" t="inlineStr">
        <is>
          <t>9780826112644</t>
        </is>
      </c>
      <c r="BE208" t="inlineStr">
        <is>
          <t>30001004509768</t>
        </is>
      </c>
      <c r="BF208" t="inlineStr">
        <is>
          <t>893375492</t>
        </is>
      </c>
    </row>
    <row r="209">
      <c r="A209" t="inlineStr">
        <is>
          <t>No</t>
        </is>
      </c>
      <c r="B209" t="inlineStr">
        <is>
          <t>CUHSL</t>
        </is>
      </c>
      <c r="C209" t="inlineStr">
        <is>
          <t>SHELVES</t>
        </is>
      </c>
      <c r="D209" t="inlineStr">
        <is>
          <t>WA 309 T355 1998</t>
        </is>
      </c>
      <c r="E209" t="inlineStr">
        <is>
          <t>0                      WA 0309000T  355         1998</t>
        </is>
      </c>
      <c r="F209" t="inlineStr">
        <is>
          <t>Textbook of women's health / editor-in-chief, Lila A. Wallis ; associate editors, Anne S. Kasper ... [et al.].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N209" t="inlineStr">
        <is>
          <t>Philadelphia, PA : Lippincott-Raven, c1998.</t>
        </is>
      </c>
      <c r="O209" t="inlineStr">
        <is>
          <t>1998</t>
        </is>
      </c>
      <c r="Q209" t="inlineStr">
        <is>
          <t>eng</t>
        </is>
      </c>
      <c r="R209" t="inlineStr">
        <is>
          <t>pau</t>
        </is>
      </c>
      <c r="T209" t="inlineStr">
        <is>
          <t xml:space="preserve">WA </t>
        </is>
      </c>
      <c r="U209" t="n">
        <v>7</v>
      </c>
      <c r="V209" t="n">
        <v>7</v>
      </c>
      <c r="W209" t="inlineStr">
        <is>
          <t>1998-02-27</t>
        </is>
      </c>
      <c r="X209" t="inlineStr">
        <is>
          <t>1998-02-27</t>
        </is>
      </c>
      <c r="Y209" t="inlineStr">
        <is>
          <t>1998-02-27</t>
        </is>
      </c>
      <c r="Z209" t="inlineStr">
        <is>
          <t>1998-02-27</t>
        </is>
      </c>
      <c r="AA209" t="n">
        <v>197</v>
      </c>
      <c r="AB209" t="n">
        <v>167</v>
      </c>
      <c r="AC209" t="n">
        <v>168</v>
      </c>
      <c r="AD209" t="n">
        <v>1</v>
      </c>
      <c r="AE209" t="n">
        <v>1</v>
      </c>
      <c r="AF209" t="n">
        <v>7</v>
      </c>
      <c r="AG209" t="n">
        <v>7</v>
      </c>
      <c r="AH209" t="n">
        <v>3</v>
      </c>
      <c r="AI209" t="n">
        <v>3</v>
      </c>
      <c r="AJ209" t="n">
        <v>2</v>
      </c>
      <c r="AK209" t="n">
        <v>2</v>
      </c>
      <c r="AL209" t="n">
        <v>3</v>
      </c>
      <c r="AM209" t="n">
        <v>3</v>
      </c>
      <c r="AN209" t="n">
        <v>0</v>
      </c>
      <c r="AO209" t="n">
        <v>0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HYPERLINK("https://creighton-primo.hosted.exlibrisgroup.com/primo-explore/search?tab=default_tab&amp;search_scope=EVERYTHING&amp;vid=01CRU&amp;lang=en_US&amp;offset=0&amp;query=any,contains,991001306089702656","Catalog Record")</f>
        <v/>
      </c>
      <c r="AV209">
        <f>HYPERLINK("http://www.worldcat.org/oclc/37553679","WorldCat Record")</f>
        <v/>
      </c>
      <c r="AW209" t="inlineStr">
        <is>
          <t>477305084:eng</t>
        </is>
      </c>
      <c r="AX209" t="inlineStr">
        <is>
          <t>37553679</t>
        </is>
      </c>
      <c r="AY209" t="inlineStr">
        <is>
          <t>991001306089702656</t>
        </is>
      </c>
      <c r="AZ209" t="inlineStr">
        <is>
          <t>991001306089702656</t>
        </is>
      </c>
      <c r="BA209" t="inlineStr">
        <is>
          <t>2258773850002656</t>
        </is>
      </c>
      <c r="BB209" t="inlineStr">
        <is>
          <t>BOOK</t>
        </is>
      </c>
      <c r="BD209" t="inlineStr">
        <is>
          <t>9780316919913</t>
        </is>
      </c>
      <c r="BE209" t="inlineStr">
        <is>
          <t>30001003749852</t>
        </is>
      </c>
      <c r="BF209" t="inlineStr">
        <is>
          <t>893284667</t>
        </is>
      </c>
    </row>
    <row r="210">
      <c r="A210" t="inlineStr">
        <is>
          <t>No</t>
        </is>
      </c>
      <c r="B210" t="inlineStr">
        <is>
          <t>CUHSL</t>
        </is>
      </c>
      <c r="C210" t="inlineStr">
        <is>
          <t>SHELVES</t>
        </is>
      </c>
      <c r="D210" t="inlineStr">
        <is>
          <t>WA 309 W8712 1998</t>
        </is>
      </c>
      <c r="E210" t="inlineStr">
        <is>
          <t>0                      WA 0309000W  8712        1998</t>
        </is>
      </c>
      <c r="F210" t="inlineStr">
        <is>
          <t>Women's health : a primary care clinical guide / [edited by] Ellis Quinn Youngkin, Marcia Szmania Davis.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2</t>
        </is>
      </c>
      <c r="N210" t="inlineStr">
        <is>
          <t>Stamford, Conn. : Appleton &amp; Lange, c1998.</t>
        </is>
      </c>
      <c r="O210" t="inlineStr">
        <is>
          <t>1998</t>
        </is>
      </c>
      <c r="P210" t="inlineStr">
        <is>
          <t>2nd ed.</t>
        </is>
      </c>
      <c r="Q210" t="inlineStr">
        <is>
          <t>eng</t>
        </is>
      </c>
      <c r="R210" t="inlineStr">
        <is>
          <t>ctu</t>
        </is>
      </c>
      <c r="T210" t="inlineStr">
        <is>
          <t xml:space="preserve">WA </t>
        </is>
      </c>
      <c r="U210" t="n">
        <v>14</v>
      </c>
      <c r="V210" t="n">
        <v>14</v>
      </c>
      <c r="W210" t="inlineStr">
        <is>
          <t>2001-02-26</t>
        </is>
      </c>
      <c r="X210" t="inlineStr">
        <is>
          <t>2001-02-26</t>
        </is>
      </c>
      <c r="Y210" t="inlineStr">
        <is>
          <t>1998-02-27</t>
        </is>
      </c>
      <c r="Z210" t="inlineStr">
        <is>
          <t>1998-02-27</t>
        </is>
      </c>
      <c r="AA210" t="n">
        <v>361</v>
      </c>
      <c r="AB210" t="n">
        <v>315</v>
      </c>
      <c r="AC210" t="n">
        <v>801</v>
      </c>
      <c r="AD210" t="n">
        <v>4</v>
      </c>
      <c r="AE210" t="n">
        <v>7</v>
      </c>
      <c r="AF210" t="n">
        <v>12</v>
      </c>
      <c r="AG210" t="n">
        <v>31</v>
      </c>
      <c r="AH210" t="n">
        <v>4</v>
      </c>
      <c r="AI210" t="n">
        <v>12</v>
      </c>
      <c r="AJ210" t="n">
        <v>4</v>
      </c>
      <c r="AK210" t="n">
        <v>6</v>
      </c>
      <c r="AL210" t="n">
        <v>5</v>
      </c>
      <c r="AM210" t="n">
        <v>14</v>
      </c>
      <c r="AN210" t="n">
        <v>2</v>
      </c>
      <c r="AO210" t="n">
        <v>5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HYPERLINK("http://catalog.hathitrust.org/Record/003243503","HathiTrust Record")</f>
        <v/>
      </c>
      <c r="AU210">
        <f>HYPERLINK("https://creighton-primo.hosted.exlibrisgroup.com/primo-explore/search?tab=default_tab&amp;search_scope=EVERYTHING&amp;vid=01CRU&amp;lang=en_US&amp;offset=0&amp;query=any,contains,991001306269702656","Catalog Record")</f>
        <v/>
      </c>
      <c r="AV210">
        <f>HYPERLINK("http://www.worldcat.org/oclc/37844439","WorldCat Record")</f>
        <v/>
      </c>
      <c r="AW210" t="inlineStr">
        <is>
          <t>796420194:eng</t>
        </is>
      </c>
      <c r="AX210" t="inlineStr">
        <is>
          <t>37844439</t>
        </is>
      </c>
      <c r="AY210" t="inlineStr">
        <is>
          <t>991001306269702656</t>
        </is>
      </c>
      <c r="AZ210" t="inlineStr">
        <is>
          <t>991001306269702656</t>
        </is>
      </c>
      <c r="BA210" t="inlineStr">
        <is>
          <t>2264255290002656</t>
        </is>
      </c>
      <c r="BB210" t="inlineStr">
        <is>
          <t>BOOK</t>
        </is>
      </c>
      <c r="BD210" t="inlineStr">
        <is>
          <t>9780838596401</t>
        </is>
      </c>
      <c r="BE210" t="inlineStr">
        <is>
          <t>30001003749902</t>
        </is>
      </c>
      <c r="BF210" t="inlineStr">
        <is>
          <t>893374436</t>
        </is>
      </c>
    </row>
    <row r="211">
      <c r="A211" t="inlineStr">
        <is>
          <t>No</t>
        </is>
      </c>
      <c r="B211" t="inlineStr">
        <is>
          <t>CUHSL</t>
        </is>
      </c>
      <c r="C211" t="inlineStr">
        <is>
          <t>SHELVES</t>
        </is>
      </c>
      <c r="D211" t="inlineStr">
        <is>
          <t>WA 309 W8713 1997</t>
        </is>
      </c>
      <c r="E211" t="inlineStr">
        <is>
          <t>0                      WA 0309000W  8713        1997</t>
        </is>
      </c>
      <c r="F211" t="inlineStr">
        <is>
          <t>Women's health across the lifespan : a comprehensive perspective / Karen Moses Allen, Janice Mitchell Phillips.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Allen, Karen M. (Karen Moses)</t>
        </is>
      </c>
      <c r="N211" t="inlineStr">
        <is>
          <t>Philadelphia : Lippincott, c1997.</t>
        </is>
      </c>
      <c r="O211" t="inlineStr">
        <is>
          <t>1997</t>
        </is>
      </c>
      <c r="Q211" t="inlineStr">
        <is>
          <t>eng</t>
        </is>
      </c>
      <c r="R211" t="inlineStr">
        <is>
          <t>pau</t>
        </is>
      </c>
      <c r="T211" t="inlineStr">
        <is>
          <t xml:space="preserve">WA </t>
        </is>
      </c>
      <c r="U211" t="n">
        <v>13</v>
      </c>
      <c r="V211" t="n">
        <v>13</v>
      </c>
      <c r="W211" t="inlineStr">
        <is>
          <t>2001-02-12</t>
        </is>
      </c>
      <c r="X211" t="inlineStr">
        <is>
          <t>2001-02-12</t>
        </is>
      </c>
      <c r="Y211" t="inlineStr">
        <is>
          <t>1997-06-09</t>
        </is>
      </c>
      <c r="Z211" t="inlineStr">
        <is>
          <t>1997-06-09</t>
        </is>
      </c>
      <c r="AA211" t="n">
        <v>441</v>
      </c>
      <c r="AB211" t="n">
        <v>352</v>
      </c>
      <c r="AC211" t="n">
        <v>359</v>
      </c>
      <c r="AD211" t="n">
        <v>3</v>
      </c>
      <c r="AE211" t="n">
        <v>3</v>
      </c>
      <c r="AF211" t="n">
        <v>13</v>
      </c>
      <c r="AG211" t="n">
        <v>13</v>
      </c>
      <c r="AH211" t="n">
        <v>6</v>
      </c>
      <c r="AI211" t="n">
        <v>6</v>
      </c>
      <c r="AJ211" t="n">
        <v>3</v>
      </c>
      <c r="AK211" t="n">
        <v>3</v>
      </c>
      <c r="AL211" t="n">
        <v>8</v>
      </c>
      <c r="AM211" t="n">
        <v>8</v>
      </c>
      <c r="AN211" t="n">
        <v>1</v>
      </c>
      <c r="AO211" t="n">
        <v>1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HYPERLINK("http://catalog.hathitrust.org/Record/003135454","HathiTrust Record")</f>
        <v/>
      </c>
      <c r="AU211">
        <f>HYPERLINK("https://creighton-primo.hosted.exlibrisgroup.com/primo-explore/search?tab=default_tab&amp;search_scope=EVERYTHING&amp;vid=01CRU&amp;lang=en_US&amp;offset=0&amp;query=any,contains,991001556269702656","Catalog Record")</f>
        <v/>
      </c>
      <c r="AV211">
        <f>HYPERLINK("http://www.worldcat.org/oclc/34767506","WorldCat Record")</f>
        <v/>
      </c>
      <c r="AW211" t="inlineStr">
        <is>
          <t>141751238:eng</t>
        </is>
      </c>
      <c r="AX211" t="inlineStr">
        <is>
          <t>34767506</t>
        </is>
      </c>
      <c r="AY211" t="inlineStr">
        <is>
          <t>991001556269702656</t>
        </is>
      </c>
      <c r="AZ211" t="inlineStr">
        <is>
          <t>991001556269702656</t>
        </is>
      </c>
      <c r="BA211" t="inlineStr">
        <is>
          <t>2270772640002656</t>
        </is>
      </c>
      <c r="BB211" t="inlineStr">
        <is>
          <t>BOOK</t>
        </is>
      </c>
      <c r="BD211" t="inlineStr">
        <is>
          <t>9780397552160</t>
        </is>
      </c>
      <c r="BE211" t="inlineStr">
        <is>
          <t>30001003670991</t>
        </is>
      </c>
      <c r="BF211" t="inlineStr">
        <is>
          <t>893468022</t>
        </is>
      </c>
    </row>
    <row r="212">
      <c r="A212" t="inlineStr">
        <is>
          <t>No</t>
        </is>
      </c>
      <c r="B212" t="inlineStr">
        <is>
          <t>CUHSL</t>
        </is>
      </c>
      <c r="C212" t="inlineStr">
        <is>
          <t>SHELVES</t>
        </is>
      </c>
      <c r="D212" t="inlineStr">
        <is>
          <t>WA309 W87345 2004</t>
        </is>
      </c>
      <c r="E212" t="inlineStr">
        <is>
          <t>0                      WA 0309000W  87345       2004</t>
        </is>
      </c>
      <c r="F212" t="inlineStr">
        <is>
          <t>Women's health in mid-life : a primary care guide / edited by Jo Ann Rosenfeld.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Cambridge, UK ; New York, NY : Cambridge, 2004.</t>
        </is>
      </c>
      <c r="O212" t="inlineStr">
        <is>
          <t>2004</t>
        </is>
      </c>
      <c r="Q212" t="inlineStr">
        <is>
          <t>eng</t>
        </is>
      </c>
      <c r="R212" t="inlineStr">
        <is>
          <t>enk</t>
        </is>
      </c>
      <c r="T212" t="inlineStr">
        <is>
          <t xml:space="preserve">WA </t>
        </is>
      </c>
      <c r="U212" t="n">
        <v>1</v>
      </c>
      <c r="V212" t="n">
        <v>1</v>
      </c>
      <c r="W212" t="inlineStr">
        <is>
          <t>2004-10-31</t>
        </is>
      </c>
      <c r="X212" t="inlineStr">
        <is>
          <t>2004-10-31</t>
        </is>
      </c>
      <c r="Y212" t="inlineStr">
        <is>
          <t>2004-10-29</t>
        </is>
      </c>
      <c r="Z212" t="inlineStr">
        <is>
          <t>2004-10-29</t>
        </is>
      </c>
      <c r="AA212" t="n">
        <v>242</v>
      </c>
      <c r="AB212" t="n">
        <v>159</v>
      </c>
      <c r="AC212" t="n">
        <v>756</v>
      </c>
      <c r="AD212" t="n">
        <v>1</v>
      </c>
      <c r="AE212" t="n">
        <v>18</v>
      </c>
      <c r="AF212" t="n">
        <v>6</v>
      </c>
      <c r="AG212" t="n">
        <v>35</v>
      </c>
      <c r="AH212" t="n">
        <v>1</v>
      </c>
      <c r="AI212" t="n">
        <v>11</v>
      </c>
      <c r="AJ212" t="n">
        <v>3</v>
      </c>
      <c r="AK212" t="n">
        <v>7</v>
      </c>
      <c r="AL212" t="n">
        <v>3</v>
      </c>
      <c r="AM212" t="n">
        <v>10</v>
      </c>
      <c r="AN212" t="n">
        <v>0</v>
      </c>
      <c r="AO212" t="n">
        <v>10</v>
      </c>
      <c r="AP212" t="n">
        <v>0</v>
      </c>
      <c r="AQ212" t="n">
        <v>1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HYPERLINK("https://creighton-primo.hosted.exlibrisgroup.com/primo-explore/search?tab=default_tab&amp;search_scope=EVERYTHING&amp;vid=01CRU&amp;lang=en_US&amp;offset=0&amp;query=any,contains,991000405319702656","Catalog Record")</f>
        <v/>
      </c>
      <c r="AV212">
        <f>HYPERLINK("http://www.worldcat.org/oclc/52819760","WorldCat Record")</f>
        <v/>
      </c>
      <c r="AW212" t="inlineStr">
        <is>
          <t>865186756:eng</t>
        </is>
      </c>
      <c r="AX212" t="inlineStr">
        <is>
          <t>52819760</t>
        </is>
      </c>
      <c r="AY212" t="inlineStr">
        <is>
          <t>991000405319702656</t>
        </is>
      </c>
      <c r="AZ212" t="inlineStr">
        <is>
          <t>991000405319702656</t>
        </is>
      </c>
      <c r="BA212" t="inlineStr">
        <is>
          <t>2268248380002656</t>
        </is>
      </c>
      <c r="BB212" t="inlineStr">
        <is>
          <t>BOOK</t>
        </is>
      </c>
      <c r="BD212" t="inlineStr">
        <is>
          <t>9780521823401</t>
        </is>
      </c>
      <c r="BE212" t="inlineStr">
        <is>
          <t>30001004924223</t>
        </is>
      </c>
      <c r="BF212" t="inlineStr">
        <is>
          <t>893163405</t>
        </is>
      </c>
    </row>
    <row r="213">
      <c r="A213" t="inlineStr">
        <is>
          <t>No</t>
        </is>
      </c>
      <c r="B213" t="inlineStr">
        <is>
          <t>CUHSL</t>
        </is>
      </c>
      <c r="C213" t="inlineStr">
        <is>
          <t>SHELVES</t>
        </is>
      </c>
      <c r="D213" t="inlineStr">
        <is>
          <t>WA 309 W8738 2003</t>
        </is>
      </c>
      <c r="E213" t="inlineStr">
        <is>
          <t>0                      WA 0309000W  8738        2003</t>
        </is>
      </c>
      <c r="F213" t="inlineStr">
        <is>
          <t>Women's health nursing : toward evidence-based practice / [edited by] Eileen T. Breslin, Vicki A. Lucas.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St. Louis, Mo. : Saunders, c2003.</t>
        </is>
      </c>
      <c r="O213" t="inlineStr">
        <is>
          <t>2003</t>
        </is>
      </c>
      <c r="Q213" t="inlineStr">
        <is>
          <t>eng</t>
        </is>
      </c>
      <c r="R213" t="inlineStr">
        <is>
          <t>mou</t>
        </is>
      </c>
      <c r="T213" t="inlineStr">
        <is>
          <t xml:space="preserve">WA </t>
        </is>
      </c>
      <c r="U213" t="n">
        <v>0</v>
      </c>
      <c r="V213" t="n">
        <v>0</v>
      </c>
      <c r="W213" t="inlineStr">
        <is>
          <t>2003-11-06</t>
        </is>
      </c>
      <c r="X213" t="inlineStr">
        <is>
          <t>2003-11-06</t>
        </is>
      </c>
      <c r="Y213" t="inlineStr">
        <is>
          <t>2003-11-06</t>
        </is>
      </c>
      <c r="Z213" t="inlineStr">
        <is>
          <t>2003-11-06</t>
        </is>
      </c>
      <c r="AA213" t="n">
        <v>280</v>
      </c>
      <c r="AB213" t="n">
        <v>201</v>
      </c>
      <c r="AC213" t="n">
        <v>208</v>
      </c>
      <c r="AD213" t="n">
        <v>0</v>
      </c>
      <c r="AE213" t="n">
        <v>0</v>
      </c>
      <c r="AF213" t="n">
        <v>9</v>
      </c>
      <c r="AG213" t="n">
        <v>9</v>
      </c>
      <c r="AH213" t="n">
        <v>4</v>
      </c>
      <c r="AI213" t="n">
        <v>4</v>
      </c>
      <c r="AJ213" t="n">
        <v>2</v>
      </c>
      <c r="AK213" t="n">
        <v>2</v>
      </c>
      <c r="AL213" t="n">
        <v>3</v>
      </c>
      <c r="AM213" t="n">
        <v>3</v>
      </c>
      <c r="AN213" t="n">
        <v>0</v>
      </c>
      <c r="AO213" t="n">
        <v>0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HYPERLINK("http://catalog.hathitrust.org/Record/004329739","HathiTrust Record")</f>
        <v/>
      </c>
      <c r="AU213">
        <f>HYPERLINK("https://creighton-primo.hosted.exlibrisgroup.com/primo-explore/search?tab=default_tab&amp;search_scope=EVERYTHING&amp;vid=01CRU&amp;lang=en_US&amp;offset=0&amp;query=any,contains,991001723499702656","Catalog Record")</f>
        <v/>
      </c>
      <c r="AV213">
        <f>HYPERLINK("http://www.worldcat.org/oclc/52511006","WorldCat Record")</f>
        <v/>
      </c>
      <c r="AW213" t="inlineStr">
        <is>
          <t>839793483:eng</t>
        </is>
      </c>
      <c r="AX213" t="inlineStr">
        <is>
          <t>52511006</t>
        </is>
      </c>
      <c r="AY213" t="inlineStr">
        <is>
          <t>991001723499702656</t>
        </is>
      </c>
      <c r="AZ213" t="inlineStr">
        <is>
          <t>991001723499702656</t>
        </is>
      </c>
      <c r="BA213" t="inlineStr">
        <is>
          <t>2263697700002656</t>
        </is>
      </c>
      <c r="BB213" t="inlineStr">
        <is>
          <t>BOOK</t>
        </is>
      </c>
      <c r="BD213" t="inlineStr">
        <is>
          <t>9780721674230</t>
        </is>
      </c>
      <c r="BE213" t="inlineStr">
        <is>
          <t>30001004507473</t>
        </is>
      </c>
      <c r="BF213" t="inlineStr">
        <is>
          <t>893377523</t>
        </is>
      </c>
    </row>
    <row r="214">
      <c r="A214" t="inlineStr">
        <is>
          <t>No</t>
        </is>
      </c>
      <c r="B214" t="inlineStr">
        <is>
          <t>CUHSL</t>
        </is>
      </c>
      <c r="C214" t="inlineStr">
        <is>
          <t>SHELVES</t>
        </is>
      </c>
      <c r="D214" t="inlineStr">
        <is>
          <t>WA 309 W8743 1997</t>
        </is>
      </c>
      <c r="E214" t="inlineStr">
        <is>
          <t>0                      WA 0309000W  8743        1997</t>
        </is>
      </c>
      <c r="F214" t="inlineStr">
        <is>
          <t>Women's health research : a medical and policy primer / Society for the Advancement of Women's Health Research ; Florence P. Haseltine, editor ; Beverly Greenberg Jacobson, executive editor ; Lynne Beauregard ... [et al.].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N214" t="inlineStr">
        <is>
          <t>Washington, DC : Health Press International, c1997.</t>
        </is>
      </c>
      <c r="O214" t="inlineStr">
        <is>
          <t>1997</t>
        </is>
      </c>
      <c r="P214" t="inlineStr">
        <is>
          <t>1st ed.</t>
        </is>
      </c>
      <c r="Q214" t="inlineStr">
        <is>
          <t>eng</t>
        </is>
      </c>
      <c r="R214" t="inlineStr">
        <is>
          <t>dcu</t>
        </is>
      </c>
      <c r="T214" t="inlineStr">
        <is>
          <t xml:space="preserve">WA </t>
        </is>
      </c>
      <c r="U214" t="n">
        <v>5</v>
      </c>
      <c r="V214" t="n">
        <v>5</v>
      </c>
      <c r="W214" t="inlineStr">
        <is>
          <t>1999-02-26</t>
        </is>
      </c>
      <c r="X214" t="inlineStr">
        <is>
          <t>1999-02-26</t>
        </is>
      </c>
      <c r="Y214" t="inlineStr">
        <is>
          <t>1997-09-19</t>
        </is>
      </c>
      <c r="Z214" t="inlineStr">
        <is>
          <t>1997-09-19</t>
        </is>
      </c>
      <c r="AA214" t="n">
        <v>379</v>
      </c>
      <c r="AB214" t="n">
        <v>339</v>
      </c>
      <c r="AC214" t="n">
        <v>346</v>
      </c>
      <c r="AD214" t="n">
        <v>4</v>
      </c>
      <c r="AE214" t="n">
        <v>4</v>
      </c>
      <c r="AF214" t="n">
        <v>19</v>
      </c>
      <c r="AG214" t="n">
        <v>19</v>
      </c>
      <c r="AH214" t="n">
        <v>7</v>
      </c>
      <c r="AI214" t="n">
        <v>7</v>
      </c>
      <c r="AJ214" t="n">
        <v>3</v>
      </c>
      <c r="AK214" t="n">
        <v>3</v>
      </c>
      <c r="AL214" t="n">
        <v>9</v>
      </c>
      <c r="AM214" t="n">
        <v>9</v>
      </c>
      <c r="AN214" t="n">
        <v>3</v>
      </c>
      <c r="AO214" t="n">
        <v>3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HYPERLINK("http://catalog.hathitrust.org/Record/003957702","HathiTrust Record")</f>
        <v/>
      </c>
      <c r="AU214">
        <f>HYPERLINK("https://creighton-primo.hosted.exlibrisgroup.com/primo-explore/search?tab=default_tab&amp;search_scope=EVERYTHING&amp;vid=01CRU&amp;lang=en_US&amp;offset=0&amp;query=any,contains,991001563199702656","Catalog Record")</f>
        <v/>
      </c>
      <c r="AV214">
        <f>HYPERLINK("http://www.worldcat.org/oclc/35657907","WorldCat Record")</f>
        <v/>
      </c>
      <c r="AW214" t="inlineStr">
        <is>
          <t>474885431:eng</t>
        </is>
      </c>
      <c r="AX214" t="inlineStr">
        <is>
          <t>35657907</t>
        </is>
      </c>
      <c r="AY214" t="inlineStr">
        <is>
          <t>991001563199702656</t>
        </is>
      </c>
      <c r="AZ214" t="inlineStr">
        <is>
          <t>991001563199702656</t>
        </is>
      </c>
      <c r="BA214" t="inlineStr">
        <is>
          <t>2256900640002656</t>
        </is>
      </c>
      <c r="BB214" t="inlineStr">
        <is>
          <t>BOOK</t>
        </is>
      </c>
      <c r="BD214" t="inlineStr">
        <is>
          <t>9780880487917</t>
        </is>
      </c>
      <c r="BE214" t="inlineStr">
        <is>
          <t>30001003626084</t>
        </is>
      </c>
      <c r="BF214" t="inlineStr">
        <is>
          <t>893374739</t>
        </is>
      </c>
    </row>
    <row r="215">
      <c r="A215" t="inlineStr">
        <is>
          <t>No</t>
        </is>
      </c>
      <c r="B215" t="inlineStr">
        <is>
          <t>CUHSL</t>
        </is>
      </c>
      <c r="C215" t="inlineStr">
        <is>
          <t>SHELVES</t>
        </is>
      </c>
      <c r="D215" t="inlineStr">
        <is>
          <t>WA 309 Z58w 1998</t>
        </is>
      </c>
      <c r="E215" t="inlineStr">
        <is>
          <t>0                      WA 0309000Z  58w         1998</t>
        </is>
      </c>
      <c r="F215" t="inlineStr">
        <is>
          <t>Women's mental health in primary care / Kathryn J. Zerbe.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Zerbe, Kathryn J., 1951-</t>
        </is>
      </c>
      <c r="N215" t="inlineStr">
        <is>
          <t>Philadelphia : W.B. Saunders, c1999</t>
        </is>
      </c>
      <c r="O215" t="inlineStr">
        <is>
          <t>1999</t>
        </is>
      </c>
      <c r="Q215" t="inlineStr">
        <is>
          <t>eng</t>
        </is>
      </c>
      <c r="R215" t="inlineStr">
        <is>
          <t>pau</t>
        </is>
      </c>
      <c r="T215" t="inlineStr">
        <is>
          <t xml:space="preserve">WA </t>
        </is>
      </c>
      <c r="U215" t="n">
        <v>5</v>
      </c>
      <c r="V215" t="n">
        <v>5</v>
      </c>
      <c r="W215" t="inlineStr">
        <is>
          <t>2000-05-20</t>
        </is>
      </c>
      <c r="X215" t="inlineStr">
        <is>
          <t>2000-05-20</t>
        </is>
      </c>
      <c r="Y215" t="inlineStr">
        <is>
          <t>1999-09-24</t>
        </is>
      </c>
      <c r="Z215" t="inlineStr">
        <is>
          <t>1999-09-24</t>
        </is>
      </c>
      <c r="AA215" t="n">
        <v>212</v>
      </c>
      <c r="AB215" t="n">
        <v>164</v>
      </c>
      <c r="AC215" t="n">
        <v>166</v>
      </c>
      <c r="AD215" t="n">
        <v>1</v>
      </c>
      <c r="AE215" t="n">
        <v>1</v>
      </c>
      <c r="AF215" t="n">
        <v>7</v>
      </c>
      <c r="AG215" t="n">
        <v>7</v>
      </c>
      <c r="AH215" t="n">
        <v>2</v>
      </c>
      <c r="AI215" t="n">
        <v>2</v>
      </c>
      <c r="AJ215" t="n">
        <v>2</v>
      </c>
      <c r="AK215" t="n">
        <v>2</v>
      </c>
      <c r="AL215" t="n">
        <v>6</v>
      </c>
      <c r="AM215" t="n">
        <v>6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HYPERLINK("http://catalog.hathitrust.org/Record/004015910","HathiTrust Record")</f>
        <v/>
      </c>
      <c r="AU215">
        <f>HYPERLINK("https://creighton-primo.hosted.exlibrisgroup.com/primo-explore/search?tab=default_tab&amp;search_scope=EVERYTHING&amp;vid=01CRU&amp;lang=en_US&amp;offset=0&amp;query=any,contains,991000595529702656","Catalog Record")</f>
        <v/>
      </c>
      <c r="AV215">
        <f>HYPERLINK("http://www.worldcat.org/oclc/39131260","WorldCat Record")</f>
        <v/>
      </c>
      <c r="AW215" t="inlineStr">
        <is>
          <t>42266936:eng</t>
        </is>
      </c>
      <c r="AX215" t="inlineStr">
        <is>
          <t>39131260</t>
        </is>
      </c>
      <c r="AY215" t="inlineStr">
        <is>
          <t>991000595529702656</t>
        </is>
      </c>
      <c r="AZ215" t="inlineStr">
        <is>
          <t>991000595529702656</t>
        </is>
      </c>
      <c r="BA215" t="inlineStr">
        <is>
          <t>2264507450002656</t>
        </is>
      </c>
      <c r="BB215" t="inlineStr">
        <is>
          <t>BOOK</t>
        </is>
      </c>
      <c r="BD215" t="inlineStr">
        <is>
          <t>9780721672397</t>
        </is>
      </c>
      <c r="BE215" t="inlineStr">
        <is>
          <t>30001004014884</t>
        </is>
      </c>
      <c r="BF215" t="inlineStr">
        <is>
          <t>893118527</t>
        </is>
      </c>
    </row>
    <row r="216">
      <c r="A216" t="inlineStr">
        <is>
          <t>No</t>
        </is>
      </c>
      <c r="B216" t="inlineStr">
        <is>
          <t>CUHSL</t>
        </is>
      </c>
      <c r="C216" t="inlineStr">
        <is>
          <t>SHELVES</t>
        </is>
      </c>
      <c r="D216" t="inlineStr">
        <is>
          <t>WA 309 Z999 2000</t>
        </is>
      </c>
      <c r="E216" t="inlineStr">
        <is>
          <t>0                      WA 0309000Z  999         2000</t>
        </is>
      </c>
      <c r="F216" t="inlineStr">
        <is>
          <t>20 common problems in women's health care / editors, Mindy A. Smith, Leslie A. Shimp.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McGraw-Hill, Health Professions Division, c2000.</t>
        </is>
      </c>
      <c r="O216" t="inlineStr">
        <is>
          <t>2000</t>
        </is>
      </c>
      <c r="Q216" t="inlineStr">
        <is>
          <t>eng</t>
        </is>
      </c>
      <c r="R216" t="inlineStr">
        <is>
          <t>nyu</t>
        </is>
      </c>
      <c r="S216" t="inlineStr">
        <is>
          <t>20 common problems</t>
        </is>
      </c>
      <c r="T216" t="inlineStr">
        <is>
          <t xml:space="preserve">WA </t>
        </is>
      </c>
      <c r="U216" t="n">
        <v>0</v>
      </c>
      <c r="V216" t="n">
        <v>0</v>
      </c>
      <c r="W216" t="inlineStr">
        <is>
          <t>2006-09-11</t>
        </is>
      </c>
      <c r="X216" t="inlineStr">
        <is>
          <t>2006-09-11</t>
        </is>
      </c>
      <c r="Y216" t="inlineStr">
        <is>
          <t>2006-09-11</t>
        </is>
      </c>
      <c r="Z216" t="inlineStr">
        <is>
          <t>2006-09-11</t>
        </is>
      </c>
      <c r="AA216" t="n">
        <v>193</v>
      </c>
      <c r="AB216" t="n">
        <v>133</v>
      </c>
      <c r="AC216" t="n">
        <v>140</v>
      </c>
      <c r="AD216" t="n">
        <v>1</v>
      </c>
      <c r="AE216" t="n">
        <v>1</v>
      </c>
      <c r="AF216" t="n">
        <v>4</v>
      </c>
      <c r="AG216" t="n">
        <v>4</v>
      </c>
      <c r="AH216" t="n">
        <v>3</v>
      </c>
      <c r="AI216" t="n">
        <v>3</v>
      </c>
      <c r="AJ216" t="n">
        <v>1</v>
      </c>
      <c r="AK216" t="n">
        <v>1</v>
      </c>
      <c r="AL216" t="n">
        <v>1</v>
      </c>
      <c r="AM216" t="n">
        <v>1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HYPERLINK("http://catalog.hathitrust.org/Record/003483118","HathiTrust Record")</f>
        <v/>
      </c>
      <c r="AU216">
        <f>HYPERLINK("https://creighton-primo.hosted.exlibrisgroup.com/primo-explore/search?tab=default_tab&amp;search_scope=EVERYTHING&amp;vid=01CRU&amp;lang=en_US&amp;offset=0&amp;query=any,contains,991000537089702656","Catalog Record")</f>
        <v/>
      </c>
      <c r="AV216">
        <f>HYPERLINK("http://www.worldcat.org/oclc/41926137","WorldCat Record")</f>
        <v/>
      </c>
      <c r="AW216" t="inlineStr">
        <is>
          <t>353587948:eng</t>
        </is>
      </c>
      <c r="AX216" t="inlineStr">
        <is>
          <t>41926137</t>
        </is>
      </c>
      <c r="AY216" t="inlineStr">
        <is>
          <t>991000537089702656</t>
        </is>
      </c>
      <c r="AZ216" t="inlineStr">
        <is>
          <t>991000537089702656</t>
        </is>
      </c>
      <c r="BA216" t="inlineStr">
        <is>
          <t>2255164250002656</t>
        </is>
      </c>
      <c r="BB216" t="inlineStr">
        <is>
          <t>BOOK</t>
        </is>
      </c>
      <c r="BD216" t="inlineStr">
        <is>
          <t>9780070697676</t>
        </is>
      </c>
      <c r="BE216" t="inlineStr">
        <is>
          <t>30001005120532</t>
        </is>
      </c>
      <c r="BF216" t="inlineStr">
        <is>
          <t>893143398</t>
        </is>
      </c>
    </row>
    <row r="217">
      <c r="A217" t="inlineStr">
        <is>
          <t>No</t>
        </is>
      </c>
      <c r="B217" t="inlineStr">
        <is>
          <t>CUHSL</t>
        </is>
      </c>
      <c r="C217" t="inlineStr">
        <is>
          <t>SHELVES</t>
        </is>
      </c>
      <c r="D217" t="inlineStr">
        <is>
          <t>WA 310 F363p 1987</t>
        </is>
      </c>
      <c r="E217" t="inlineStr">
        <is>
          <t>0                      WA 0310000F  363p        1987</t>
        </is>
      </c>
      <c r="F217" t="inlineStr">
        <is>
          <t>The population policy of Sri Lanka : an ethical evaluation in the light of Catholic moral theology / Emmanuel F. Fernando.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Fernando, Emmanuel F.</t>
        </is>
      </c>
      <c r="N217" t="inlineStr">
        <is>
          <t>Ann Arbor, Mich. : U.M.I. Dissertation Services, 1990, c1987.</t>
        </is>
      </c>
      <c r="O217" t="inlineStr">
        <is>
          <t>1987</t>
        </is>
      </c>
      <c r="Q217" t="inlineStr">
        <is>
          <t>eng</t>
        </is>
      </c>
      <c r="R217" t="inlineStr">
        <is>
          <t xml:space="preserve">xx </t>
        </is>
      </c>
      <c r="T217" t="inlineStr">
        <is>
          <t xml:space="preserve">WA </t>
        </is>
      </c>
      <c r="U217" t="n">
        <v>6</v>
      </c>
      <c r="V217" t="n">
        <v>6</v>
      </c>
      <c r="W217" t="inlineStr">
        <is>
          <t>1994-09-14</t>
        </is>
      </c>
      <c r="X217" t="inlineStr">
        <is>
          <t>1994-09-14</t>
        </is>
      </c>
      <c r="Y217" t="inlineStr">
        <is>
          <t>1990-08-28</t>
        </is>
      </c>
      <c r="Z217" t="inlineStr">
        <is>
          <t>1990-08-28</t>
        </is>
      </c>
      <c r="AA217" t="n">
        <v>3</v>
      </c>
      <c r="AB217" t="n">
        <v>3</v>
      </c>
      <c r="AC217" t="n">
        <v>3</v>
      </c>
      <c r="AD217" t="n">
        <v>1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inlineStr">
        <is>
          <t>No</t>
        </is>
      </c>
      <c r="AS217" t="inlineStr">
        <is>
          <t>No</t>
        </is>
      </c>
      <c r="AU217">
        <f>HYPERLINK("https://creighton-primo.hosted.exlibrisgroup.com/primo-explore/search?tab=default_tab&amp;search_scope=EVERYTHING&amp;vid=01CRU&amp;lang=en_US&amp;offset=0&amp;query=any,contains,991001453409702656","Catalog Record")</f>
        <v/>
      </c>
      <c r="AV217">
        <f>HYPERLINK("http://www.worldcat.org/oclc/21135734","WorldCat Record")</f>
        <v/>
      </c>
      <c r="AW217" t="inlineStr">
        <is>
          <t>22633073:eng</t>
        </is>
      </c>
      <c r="AX217" t="inlineStr">
        <is>
          <t>21135734</t>
        </is>
      </c>
      <c r="AY217" t="inlineStr">
        <is>
          <t>991001453409702656</t>
        </is>
      </c>
      <c r="AZ217" t="inlineStr">
        <is>
          <t>991001453409702656</t>
        </is>
      </c>
      <c r="BA217" t="inlineStr">
        <is>
          <t>2265510730002656</t>
        </is>
      </c>
      <c r="BB217" t="inlineStr">
        <is>
          <t>BOOK</t>
        </is>
      </c>
      <c r="BE217" t="inlineStr">
        <is>
          <t>30001001884057</t>
        </is>
      </c>
      <c r="BF217" t="inlineStr">
        <is>
          <t>893638329</t>
        </is>
      </c>
    </row>
    <row r="218">
      <c r="A218" t="inlineStr">
        <is>
          <t>No</t>
        </is>
      </c>
      <c r="B218" t="inlineStr">
        <is>
          <t>CUHSL</t>
        </is>
      </c>
      <c r="C218" t="inlineStr">
        <is>
          <t>SHELVES</t>
        </is>
      </c>
      <c r="D218" t="inlineStr">
        <is>
          <t>WA 310 M425 1989-91</t>
        </is>
      </c>
      <c r="E218" t="inlineStr">
        <is>
          <t>0                      WA 0310000M  425         1989                                        -91</t>
        </is>
      </c>
      <c r="F218" t="inlineStr">
        <is>
          <t>Maternal and child health research program : completed projects 1989, 1990 and 1991 / supported by Maternal and Child Health Bureau, Health Resources and Services Administration, Public Health Service, U.S. Department of Health and Human Services.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Arlington, Va. : National Center for Education in Maternal and Child Health, [1993]</t>
        </is>
      </c>
      <c r="O218" t="inlineStr">
        <is>
          <t>1993</t>
        </is>
      </c>
      <c r="Q218" t="inlineStr">
        <is>
          <t>eng</t>
        </is>
      </c>
      <c r="R218" t="inlineStr">
        <is>
          <t>vau</t>
        </is>
      </c>
      <c r="T218" t="inlineStr">
        <is>
          <t xml:space="preserve">WA </t>
        </is>
      </c>
      <c r="U218" t="n">
        <v>2</v>
      </c>
      <c r="V218" t="n">
        <v>2</v>
      </c>
      <c r="W218" t="inlineStr">
        <is>
          <t>2007-03-05</t>
        </is>
      </c>
      <c r="X218" t="inlineStr">
        <is>
          <t>2007-03-05</t>
        </is>
      </c>
      <c r="Y218" t="inlineStr">
        <is>
          <t>1995-02-22</t>
        </is>
      </c>
      <c r="Z218" t="inlineStr">
        <is>
          <t>1995-02-22</t>
        </is>
      </c>
      <c r="AA218" t="n">
        <v>11</v>
      </c>
      <c r="AB218" t="n">
        <v>11</v>
      </c>
      <c r="AC218" t="n">
        <v>16</v>
      </c>
      <c r="AD218" t="n">
        <v>1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No</t>
        </is>
      </c>
      <c r="AU218">
        <f>HYPERLINK("https://creighton-primo.hosted.exlibrisgroup.com/primo-explore/search?tab=default_tab&amp;search_scope=EVERYTHING&amp;vid=01CRU&amp;lang=en_US&amp;offset=0&amp;query=any,contains,991000686679702656","Catalog Record")</f>
        <v/>
      </c>
      <c r="AV218">
        <f>HYPERLINK("http://www.worldcat.org/oclc/30116083","WorldCat Record")</f>
        <v/>
      </c>
      <c r="AW218" t="inlineStr">
        <is>
          <t>9254500608:eng</t>
        </is>
      </c>
      <c r="AX218" t="inlineStr">
        <is>
          <t>30116083</t>
        </is>
      </c>
      <c r="AY218" t="inlineStr">
        <is>
          <t>991000686679702656</t>
        </is>
      </c>
      <c r="AZ218" t="inlineStr">
        <is>
          <t>991000686679702656</t>
        </is>
      </c>
      <c r="BA218" t="inlineStr">
        <is>
          <t>2261187790002656</t>
        </is>
      </c>
      <c r="BB218" t="inlineStr">
        <is>
          <t>BOOK</t>
        </is>
      </c>
      <c r="BE218" t="inlineStr">
        <is>
          <t>30001002699223</t>
        </is>
      </c>
      <c r="BF218" t="inlineStr">
        <is>
          <t>893272836</t>
        </is>
      </c>
    </row>
    <row r="219">
      <c r="A219" t="inlineStr">
        <is>
          <t>No</t>
        </is>
      </c>
      <c r="B219" t="inlineStr">
        <is>
          <t>CUHSL</t>
        </is>
      </c>
      <c r="C219" t="inlineStr">
        <is>
          <t>SHELVES</t>
        </is>
      </c>
      <c r="D219" t="inlineStr">
        <is>
          <t>WA 310 M4254 1990</t>
        </is>
      </c>
      <c r="E219" t="inlineStr">
        <is>
          <t>0                      WA 0310000M  4254        1990</t>
        </is>
      </c>
      <c r="F219" t="inlineStr">
        <is>
          <t>Maternal-child health policy : a nursing perspective / Janet Nielson Natapoff, Rita Reis Wieczorek, editors.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N219" t="inlineStr">
        <is>
          <t>New York : Springer Pub. Co., c1990.</t>
        </is>
      </c>
      <c r="O219" t="inlineStr">
        <is>
          <t>1990</t>
        </is>
      </c>
      <c r="Q219" t="inlineStr">
        <is>
          <t>eng</t>
        </is>
      </c>
      <c r="R219" t="inlineStr">
        <is>
          <t>xxu</t>
        </is>
      </c>
      <c r="T219" t="inlineStr">
        <is>
          <t xml:space="preserve">WA </t>
        </is>
      </c>
      <c r="U219" t="n">
        <v>6</v>
      </c>
      <c r="V219" t="n">
        <v>6</v>
      </c>
      <c r="W219" t="inlineStr">
        <is>
          <t>1998-07-07</t>
        </is>
      </c>
      <c r="X219" t="inlineStr">
        <is>
          <t>1998-07-07</t>
        </is>
      </c>
      <c r="Y219" t="inlineStr">
        <is>
          <t>1990-06-15</t>
        </is>
      </c>
      <c r="Z219" t="inlineStr">
        <is>
          <t>1990-06-15</t>
        </is>
      </c>
      <c r="AA219" t="n">
        <v>291</v>
      </c>
      <c r="AB219" t="n">
        <v>253</v>
      </c>
      <c r="AC219" t="n">
        <v>255</v>
      </c>
      <c r="AD219" t="n">
        <v>1</v>
      </c>
      <c r="AE219" t="n">
        <v>1</v>
      </c>
      <c r="AF219" t="n">
        <v>10</v>
      </c>
      <c r="AG219" t="n">
        <v>10</v>
      </c>
      <c r="AH219" t="n">
        <v>5</v>
      </c>
      <c r="AI219" t="n">
        <v>5</v>
      </c>
      <c r="AJ219" t="n">
        <v>1</v>
      </c>
      <c r="AK219" t="n">
        <v>1</v>
      </c>
      <c r="AL219" t="n">
        <v>5</v>
      </c>
      <c r="AM219" t="n">
        <v>5</v>
      </c>
      <c r="AN219" t="n">
        <v>0</v>
      </c>
      <c r="AO219" t="n">
        <v>0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HYPERLINK("http://catalog.hathitrust.org/Record/002435294","HathiTrust Record")</f>
        <v/>
      </c>
      <c r="AU219">
        <f>HYPERLINK("https://creighton-primo.hosted.exlibrisgroup.com/primo-explore/search?tab=default_tab&amp;search_scope=EVERYTHING&amp;vid=01CRU&amp;lang=en_US&amp;offset=0&amp;query=any,contains,991001449299702656","Catalog Record")</f>
        <v/>
      </c>
      <c r="AV219">
        <f>HYPERLINK("http://www.worldcat.org/oclc/21038130","WorldCat Record")</f>
        <v/>
      </c>
      <c r="AW219" t="inlineStr">
        <is>
          <t>967528:eng</t>
        </is>
      </c>
      <c r="AX219" t="inlineStr">
        <is>
          <t>21038130</t>
        </is>
      </c>
      <c r="AY219" t="inlineStr">
        <is>
          <t>991001449299702656</t>
        </is>
      </c>
      <c r="AZ219" t="inlineStr">
        <is>
          <t>991001449299702656</t>
        </is>
      </c>
      <c r="BA219" t="inlineStr">
        <is>
          <t>2271944800002656</t>
        </is>
      </c>
      <c r="BB219" t="inlineStr">
        <is>
          <t>BOOK</t>
        </is>
      </c>
      <c r="BD219" t="inlineStr">
        <is>
          <t>9780826160508</t>
        </is>
      </c>
      <c r="BE219" t="inlineStr">
        <is>
          <t>30001001882341</t>
        </is>
      </c>
      <c r="BF219" t="inlineStr">
        <is>
          <t>893743794</t>
        </is>
      </c>
    </row>
    <row r="220">
      <c r="A220" t="inlineStr">
        <is>
          <t>No</t>
        </is>
      </c>
      <c r="B220" t="inlineStr">
        <is>
          <t>CUHSL</t>
        </is>
      </c>
      <c r="C220" t="inlineStr">
        <is>
          <t>SHELVES</t>
        </is>
      </c>
      <c r="D220" t="inlineStr">
        <is>
          <t>WA 310 P876 1992</t>
        </is>
      </c>
      <c r="E220" t="inlineStr">
        <is>
          <t>0                      WA 0310000P  876         1992</t>
        </is>
      </c>
      <c r="F220" t="inlineStr">
        <is>
          <t>A Pound of prevention : the case for universal maternity care in the U.S. / edited by Jonathan B. Kotch ... [et al.].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Washington, DC : American Public Health Association, c1992.</t>
        </is>
      </c>
      <c r="O220" t="inlineStr">
        <is>
          <t>1992</t>
        </is>
      </c>
      <c r="Q220" t="inlineStr">
        <is>
          <t>eng</t>
        </is>
      </c>
      <c r="R220" t="inlineStr">
        <is>
          <t>dcu</t>
        </is>
      </c>
      <c r="T220" t="inlineStr">
        <is>
          <t xml:space="preserve">WA </t>
        </is>
      </c>
      <c r="U220" t="n">
        <v>12</v>
      </c>
      <c r="V220" t="n">
        <v>12</v>
      </c>
      <c r="W220" t="inlineStr">
        <is>
          <t>1996-12-03</t>
        </is>
      </c>
      <c r="X220" t="inlineStr">
        <is>
          <t>1996-12-03</t>
        </is>
      </c>
      <c r="Y220" t="inlineStr">
        <is>
          <t>1992-03-12</t>
        </is>
      </c>
      <c r="Z220" t="inlineStr">
        <is>
          <t>1992-03-12</t>
        </is>
      </c>
      <c r="AA220" t="n">
        <v>145</v>
      </c>
      <c r="AB220" t="n">
        <v>138</v>
      </c>
      <c r="AC220" t="n">
        <v>140</v>
      </c>
      <c r="AD220" t="n">
        <v>1</v>
      </c>
      <c r="AE220" t="n">
        <v>1</v>
      </c>
      <c r="AF220" t="n">
        <v>6</v>
      </c>
      <c r="AG220" t="n">
        <v>6</v>
      </c>
      <c r="AH220" t="n">
        <v>0</v>
      </c>
      <c r="AI220" t="n">
        <v>0</v>
      </c>
      <c r="AJ220" t="n">
        <v>3</v>
      </c>
      <c r="AK220" t="n">
        <v>3</v>
      </c>
      <c r="AL220" t="n">
        <v>4</v>
      </c>
      <c r="AM220" t="n">
        <v>4</v>
      </c>
      <c r="AN220" t="n">
        <v>0</v>
      </c>
      <c r="AO220" t="n">
        <v>0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HYPERLINK("http://catalog.hathitrust.org/Record/004521554","HathiTrust Record")</f>
        <v/>
      </c>
      <c r="AU220">
        <f>HYPERLINK("https://creighton-primo.hosted.exlibrisgroup.com/primo-explore/search?tab=default_tab&amp;search_scope=EVERYTHING&amp;vid=01CRU&amp;lang=en_US&amp;offset=0&amp;query=any,contains,991001033529702656","Catalog Record")</f>
        <v/>
      </c>
      <c r="AV220">
        <f>HYPERLINK("http://www.worldcat.org/oclc/29029388","WorldCat Record")</f>
        <v/>
      </c>
      <c r="AW220" t="inlineStr">
        <is>
          <t>1017185033:eng</t>
        </is>
      </c>
      <c r="AX220" t="inlineStr">
        <is>
          <t>29029388</t>
        </is>
      </c>
      <c r="AY220" t="inlineStr">
        <is>
          <t>991001033529702656</t>
        </is>
      </c>
      <c r="AZ220" t="inlineStr">
        <is>
          <t>991001033529702656</t>
        </is>
      </c>
      <c r="BA220" t="inlineStr">
        <is>
          <t>2264913110002656</t>
        </is>
      </c>
      <c r="BB220" t="inlineStr">
        <is>
          <t>BOOK</t>
        </is>
      </c>
      <c r="BD220" t="inlineStr">
        <is>
          <t>9780875532066</t>
        </is>
      </c>
      <c r="BE220" t="inlineStr">
        <is>
          <t>30001002244269</t>
        </is>
      </c>
      <c r="BF220" t="inlineStr">
        <is>
          <t>893268001</t>
        </is>
      </c>
    </row>
    <row r="221">
      <c r="A221" t="inlineStr">
        <is>
          <t>No</t>
        </is>
      </c>
      <c r="B221" t="inlineStr">
        <is>
          <t>CUHSL</t>
        </is>
      </c>
      <c r="C221" t="inlineStr">
        <is>
          <t>SHELVES</t>
        </is>
      </c>
      <c r="D221" t="inlineStr">
        <is>
          <t>WA 320 A512h 1987</t>
        </is>
      </c>
      <c r="E221" t="inlineStr">
        <is>
          <t>0                      WA 0320000A  512h        1987</t>
        </is>
      </c>
      <c r="F221" t="inlineStr">
        <is>
          <t>Health in day care : a manual for health professionals / author: Committee on Early Childhood Adoption and Dependent Care, American Academy of Pediatrics ; Selma R. Deitch, editor.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American Academy of Pediatrics. Committee on Early Childhood, Adoption, and Dependent Care.</t>
        </is>
      </c>
      <c r="N221" t="inlineStr">
        <is>
          <t>Elk Grove Village, Ill. : American Academy of Pediatrics, c1987.</t>
        </is>
      </c>
      <c r="O221" t="inlineStr">
        <is>
          <t>1987</t>
        </is>
      </c>
      <c r="Q221" t="inlineStr">
        <is>
          <t>eng</t>
        </is>
      </c>
      <c r="R221" t="inlineStr">
        <is>
          <t>ilu</t>
        </is>
      </c>
      <c r="T221" t="inlineStr">
        <is>
          <t xml:space="preserve">WA </t>
        </is>
      </c>
      <c r="U221" t="n">
        <v>6</v>
      </c>
      <c r="V221" t="n">
        <v>6</v>
      </c>
      <c r="W221" t="inlineStr">
        <is>
          <t>2004-09-16</t>
        </is>
      </c>
      <c r="X221" t="inlineStr">
        <is>
          <t>2004-09-16</t>
        </is>
      </c>
      <c r="Y221" t="inlineStr">
        <is>
          <t>1988-01-12</t>
        </is>
      </c>
      <c r="Z221" t="inlineStr">
        <is>
          <t>1988-01-12</t>
        </is>
      </c>
      <c r="AA221" t="n">
        <v>149</v>
      </c>
      <c r="AB221" t="n">
        <v>135</v>
      </c>
      <c r="AC221" t="n">
        <v>140</v>
      </c>
      <c r="AD221" t="n">
        <v>1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HYPERLINK("http://catalog.hathitrust.org/Record/004406815","HathiTrust Record")</f>
        <v/>
      </c>
      <c r="AU221">
        <f>HYPERLINK("https://creighton-primo.hosted.exlibrisgroup.com/primo-explore/search?tab=default_tab&amp;search_scope=EVERYTHING&amp;vid=01CRU&amp;lang=en_US&amp;offset=0&amp;query=any,contains,991001537279702656","Catalog Record")</f>
        <v/>
      </c>
      <c r="AV221">
        <f>HYPERLINK("http://www.worldcat.org/oclc/18053518","WorldCat Record")</f>
        <v/>
      </c>
      <c r="AW221" t="inlineStr">
        <is>
          <t>16357213:eng</t>
        </is>
      </c>
      <c r="AX221" t="inlineStr">
        <is>
          <t>18053518</t>
        </is>
      </c>
      <c r="AY221" t="inlineStr">
        <is>
          <t>991001537279702656</t>
        </is>
      </c>
      <c r="AZ221" t="inlineStr">
        <is>
          <t>991001537279702656</t>
        </is>
      </c>
      <c r="BA221" t="inlineStr">
        <is>
          <t>2257186490002656</t>
        </is>
      </c>
      <c r="BB221" t="inlineStr">
        <is>
          <t>BOOK</t>
        </is>
      </c>
      <c r="BE221" t="inlineStr">
        <is>
          <t>30001000623449</t>
        </is>
      </c>
      <c r="BF221" t="inlineStr">
        <is>
          <t>893268590</t>
        </is>
      </c>
    </row>
    <row r="222">
      <c r="A222" t="inlineStr">
        <is>
          <t>No</t>
        </is>
      </c>
      <c r="B222" t="inlineStr">
        <is>
          <t>CUHSL</t>
        </is>
      </c>
      <c r="C222" t="inlineStr">
        <is>
          <t>SHELVES</t>
        </is>
      </c>
      <c r="D222" t="inlineStr">
        <is>
          <t>WA 320 A654 1996</t>
        </is>
      </c>
      <c r="E222" t="inlineStr">
        <is>
          <t>0                      WA 0320000A  654         1996</t>
        </is>
      </c>
      <c r="F222" t="inlineStr">
        <is>
          <t>The APSAC handbook on child maltreatment / editors, John Briere ... [et al.].</t>
        </is>
      </c>
      <c r="H222" t="inlineStr">
        <is>
          <t>No</t>
        </is>
      </c>
      <c r="I222" t="inlineStr">
        <is>
          <t>1</t>
        </is>
      </c>
      <c r="J222" t="inlineStr">
        <is>
          <t>Yes</t>
        </is>
      </c>
      <c r="K222" t="inlineStr">
        <is>
          <t>No</t>
        </is>
      </c>
      <c r="L222" t="inlineStr">
        <is>
          <t>0</t>
        </is>
      </c>
      <c r="N222" t="inlineStr">
        <is>
          <t>Thousand Oaks : Sage Publications, c1996.</t>
        </is>
      </c>
      <c r="O222" t="inlineStr">
        <is>
          <t>1996</t>
        </is>
      </c>
      <c r="Q222" t="inlineStr">
        <is>
          <t>eng</t>
        </is>
      </c>
      <c r="R222" t="inlineStr">
        <is>
          <t>cau</t>
        </is>
      </c>
      <c r="T222" t="inlineStr">
        <is>
          <t xml:space="preserve">WA </t>
        </is>
      </c>
      <c r="U222" t="n">
        <v>10</v>
      </c>
      <c r="V222" t="n">
        <v>16</v>
      </c>
      <c r="W222" t="inlineStr">
        <is>
          <t>2008-12-22</t>
        </is>
      </c>
      <c r="X222" t="inlineStr">
        <is>
          <t>2008-12-22</t>
        </is>
      </c>
      <c r="Y222" t="inlineStr">
        <is>
          <t>1997-06-20</t>
        </is>
      </c>
      <c r="Z222" t="inlineStr">
        <is>
          <t>1997-06-20</t>
        </is>
      </c>
      <c r="AA222" t="n">
        <v>445</v>
      </c>
      <c r="AB222" t="n">
        <v>354</v>
      </c>
      <c r="AC222" t="n">
        <v>356</v>
      </c>
      <c r="AD222" t="n">
        <v>5</v>
      </c>
      <c r="AE222" t="n">
        <v>5</v>
      </c>
      <c r="AF222" t="n">
        <v>21</v>
      </c>
      <c r="AG222" t="n">
        <v>21</v>
      </c>
      <c r="AH222" t="n">
        <v>5</v>
      </c>
      <c r="AI222" t="n">
        <v>5</v>
      </c>
      <c r="AJ222" t="n">
        <v>5</v>
      </c>
      <c r="AK222" t="n">
        <v>5</v>
      </c>
      <c r="AL222" t="n">
        <v>12</v>
      </c>
      <c r="AM222" t="n">
        <v>12</v>
      </c>
      <c r="AN222" t="n">
        <v>3</v>
      </c>
      <c r="AO222" t="n">
        <v>3</v>
      </c>
      <c r="AP222" t="n">
        <v>2</v>
      </c>
      <c r="AQ222" t="n">
        <v>2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HYPERLINK("http://catalog.hathitrust.org/Record/003043522","HathiTrust Record")</f>
        <v/>
      </c>
      <c r="AU222">
        <f>HYPERLINK("https://creighton-primo.hosted.exlibrisgroup.com/primo-explore/search?tab=default_tab&amp;search_scope=EVERYTHING&amp;vid=01CRU&amp;lang=en_US&amp;offset=0&amp;query=any,contains,991001668799702656","Catalog Record")</f>
        <v/>
      </c>
      <c r="AV222">
        <f>HYPERLINK("http://www.worldcat.org/oclc/33245139","WorldCat Record")</f>
        <v/>
      </c>
      <c r="AW222" t="inlineStr">
        <is>
          <t>3373116964:eng</t>
        </is>
      </c>
      <c r="AX222" t="inlineStr">
        <is>
          <t>33245139</t>
        </is>
      </c>
      <c r="AY222" t="inlineStr">
        <is>
          <t>991001668799702656</t>
        </is>
      </c>
      <c r="AZ222" t="inlineStr">
        <is>
          <t>991001668799702656</t>
        </is>
      </c>
      <c r="BA222" t="inlineStr">
        <is>
          <t>2257211620002656</t>
        </is>
      </c>
      <c r="BB222" t="inlineStr">
        <is>
          <t>BOOK</t>
        </is>
      </c>
      <c r="BD222" t="inlineStr">
        <is>
          <t>9780803955967</t>
        </is>
      </c>
      <c r="BE222" t="inlineStr">
        <is>
          <t>30001003682962</t>
        </is>
      </c>
      <c r="BF222" t="inlineStr">
        <is>
          <t>893121657</t>
        </is>
      </c>
    </row>
    <row r="223">
      <c r="A223" t="inlineStr">
        <is>
          <t>No</t>
        </is>
      </c>
      <c r="B223" t="inlineStr">
        <is>
          <t>CUHSL</t>
        </is>
      </c>
      <c r="C223" t="inlineStr">
        <is>
          <t>SHELVES</t>
        </is>
      </c>
      <c r="D223" t="inlineStr">
        <is>
          <t>WA 320 B694m 1989</t>
        </is>
      </c>
      <c r="E223" t="inlineStr">
        <is>
          <t>0                      WA 0320000B  694m        1989</t>
        </is>
      </c>
      <c r="F223" t="inlineStr">
        <is>
          <t>Males at risk : the other side of child sexual abuse / Frank G. Bolton, Jr., Larry A. Morris, Ann E. MacEachron.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Bolton, Frank G.</t>
        </is>
      </c>
      <c r="N223" t="inlineStr">
        <is>
          <t>Newbury Park, Calif. : Sage Publications, c1989.</t>
        </is>
      </c>
      <c r="O223" t="inlineStr">
        <is>
          <t>1989</t>
        </is>
      </c>
      <c r="Q223" t="inlineStr">
        <is>
          <t>eng</t>
        </is>
      </c>
      <c r="R223" t="inlineStr">
        <is>
          <t>cau</t>
        </is>
      </c>
      <c r="T223" t="inlineStr">
        <is>
          <t xml:space="preserve">WA </t>
        </is>
      </c>
      <c r="U223" t="n">
        <v>10</v>
      </c>
      <c r="V223" t="n">
        <v>10</v>
      </c>
      <c r="W223" t="inlineStr">
        <is>
          <t>1996-09-12</t>
        </is>
      </c>
      <c r="X223" t="inlineStr">
        <is>
          <t>1996-09-12</t>
        </is>
      </c>
      <c r="Y223" t="inlineStr">
        <is>
          <t>1989-05-30</t>
        </is>
      </c>
      <c r="Z223" t="inlineStr">
        <is>
          <t>1989-05-30</t>
        </is>
      </c>
      <c r="AA223" t="n">
        <v>635</v>
      </c>
      <c r="AB223" t="n">
        <v>489</v>
      </c>
      <c r="AC223" t="n">
        <v>494</v>
      </c>
      <c r="AD223" t="n">
        <v>5</v>
      </c>
      <c r="AE223" t="n">
        <v>5</v>
      </c>
      <c r="AF223" t="n">
        <v>25</v>
      </c>
      <c r="AG223" t="n">
        <v>25</v>
      </c>
      <c r="AH223" t="n">
        <v>9</v>
      </c>
      <c r="AI223" t="n">
        <v>9</v>
      </c>
      <c r="AJ223" t="n">
        <v>5</v>
      </c>
      <c r="AK223" t="n">
        <v>5</v>
      </c>
      <c r="AL223" t="n">
        <v>10</v>
      </c>
      <c r="AM223" t="n">
        <v>10</v>
      </c>
      <c r="AN223" t="n">
        <v>4</v>
      </c>
      <c r="AO223" t="n">
        <v>4</v>
      </c>
      <c r="AP223" t="n">
        <v>1</v>
      </c>
      <c r="AQ223" t="n">
        <v>1</v>
      </c>
      <c r="AR223" t="inlineStr">
        <is>
          <t>No</t>
        </is>
      </c>
      <c r="AS223" t="inlineStr">
        <is>
          <t>No</t>
        </is>
      </c>
      <c r="AU223">
        <f>HYPERLINK("https://creighton-primo.hosted.exlibrisgroup.com/primo-explore/search?tab=default_tab&amp;search_scope=EVERYTHING&amp;vid=01CRU&amp;lang=en_US&amp;offset=0&amp;query=any,contains,991001249309702656","Catalog Record")</f>
        <v/>
      </c>
      <c r="AV223">
        <f>HYPERLINK("http://www.worldcat.org/oclc/19814634","WorldCat Record")</f>
        <v/>
      </c>
      <c r="AW223" t="inlineStr">
        <is>
          <t>836705760:eng</t>
        </is>
      </c>
      <c r="AX223" t="inlineStr">
        <is>
          <t>19814634</t>
        </is>
      </c>
      <c r="AY223" t="inlineStr">
        <is>
          <t>991001249309702656</t>
        </is>
      </c>
      <c r="AZ223" t="inlineStr">
        <is>
          <t>991001249309702656</t>
        </is>
      </c>
      <c r="BA223" t="inlineStr">
        <is>
          <t>2268069890002656</t>
        </is>
      </c>
      <c r="BB223" t="inlineStr">
        <is>
          <t>BOOK</t>
        </is>
      </c>
      <c r="BD223" t="inlineStr">
        <is>
          <t>9780803932371</t>
        </is>
      </c>
      <c r="BE223" t="inlineStr">
        <is>
          <t>30001001678525</t>
        </is>
      </c>
      <c r="BF223" t="inlineStr">
        <is>
          <t>893541158</t>
        </is>
      </c>
    </row>
    <row r="224">
      <c r="A224" t="inlineStr">
        <is>
          <t>No</t>
        </is>
      </c>
      <c r="B224" t="inlineStr">
        <is>
          <t>CUHSL</t>
        </is>
      </c>
      <c r="C224" t="inlineStr">
        <is>
          <t>SHELVES</t>
        </is>
      </c>
      <c r="D224" t="inlineStr">
        <is>
          <t>WA 320 C53401 1979</t>
        </is>
      </c>
      <c r="E224" t="inlineStr">
        <is>
          <t>0                      WA 0320000C  53401       1979</t>
        </is>
      </c>
      <c r="F224" t="inlineStr">
        <is>
          <t>Child abuse and violence / edited for the American Orthopsychiatric Association by David G. Gil.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New York : AMS Press, c1979.</t>
        </is>
      </c>
      <c r="O224" t="inlineStr">
        <is>
          <t>1979</t>
        </is>
      </c>
      <c r="Q224" t="inlineStr">
        <is>
          <t>eng</t>
        </is>
      </c>
      <c r="R224" t="inlineStr">
        <is>
          <t xml:space="preserve">xx </t>
        </is>
      </c>
      <c r="T224" t="inlineStr">
        <is>
          <t xml:space="preserve">WA </t>
        </is>
      </c>
      <c r="U224" t="n">
        <v>2</v>
      </c>
      <c r="V224" t="n">
        <v>2</v>
      </c>
      <c r="W224" t="inlineStr">
        <is>
          <t>1995-11-07</t>
        </is>
      </c>
      <c r="X224" t="inlineStr">
        <is>
          <t>1995-11-07</t>
        </is>
      </c>
      <c r="Y224" t="inlineStr">
        <is>
          <t>1988-01-06</t>
        </is>
      </c>
      <c r="Z224" t="inlineStr">
        <is>
          <t>1988-01-06</t>
        </is>
      </c>
      <c r="AA224" t="n">
        <v>580</v>
      </c>
      <c r="AB224" t="n">
        <v>479</v>
      </c>
      <c r="AC224" t="n">
        <v>487</v>
      </c>
      <c r="AD224" t="n">
        <v>6</v>
      </c>
      <c r="AE224" t="n">
        <v>6</v>
      </c>
      <c r="AF224" t="n">
        <v>19</v>
      </c>
      <c r="AG224" t="n">
        <v>19</v>
      </c>
      <c r="AH224" t="n">
        <v>4</v>
      </c>
      <c r="AI224" t="n">
        <v>4</v>
      </c>
      <c r="AJ224" t="n">
        <v>4</v>
      </c>
      <c r="AK224" t="n">
        <v>4</v>
      </c>
      <c r="AL224" t="n">
        <v>7</v>
      </c>
      <c r="AM224" t="n">
        <v>7</v>
      </c>
      <c r="AN224" t="n">
        <v>4</v>
      </c>
      <c r="AO224" t="n">
        <v>4</v>
      </c>
      <c r="AP224" t="n">
        <v>3</v>
      </c>
      <c r="AQ224" t="n">
        <v>3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HYPERLINK("http://catalog.hathitrust.org/Record/000257613","HathiTrust Record")</f>
        <v/>
      </c>
      <c r="AU224">
        <f>HYPERLINK("https://creighton-primo.hosted.exlibrisgroup.com/primo-explore/search?tab=default_tab&amp;search_scope=EVERYTHING&amp;vid=01CRU&amp;lang=en_US&amp;offset=0&amp;query=any,contains,991000725609702656","Catalog Record")</f>
        <v/>
      </c>
      <c r="AV224">
        <f>HYPERLINK("http://www.worldcat.org/oclc/4516045","WorldCat Record")</f>
        <v/>
      </c>
      <c r="AW224" t="inlineStr">
        <is>
          <t>351871270:eng</t>
        </is>
      </c>
      <c r="AX224" t="inlineStr">
        <is>
          <t>4516045</t>
        </is>
      </c>
      <c r="AY224" t="inlineStr">
        <is>
          <t>991000725609702656</t>
        </is>
      </c>
      <c r="AZ224" t="inlineStr">
        <is>
          <t>991000725609702656</t>
        </is>
      </c>
      <c r="BA224" t="inlineStr">
        <is>
          <t>2266430490002656</t>
        </is>
      </c>
      <c r="BB224" t="inlineStr">
        <is>
          <t>BOOK</t>
        </is>
      </c>
      <c r="BD224" t="inlineStr">
        <is>
          <t>9780404160449</t>
        </is>
      </c>
      <c r="BE224" t="inlineStr">
        <is>
          <t>30001000706822</t>
        </is>
      </c>
      <c r="BF224" t="inlineStr">
        <is>
          <t>893726608</t>
        </is>
      </c>
    </row>
    <row r="225">
      <c r="A225" t="inlineStr">
        <is>
          <t>No</t>
        </is>
      </c>
      <c r="B225" t="inlineStr">
        <is>
          <t>CUHSL</t>
        </is>
      </c>
      <c r="C225" t="inlineStr">
        <is>
          <t>SHELVES</t>
        </is>
      </c>
      <c r="D225" t="inlineStr">
        <is>
          <t>WA 320 C534013 1981</t>
        </is>
      </c>
      <c r="E225" t="inlineStr">
        <is>
          <t>0                      WA 0320000C  534013      1981</t>
        </is>
      </c>
      <c r="F225" t="inlineStr">
        <is>
          <t>Child abuse and neglect : a medical reference / edited by Norman S. Ellerstein.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N225" t="inlineStr">
        <is>
          <t>New York : Wiley, c1981.</t>
        </is>
      </c>
      <c r="O225" t="inlineStr">
        <is>
          <t>1981</t>
        </is>
      </c>
      <c r="Q225" t="inlineStr">
        <is>
          <t>eng</t>
        </is>
      </c>
      <c r="R225" t="inlineStr">
        <is>
          <t>xxu</t>
        </is>
      </c>
      <c r="S225" t="inlineStr">
        <is>
          <t>A Wiley medical publication</t>
        </is>
      </c>
      <c r="T225" t="inlineStr">
        <is>
          <t xml:space="preserve">WA </t>
        </is>
      </c>
      <c r="U225" t="n">
        <v>15</v>
      </c>
      <c r="V225" t="n">
        <v>15</v>
      </c>
      <c r="W225" t="inlineStr">
        <is>
          <t>2001-05-06</t>
        </is>
      </c>
      <c r="X225" t="inlineStr">
        <is>
          <t>2001-05-06</t>
        </is>
      </c>
      <c r="Y225" t="inlineStr">
        <is>
          <t>1988-01-06</t>
        </is>
      </c>
      <c r="Z225" t="inlineStr">
        <is>
          <t>1988-01-06</t>
        </is>
      </c>
      <c r="AA225" t="n">
        <v>375</v>
      </c>
      <c r="AB225" t="n">
        <v>320</v>
      </c>
      <c r="AC225" t="n">
        <v>336</v>
      </c>
      <c r="AD225" t="n">
        <v>2</v>
      </c>
      <c r="AE225" t="n">
        <v>2</v>
      </c>
      <c r="AF225" t="n">
        <v>16</v>
      </c>
      <c r="AG225" t="n">
        <v>17</v>
      </c>
      <c r="AH225" t="n">
        <v>6</v>
      </c>
      <c r="AI225" t="n">
        <v>6</v>
      </c>
      <c r="AJ225" t="n">
        <v>2</v>
      </c>
      <c r="AK225" t="n">
        <v>3</v>
      </c>
      <c r="AL225" t="n">
        <v>9</v>
      </c>
      <c r="AM225" t="n">
        <v>9</v>
      </c>
      <c r="AN225" t="n">
        <v>1</v>
      </c>
      <c r="AO225" t="n">
        <v>1</v>
      </c>
      <c r="AP225" t="n">
        <v>2</v>
      </c>
      <c r="AQ225" t="n">
        <v>2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HYPERLINK("http://catalog.hathitrust.org/Record/000764369","HathiTrust Record")</f>
        <v/>
      </c>
      <c r="AU225">
        <f>HYPERLINK("https://creighton-primo.hosted.exlibrisgroup.com/primo-explore/search?tab=default_tab&amp;search_scope=EVERYTHING&amp;vid=01CRU&amp;lang=en_US&amp;offset=0&amp;query=any,contains,991000725889702656","Catalog Record")</f>
        <v/>
      </c>
      <c r="AV225">
        <f>HYPERLINK("http://www.worldcat.org/oclc/7462857","WorldCat Record")</f>
        <v/>
      </c>
      <c r="AW225" t="inlineStr">
        <is>
          <t>906789829:eng</t>
        </is>
      </c>
      <c r="AX225" t="inlineStr">
        <is>
          <t>7462857</t>
        </is>
      </c>
      <c r="AY225" t="inlineStr">
        <is>
          <t>991000725889702656</t>
        </is>
      </c>
      <c r="AZ225" t="inlineStr">
        <is>
          <t>991000725889702656</t>
        </is>
      </c>
      <c r="BA225" t="inlineStr">
        <is>
          <t>2264125050002656</t>
        </is>
      </c>
      <c r="BB225" t="inlineStr">
        <is>
          <t>BOOK</t>
        </is>
      </c>
      <c r="BD225" t="inlineStr">
        <is>
          <t>9780471058779</t>
        </is>
      </c>
      <c r="BE225" t="inlineStr">
        <is>
          <t>30001000706871</t>
        </is>
      </c>
      <c r="BF225" t="inlineStr">
        <is>
          <t>893545715</t>
        </is>
      </c>
    </row>
    <row r="226">
      <c r="A226" t="inlineStr">
        <is>
          <t>No</t>
        </is>
      </c>
      <c r="B226" t="inlineStr">
        <is>
          <t>CUHSL</t>
        </is>
      </c>
      <c r="C226" t="inlineStr">
        <is>
          <t>SHELVES</t>
        </is>
      </c>
      <c r="D226" t="inlineStr">
        <is>
          <t>WA 320 C53413 1983</t>
        </is>
      </c>
      <c r="E226" t="inlineStr">
        <is>
          <t>0                      WA 0320000C  53413       1983</t>
        </is>
      </c>
      <c r="F226" t="inlineStr">
        <is>
          <t>Child abuse and neglect : a guide with case studies for treating the child and family / edited by Nancy B. Ebeling, Deborah A. Hill.</t>
        </is>
      </c>
      <c r="H226" t="inlineStr">
        <is>
          <t>No</t>
        </is>
      </c>
      <c r="I226" t="inlineStr">
        <is>
          <t>1</t>
        </is>
      </c>
      <c r="J226" t="inlineStr">
        <is>
          <t>Yes</t>
        </is>
      </c>
      <c r="K226" t="inlineStr">
        <is>
          <t>No</t>
        </is>
      </c>
      <c r="L226" t="inlineStr">
        <is>
          <t>0</t>
        </is>
      </c>
      <c r="N226" t="inlineStr">
        <is>
          <t>Boston : Wright-PSG, c1983.</t>
        </is>
      </c>
      <c r="O226" t="inlineStr">
        <is>
          <t>1983</t>
        </is>
      </c>
      <c r="Q226" t="inlineStr">
        <is>
          <t>eng</t>
        </is>
      </c>
      <c r="R226" t="inlineStr">
        <is>
          <t>xxu</t>
        </is>
      </c>
      <c r="T226" t="inlineStr">
        <is>
          <t xml:space="preserve">WA </t>
        </is>
      </c>
      <c r="U226" t="n">
        <v>7</v>
      </c>
      <c r="V226" t="n">
        <v>7</v>
      </c>
      <c r="W226" t="inlineStr">
        <is>
          <t>1993-11-13</t>
        </is>
      </c>
      <c r="X226" t="inlineStr">
        <is>
          <t>1993-11-13</t>
        </is>
      </c>
      <c r="Y226" t="inlineStr">
        <is>
          <t>1988-01-06</t>
        </is>
      </c>
      <c r="Z226" t="inlineStr">
        <is>
          <t>1988-01-06</t>
        </is>
      </c>
      <c r="AA226" t="n">
        <v>440</v>
      </c>
      <c r="AB226" t="n">
        <v>375</v>
      </c>
      <c r="AC226" t="n">
        <v>382</v>
      </c>
      <c r="AD226" t="n">
        <v>6</v>
      </c>
      <c r="AE226" t="n">
        <v>6</v>
      </c>
      <c r="AF226" t="n">
        <v>17</v>
      </c>
      <c r="AG226" t="n">
        <v>18</v>
      </c>
      <c r="AH226" t="n">
        <v>7</v>
      </c>
      <c r="AI226" t="n">
        <v>7</v>
      </c>
      <c r="AJ226" t="n">
        <v>4</v>
      </c>
      <c r="AK226" t="n">
        <v>5</v>
      </c>
      <c r="AL226" t="n">
        <v>6</v>
      </c>
      <c r="AM226" t="n">
        <v>6</v>
      </c>
      <c r="AN226" t="n">
        <v>4</v>
      </c>
      <c r="AO226" t="n">
        <v>4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HYPERLINK("http://catalog.hathitrust.org/Record/000113329","HathiTrust Record")</f>
        <v/>
      </c>
      <c r="AU226">
        <f>HYPERLINK("https://creighton-primo.hosted.exlibrisgroup.com/primo-explore/search?tab=default_tab&amp;search_scope=EVERYTHING&amp;vid=01CRU&amp;lang=en_US&amp;offset=0&amp;query=any,contains,991000725929702656","Catalog Record")</f>
        <v/>
      </c>
      <c r="AV226">
        <f>HYPERLINK("http://www.worldcat.org/oclc/8532291","WorldCat Record")</f>
        <v/>
      </c>
      <c r="AW226" t="inlineStr">
        <is>
          <t>375319080:eng</t>
        </is>
      </c>
      <c r="AX226" t="inlineStr">
        <is>
          <t>8532291</t>
        </is>
      </c>
      <c r="AY226" t="inlineStr">
        <is>
          <t>991000725929702656</t>
        </is>
      </c>
      <c r="AZ226" t="inlineStr">
        <is>
          <t>991000725929702656</t>
        </is>
      </c>
      <c r="BA226" t="inlineStr">
        <is>
          <t>2254754910002656</t>
        </is>
      </c>
      <c r="BB226" t="inlineStr">
        <is>
          <t>BOOK</t>
        </is>
      </c>
      <c r="BD226" t="inlineStr">
        <is>
          <t>9780723670407</t>
        </is>
      </c>
      <c r="BE226" t="inlineStr">
        <is>
          <t>30001000706897</t>
        </is>
      </c>
      <c r="BF226" t="inlineStr">
        <is>
          <t>893831124</t>
        </is>
      </c>
    </row>
    <row r="227">
      <c r="A227" t="inlineStr">
        <is>
          <t>No</t>
        </is>
      </c>
      <c r="B227" t="inlineStr">
        <is>
          <t>CUHSL</t>
        </is>
      </c>
      <c r="C227" t="inlineStr">
        <is>
          <t>SHELVES</t>
        </is>
      </c>
      <c r="D227" t="inlineStr">
        <is>
          <t>WA 320 C53483 1998</t>
        </is>
      </c>
      <c r="E227" t="inlineStr">
        <is>
          <t>0                      WA 0320000C  53483       1998</t>
        </is>
      </c>
      <c r="F227" t="inlineStr">
        <is>
          <t>Child maltreatment / [edited by] James A. Monteleone.</t>
        </is>
      </c>
      <c r="G227" t="inlineStr">
        <is>
          <t>V. 1</t>
        </is>
      </c>
      <c r="H227" t="inlineStr">
        <is>
          <t>Yes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St. Louis, Mo. : G.W. Medical Pub., c1998.</t>
        </is>
      </c>
      <c r="O227" t="inlineStr">
        <is>
          <t>1998</t>
        </is>
      </c>
      <c r="P227" t="inlineStr">
        <is>
          <t>2nd ed.</t>
        </is>
      </c>
      <c r="Q227" t="inlineStr">
        <is>
          <t>eng</t>
        </is>
      </c>
      <c r="R227" t="inlineStr">
        <is>
          <t>mou</t>
        </is>
      </c>
      <c r="T227" t="inlineStr">
        <is>
          <t xml:space="preserve">WA </t>
        </is>
      </c>
      <c r="U227" t="n">
        <v>1</v>
      </c>
      <c r="V227" t="n">
        <v>3</v>
      </c>
      <c r="W227" t="inlineStr">
        <is>
          <t>1998-03-26</t>
        </is>
      </c>
      <c r="X227" t="inlineStr">
        <is>
          <t>1998-03-26</t>
        </is>
      </c>
      <c r="Y227" t="inlineStr">
        <is>
          <t>1998-03-26</t>
        </is>
      </c>
      <c r="Z227" t="inlineStr">
        <is>
          <t>1998-03-26</t>
        </is>
      </c>
      <c r="AA227" t="n">
        <v>243</v>
      </c>
      <c r="AB227" t="n">
        <v>212</v>
      </c>
      <c r="AC227" t="n">
        <v>481</v>
      </c>
      <c r="AD227" t="n">
        <v>2</v>
      </c>
      <c r="AE227" t="n">
        <v>4</v>
      </c>
      <c r="AF227" t="n">
        <v>5</v>
      </c>
      <c r="AG227" t="n">
        <v>14</v>
      </c>
      <c r="AH227" t="n">
        <v>1</v>
      </c>
      <c r="AI227" t="n">
        <v>4</v>
      </c>
      <c r="AJ227" t="n">
        <v>1</v>
      </c>
      <c r="AK227" t="n">
        <v>2</v>
      </c>
      <c r="AL227" t="n">
        <v>2</v>
      </c>
      <c r="AM227" t="n">
        <v>5</v>
      </c>
      <c r="AN227" t="n">
        <v>1</v>
      </c>
      <c r="AO227" t="n">
        <v>3</v>
      </c>
      <c r="AP227" t="n">
        <v>0</v>
      </c>
      <c r="AQ227" t="n">
        <v>2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HYPERLINK("http://catalog.hathitrust.org/Record/003247699","HathiTrust Record")</f>
        <v/>
      </c>
      <c r="AU227">
        <f>HYPERLINK("https://creighton-primo.hosted.exlibrisgroup.com/primo-explore/search?tab=default_tab&amp;search_scope=EVERYTHING&amp;vid=01CRU&amp;lang=en_US&amp;offset=0&amp;query=any,contains,991001427389702656","Catalog Record")</f>
        <v/>
      </c>
      <c r="AV227">
        <f>HYPERLINK("http://www.worldcat.org/oclc/37663546","WorldCat Record")</f>
        <v/>
      </c>
      <c r="AW227" t="inlineStr">
        <is>
          <t>2909328919:eng</t>
        </is>
      </c>
      <c r="AX227" t="inlineStr">
        <is>
          <t>37663546</t>
        </is>
      </c>
      <c r="AY227" t="inlineStr">
        <is>
          <t>991001427389702656</t>
        </is>
      </c>
      <c r="AZ227" t="inlineStr">
        <is>
          <t>991001427389702656</t>
        </is>
      </c>
      <c r="BA227" t="inlineStr">
        <is>
          <t>2268948810002656</t>
        </is>
      </c>
      <c r="BB227" t="inlineStr">
        <is>
          <t>BOOK</t>
        </is>
      </c>
      <c r="BD227" t="inlineStr">
        <is>
          <t>9781878060228</t>
        </is>
      </c>
      <c r="BE227" t="inlineStr">
        <is>
          <t>30001003860527</t>
        </is>
      </c>
      <c r="BF227" t="inlineStr">
        <is>
          <t>893832170</t>
        </is>
      </c>
    </row>
    <row r="228">
      <c r="A228" t="inlineStr">
        <is>
          <t>No</t>
        </is>
      </c>
      <c r="B228" t="inlineStr">
        <is>
          <t>CUHSL</t>
        </is>
      </c>
      <c r="C228" t="inlineStr">
        <is>
          <t>SHELVES</t>
        </is>
      </c>
      <c r="D228" t="inlineStr">
        <is>
          <t>WA 320 C53483 1998</t>
        </is>
      </c>
      <c r="E228" t="inlineStr">
        <is>
          <t>0                      WA 0320000C  53483       1998</t>
        </is>
      </c>
      <c r="F228" t="inlineStr">
        <is>
          <t>Child maltreatment / [edited by] James A. Monteleone.</t>
        </is>
      </c>
      <c r="G228" t="inlineStr">
        <is>
          <t>V. 2</t>
        </is>
      </c>
      <c r="H228" t="inlineStr">
        <is>
          <t>Yes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N228" t="inlineStr">
        <is>
          <t>St. Louis, Mo. : G.W. Medical Pub., c1998.</t>
        </is>
      </c>
      <c r="O228" t="inlineStr">
        <is>
          <t>1998</t>
        </is>
      </c>
      <c r="P228" t="inlineStr">
        <is>
          <t>2nd ed.</t>
        </is>
      </c>
      <c r="Q228" t="inlineStr">
        <is>
          <t>eng</t>
        </is>
      </c>
      <c r="R228" t="inlineStr">
        <is>
          <t>mou</t>
        </is>
      </c>
      <c r="T228" t="inlineStr">
        <is>
          <t xml:space="preserve">WA </t>
        </is>
      </c>
      <c r="U228" t="n">
        <v>2</v>
      </c>
      <c r="V228" t="n">
        <v>3</v>
      </c>
      <c r="W228" t="inlineStr">
        <is>
          <t>1998-03-26</t>
        </is>
      </c>
      <c r="X228" t="inlineStr">
        <is>
          <t>1998-03-26</t>
        </is>
      </c>
      <c r="Y228" t="inlineStr">
        <is>
          <t>1998-03-24</t>
        </is>
      </c>
      <c r="Z228" t="inlineStr">
        <is>
          <t>1998-03-26</t>
        </is>
      </c>
      <c r="AA228" t="n">
        <v>243</v>
      </c>
      <c r="AB228" t="n">
        <v>212</v>
      </c>
      <c r="AC228" t="n">
        <v>481</v>
      </c>
      <c r="AD228" t="n">
        <v>2</v>
      </c>
      <c r="AE228" t="n">
        <v>4</v>
      </c>
      <c r="AF228" t="n">
        <v>5</v>
      </c>
      <c r="AG228" t="n">
        <v>14</v>
      </c>
      <c r="AH228" t="n">
        <v>1</v>
      </c>
      <c r="AI228" t="n">
        <v>4</v>
      </c>
      <c r="AJ228" t="n">
        <v>1</v>
      </c>
      <c r="AK228" t="n">
        <v>2</v>
      </c>
      <c r="AL228" t="n">
        <v>2</v>
      </c>
      <c r="AM228" t="n">
        <v>5</v>
      </c>
      <c r="AN228" t="n">
        <v>1</v>
      </c>
      <c r="AO228" t="n">
        <v>3</v>
      </c>
      <c r="AP228" t="n">
        <v>0</v>
      </c>
      <c r="AQ228" t="n">
        <v>2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HYPERLINK("http://catalog.hathitrust.org/Record/003247699","HathiTrust Record")</f>
        <v/>
      </c>
      <c r="AU228">
        <f>HYPERLINK("https://creighton-primo.hosted.exlibrisgroup.com/primo-explore/search?tab=default_tab&amp;search_scope=EVERYTHING&amp;vid=01CRU&amp;lang=en_US&amp;offset=0&amp;query=any,contains,991001427389702656","Catalog Record")</f>
        <v/>
      </c>
      <c r="AV228">
        <f>HYPERLINK("http://www.worldcat.org/oclc/37663546","WorldCat Record")</f>
        <v/>
      </c>
      <c r="AW228" t="inlineStr">
        <is>
          <t>2909328919:eng</t>
        </is>
      </c>
      <c r="AX228" t="inlineStr">
        <is>
          <t>37663546</t>
        </is>
      </c>
      <c r="AY228" t="inlineStr">
        <is>
          <t>991001427389702656</t>
        </is>
      </c>
      <c r="AZ228" t="inlineStr">
        <is>
          <t>991001427389702656</t>
        </is>
      </c>
      <c r="BA228" t="inlineStr">
        <is>
          <t>2268948810002656</t>
        </is>
      </c>
      <c r="BB228" t="inlineStr">
        <is>
          <t>BOOK</t>
        </is>
      </c>
      <c r="BD228" t="inlineStr">
        <is>
          <t>9781878060228</t>
        </is>
      </c>
      <c r="BE228" t="inlineStr">
        <is>
          <t>30001003860485</t>
        </is>
      </c>
      <c r="BF228" t="inlineStr">
        <is>
          <t>893834667</t>
        </is>
      </c>
    </row>
    <row r="229">
      <c r="A229" t="inlineStr">
        <is>
          <t>No</t>
        </is>
      </c>
      <c r="B229" t="inlineStr">
        <is>
          <t>CUHSL</t>
        </is>
      </c>
      <c r="C229" t="inlineStr">
        <is>
          <t>SHELVES</t>
        </is>
      </c>
      <c r="D229" t="inlineStr">
        <is>
          <t>WA 320 C536 1988</t>
        </is>
      </c>
      <c r="E229" t="inlineStr">
        <is>
          <t>0                      WA 0320000C  536         1988</t>
        </is>
      </c>
      <c r="F229" t="inlineStr">
        <is>
          <t>Child sexual abuse within the family : assessment and treatment : the work of the Great Ormond Street Sexual Abuse Team / edited by Arnon Bentovim ... [et al.]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N229" t="inlineStr">
        <is>
          <t>London : Wright, c1988.</t>
        </is>
      </c>
      <c r="O229" t="inlineStr">
        <is>
          <t>1988</t>
        </is>
      </c>
      <c r="Q229" t="inlineStr">
        <is>
          <t>eng</t>
        </is>
      </c>
      <c r="R229" t="inlineStr">
        <is>
          <t>enk</t>
        </is>
      </c>
      <c r="T229" t="inlineStr">
        <is>
          <t xml:space="preserve">WA </t>
        </is>
      </c>
      <c r="U229" t="n">
        <v>15</v>
      </c>
      <c r="V229" t="n">
        <v>15</v>
      </c>
      <c r="W229" t="inlineStr">
        <is>
          <t>2001-05-06</t>
        </is>
      </c>
      <c r="X229" t="inlineStr">
        <is>
          <t>2001-05-06</t>
        </is>
      </c>
      <c r="Y229" t="inlineStr">
        <is>
          <t>1988-12-28</t>
        </is>
      </c>
      <c r="Z229" t="inlineStr">
        <is>
          <t>1988-12-28</t>
        </is>
      </c>
      <c r="AA229" t="n">
        <v>251</v>
      </c>
      <c r="AB229" t="n">
        <v>119</v>
      </c>
      <c r="AC229" t="n">
        <v>122</v>
      </c>
      <c r="AD229" t="n">
        <v>1</v>
      </c>
      <c r="AE229" t="n">
        <v>1</v>
      </c>
      <c r="AF229" t="n">
        <v>1</v>
      </c>
      <c r="AG229" t="n">
        <v>1</v>
      </c>
      <c r="AH229" t="n">
        <v>0</v>
      </c>
      <c r="AI229" t="n">
        <v>0</v>
      </c>
      <c r="AJ229" t="n">
        <v>0</v>
      </c>
      <c r="AK229" t="n">
        <v>0</v>
      </c>
      <c r="AL229" t="n">
        <v>1</v>
      </c>
      <c r="AM229" t="n">
        <v>1</v>
      </c>
      <c r="AN229" t="n">
        <v>0</v>
      </c>
      <c r="AO229" t="n">
        <v>0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HYPERLINK("http://catalog.hathitrust.org/Record/001077771","HathiTrust Record")</f>
        <v/>
      </c>
      <c r="AU229">
        <f>HYPERLINK("https://creighton-primo.hosted.exlibrisgroup.com/primo-explore/search?tab=default_tab&amp;search_scope=EVERYTHING&amp;vid=01CRU&amp;lang=en_US&amp;offset=0&amp;query=any,contains,991001108739702656","Catalog Record")</f>
        <v/>
      </c>
      <c r="AV229">
        <f>HYPERLINK("http://www.worldcat.org/oclc/20017322","WorldCat Record")</f>
        <v/>
      </c>
      <c r="AW229" t="inlineStr">
        <is>
          <t>836714292:eng</t>
        </is>
      </c>
      <c r="AX229" t="inlineStr">
        <is>
          <t>20017322</t>
        </is>
      </c>
      <c r="AY229" t="inlineStr">
        <is>
          <t>991001108739702656</t>
        </is>
      </c>
      <c r="AZ229" t="inlineStr">
        <is>
          <t>991001108739702656</t>
        </is>
      </c>
      <c r="BA229" t="inlineStr">
        <is>
          <t>2266442120002656</t>
        </is>
      </c>
      <c r="BB229" t="inlineStr">
        <is>
          <t>BOOK</t>
        </is>
      </c>
      <c r="BD229" t="inlineStr">
        <is>
          <t>9780723606345</t>
        </is>
      </c>
      <c r="BE229" t="inlineStr">
        <is>
          <t>30001001611641</t>
        </is>
      </c>
      <c r="BF229" t="inlineStr">
        <is>
          <t>893736213</t>
        </is>
      </c>
    </row>
    <row r="230">
      <c r="A230" t="inlineStr">
        <is>
          <t>No</t>
        </is>
      </c>
      <c r="B230" t="inlineStr">
        <is>
          <t>CUHSL</t>
        </is>
      </c>
      <c r="C230" t="inlineStr">
        <is>
          <t>SHELVES</t>
        </is>
      </c>
      <c r="D230" t="inlineStr">
        <is>
          <t>WA 320 C53612 1984</t>
        </is>
      </c>
      <c r="E230" t="inlineStr">
        <is>
          <t>0                      WA 0320000C  53612       1984</t>
        </is>
      </c>
      <c r="F230" t="inlineStr">
        <is>
          <t>Child abuse / edited by A. Carmi and H. Zimrin ; with contributions by O. Ayalon ... [et al.].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Berlin ; New York : Springer-Verlag, c1984.</t>
        </is>
      </c>
      <c r="O230" t="inlineStr">
        <is>
          <t>1984</t>
        </is>
      </c>
      <c r="Q230" t="inlineStr">
        <is>
          <t>eng</t>
        </is>
      </c>
      <c r="R230" t="inlineStr">
        <is>
          <t xml:space="preserve">gw </t>
        </is>
      </c>
      <c r="S230" t="inlineStr">
        <is>
          <t>Medicolegal library ; 1</t>
        </is>
      </c>
      <c r="T230" t="inlineStr">
        <is>
          <t xml:space="preserve">WA </t>
        </is>
      </c>
      <c r="U230" t="n">
        <v>12</v>
      </c>
      <c r="V230" t="n">
        <v>12</v>
      </c>
      <c r="W230" t="inlineStr">
        <is>
          <t>1995-11-13</t>
        </is>
      </c>
      <c r="X230" t="inlineStr">
        <is>
          <t>1995-11-13</t>
        </is>
      </c>
      <c r="Y230" t="inlineStr">
        <is>
          <t>1988-01-06</t>
        </is>
      </c>
      <c r="Z230" t="inlineStr">
        <is>
          <t>1988-01-06</t>
        </is>
      </c>
      <c r="AA230" t="n">
        <v>260</v>
      </c>
      <c r="AB230" t="n">
        <v>191</v>
      </c>
      <c r="AC230" t="n">
        <v>212</v>
      </c>
      <c r="AD230" t="n">
        <v>2</v>
      </c>
      <c r="AE230" t="n">
        <v>2</v>
      </c>
      <c r="AF230" t="n">
        <v>8</v>
      </c>
      <c r="AG230" t="n">
        <v>8</v>
      </c>
      <c r="AH230" t="n">
        <v>1</v>
      </c>
      <c r="AI230" t="n">
        <v>1</v>
      </c>
      <c r="AJ230" t="n">
        <v>0</v>
      </c>
      <c r="AK230" t="n">
        <v>0</v>
      </c>
      <c r="AL230" t="n">
        <v>2</v>
      </c>
      <c r="AM230" t="n">
        <v>2</v>
      </c>
      <c r="AN230" t="n">
        <v>1</v>
      </c>
      <c r="AO230" t="n">
        <v>1</v>
      </c>
      <c r="AP230" t="n">
        <v>5</v>
      </c>
      <c r="AQ230" t="n">
        <v>5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HYPERLINK("http://catalog.hathitrust.org/Record/000561345","HathiTrust Record")</f>
        <v/>
      </c>
      <c r="AU230">
        <f>HYPERLINK("https://creighton-primo.hosted.exlibrisgroup.com/primo-explore/search?tab=default_tab&amp;search_scope=EVERYTHING&amp;vid=01CRU&amp;lang=en_US&amp;offset=0&amp;query=any,contains,991000725569702656","Catalog Record")</f>
        <v/>
      </c>
      <c r="AV230">
        <f>HYPERLINK("http://www.worldcat.org/oclc/10403496","WorldCat Record")</f>
        <v/>
      </c>
      <c r="AW230" t="inlineStr">
        <is>
          <t>364140358:eng</t>
        </is>
      </c>
      <c r="AX230" t="inlineStr">
        <is>
          <t>10403496</t>
        </is>
      </c>
      <c r="AY230" t="inlineStr">
        <is>
          <t>991000725569702656</t>
        </is>
      </c>
      <c r="AZ230" t="inlineStr">
        <is>
          <t>991000725569702656</t>
        </is>
      </c>
      <c r="BA230" t="inlineStr">
        <is>
          <t>2267169820002656</t>
        </is>
      </c>
      <c r="BB230" t="inlineStr">
        <is>
          <t>BOOK</t>
        </is>
      </c>
      <c r="BD230" t="inlineStr">
        <is>
          <t>9780387124711</t>
        </is>
      </c>
      <c r="BE230" t="inlineStr">
        <is>
          <t>30001000706814</t>
        </is>
      </c>
      <c r="BF230" t="inlineStr">
        <is>
          <t>893642360</t>
        </is>
      </c>
    </row>
    <row r="231">
      <c r="A231" t="inlineStr">
        <is>
          <t>No</t>
        </is>
      </c>
      <c r="B231" t="inlineStr">
        <is>
          <t>CUHSL</t>
        </is>
      </c>
      <c r="C231" t="inlineStr">
        <is>
          <t>SHELVES</t>
        </is>
      </c>
      <c r="D231" t="inlineStr">
        <is>
          <t>WA 320 C5365 1986</t>
        </is>
      </c>
      <c r="E231" t="inlineStr">
        <is>
          <t>0                      WA 0320000C  5365        1986</t>
        </is>
      </c>
      <c r="F231" t="inlineStr">
        <is>
          <t>Children and health care : moral and social issues / edited by Loretta M. Kopelman and John C. Moskop.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Dordrecht ; Boston : Kluwer Academic Publishers, c1989.</t>
        </is>
      </c>
      <c r="O231" t="inlineStr">
        <is>
          <t>1989</t>
        </is>
      </c>
      <c r="Q231" t="inlineStr">
        <is>
          <t>eng</t>
        </is>
      </c>
      <c r="R231" t="inlineStr">
        <is>
          <t xml:space="preserve">ne </t>
        </is>
      </c>
      <c r="S231" t="inlineStr">
        <is>
          <t>Philosophy and medicine ; v. 33</t>
        </is>
      </c>
      <c r="T231" t="inlineStr">
        <is>
          <t xml:space="preserve">WA </t>
        </is>
      </c>
      <c r="U231" t="n">
        <v>5</v>
      </c>
      <c r="V231" t="n">
        <v>5</v>
      </c>
      <c r="W231" t="inlineStr">
        <is>
          <t>1998-03-27</t>
        </is>
      </c>
      <c r="X231" t="inlineStr">
        <is>
          <t>1998-03-27</t>
        </is>
      </c>
      <c r="Y231" t="inlineStr">
        <is>
          <t>1989-01-10</t>
        </is>
      </c>
      <c r="Z231" t="inlineStr">
        <is>
          <t>1989-01-10</t>
        </is>
      </c>
      <c r="AA231" t="n">
        <v>281</v>
      </c>
      <c r="AB231" t="n">
        <v>217</v>
      </c>
      <c r="AC231" t="n">
        <v>603</v>
      </c>
      <c r="AD231" t="n">
        <v>2</v>
      </c>
      <c r="AE231" t="n">
        <v>3</v>
      </c>
      <c r="AF231" t="n">
        <v>17</v>
      </c>
      <c r="AG231" t="n">
        <v>25</v>
      </c>
      <c r="AH231" t="n">
        <v>6</v>
      </c>
      <c r="AI231" t="n">
        <v>13</v>
      </c>
      <c r="AJ231" t="n">
        <v>4</v>
      </c>
      <c r="AK231" t="n">
        <v>5</v>
      </c>
      <c r="AL231" t="n">
        <v>11</v>
      </c>
      <c r="AM231" t="n">
        <v>13</v>
      </c>
      <c r="AN231" t="n">
        <v>1</v>
      </c>
      <c r="AO231" t="n">
        <v>2</v>
      </c>
      <c r="AP231" t="n">
        <v>1</v>
      </c>
      <c r="AQ231" t="n">
        <v>1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HYPERLINK("https://creighton-primo.hosted.exlibrisgroup.com/primo-explore/search?tab=default_tab&amp;search_scope=EVERYTHING&amp;vid=01CRU&amp;lang=en_US&amp;offset=0&amp;query=any,contains,991001109449702656","Catalog Record")</f>
        <v/>
      </c>
      <c r="AV231">
        <f>HYPERLINK("http://www.worldcat.org/oclc/18136905","WorldCat Record")</f>
        <v/>
      </c>
      <c r="AW231" t="inlineStr">
        <is>
          <t>1090716677:eng</t>
        </is>
      </c>
      <c r="AX231" t="inlineStr">
        <is>
          <t>18136905</t>
        </is>
      </c>
      <c r="AY231" t="inlineStr">
        <is>
          <t>991001109449702656</t>
        </is>
      </c>
      <c r="AZ231" t="inlineStr">
        <is>
          <t>991001109449702656</t>
        </is>
      </c>
      <c r="BA231" t="inlineStr">
        <is>
          <t>2271256560002656</t>
        </is>
      </c>
      <c r="BB231" t="inlineStr">
        <is>
          <t>BOOK</t>
        </is>
      </c>
      <c r="BD231" t="inlineStr">
        <is>
          <t>9781556080784</t>
        </is>
      </c>
      <c r="BE231" t="inlineStr">
        <is>
          <t>30001001611773</t>
        </is>
      </c>
      <c r="BF231" t="inlineStr">
        <is>
          <t>893168022</t>
        </is>
      </c>
    </row>
    <row r="232">
      <c r="A232" t="inlineStr">
        <is>
          <t>No</t>
        </is>
      </c>
      <c r="B232" t="inlineStr">
        <is>
          <t>CUHSL</t>
        </is>
      </c>
      <c r="C232" t="inlineStr">
        <is>
          <t>SHELVES</t>
        </is>
      </c>
      <c r="D232" t="inlineStr">
        <is>
          <t>WA 320 C53652 1990</t>
        </is>
      </c>
      <c r="E232" t="inlineStr">
        <is>
          <t>0                      WA 0320000C  53652       1990</t>
        </is>
      </c>
      <c r="F232" t="inlineStr">
        <is>
          <t>Children in a changing health system : assessments and proposals for reform / edited by Mark J. Schlesinger and Leon Eisenberg.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N232" t="inlineStr">
        <is>
          <t>Baltimore : Johns Hopkins University Press, c1990.</t>
        </is>
      </c>
      <c r="O232" t="inlineStr">
        <is>
          <t>1990</t>
        </is>
      </c>
      <c r="Q232" t="inlineStr">
        <is>
          <t>eng</t>
        </is>
      </c>
      <c r="R232" t="inlineStr">
        <is>
          <t>mdu</t>
        </is>
      </c>
      <c r="S232" t="inlineStr">
        <is>
          <t>The Johns Hopkins series in contemporary medicine and public health.</t>
        </is>
      </c>
      <c r="T232" t="inlineStr">
        <is>
          <t xml:space="preserve">WA </t>
        </is>
      </c>
      <c r="U232" t="n">
        <v>5</v>
      </c>
      <c r="V232" t="n">
        <v>5</v>
      </c>
      <c r="W232" t="inlineStr">
        <is>
          <t>1992-12-03</t>
        </is>
      </c>
      <c r="X232" t="inlineStr">
        <is>
          <t>1992-12-03</t>
        </is>
      </c>
      <c r="Y232" t="inlineStr">
        <is>
          <t>1992-11-23</t>
        </is>
      </c>
      <c r="Z232" t="inlineStr">
        <is>
          <t>1992-11-23</t>
        </is>
      </c>
      <c r="AA232" t="n">
        <v>246</v>
      </c>
      <c r="AB232" t="n">
        <v>226</v>
      </c>
      <c r="AC232" t="n">
        <v>232</v>
      </c>
      <c r="AD232" t="n">
        <v>2</v>
      </c>
      <c r="AE232" t="n">
        <v>2</v>
      </c>
      <c r="AF232" t="n">
        <v>9</v>
      </c>
      <c r="AG232" t="n">
        <v>9</v>
      </c>
      <c r="AH232" t="n">
        <v>4</v>
      </c>
      <c r="AI232" t="n">
        <v>4</v>
      </c>
      <c r="AJ232" t="n">
        <v>3</v>
      </c>
      <c r="AK232" t="n">
        <v>3</v>
      </c>
      <c r="AL232" t="n">
        <v>5</v>
      </c>
      <c r="AM232" t="n">
        <v>5</v>
      </c>
      <c r="AN232" t="n">
        <v>1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HYPERLINK("http://catalog.hathitrust.org/Record/002451560","HathiTrust Record")</f>
        <v/>
      </c>
      <c r="AU232">
        <f>HYPERLINK("https://creighton-primo.hosted.exlibrisgroup.com/primo-explore/search?tab=default_tab&amp;search_scope=EVERYTHING&amp;vid=01CRU&amp;lang=en_US&amp;offset=0&amp;query=any,contains,991001347139702656","Catalog Record")</f>
        <v/>
      </c>
      <c r="AV232">
        <f>HYPERLINK("http://www.worldcat.org/oclc/20358394","WorldCat Record")</f>
        <v/>
      </c>
      <c r="AW232" t="inlineStr">
        <is>
          <t>906220934:eng</t>
        </is>
      </c>
      <c r="AX232" t="inlineStr">
        <is>
          <t>20358394</t>
        </is>
      </c>
      <c r="AY232" t="inlineStr">
        <is>
          <t>991001347139702656</t>
        </is>
      </c>
      <c r="AZ232" t="inlineStr">
        <is>
          <t>991001347139702656</t>
        </is>
      </c>
      <c r="BA232" t="inlineStr">
        <is>
          <t>2272770520002656</t>
        </is>
      </c>
      <c r="BB232" t="inlineStr">
        <is>
          <t>BOOK</t>
        </is>
      </c>
      <c r="BD232" t="inlineStr">
        <is>
          <t>9780801839733</t>
        </is>
      </c>
      <c r="BE232" t="inlineStr">
        <is>
          <t>30001002457754</t>
        </is>
      </c>
      <c r="BF232" t="inlineStr">
        <is>
          <t>893546593</t>
        </is>
      </c>
    </row>
    <row r="233">
      <c r="A233" t="inlineStr">
        <is>
          <t>No</t>
        </is>
      </c>
      <c r="B233" t="inlineStr">
        <is>
          <t>CUHSL</t>
        </is>
      </c>
      <c r="C233" t="inlineStr">
        <is>
          <t>SHELVES</t>
        </is>
      </c>
      <c r="D233" t="inlineStr">
        <is>
          <t>WA 320 C842c 1972</t>
        </is>
      </c>
      <c r="E233" t="inlineStr">
        <is>
          <t>0                      WA 0320000C  842c        1972</t>
        </is>
      </c>
      <c r="F233" t="inlineStr">
        <is>
          <t>Child welfare : policies and practice / Lela B. Costin.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Costin, Lela B.</t>
        </is>
      </c>
      <c r="N233" t="inlineStr">
        <is>
          <t>New York : McGraw-Hill, c1979.</t>
        </is>
      </c>
      <c r="O233" t="inlineStr">
        <is>
          <t>1979</t>
        </is>
      </c>
      <c r="P233" t="inlineStr">
        <is>
          <t>-- 2d ed. --</t>
        </is>
      </c>
      <c r="Q233" t="inlineStr">
        <is>
          <t>eng</t>
        </is>
      </c>
      <c r="R233" t="inlineStr">
        <is>
          <t>nyu</t>
        </is>
      </c>
      <c r="T233" t="inlineStr">
        <is>
          <t xml:space="preserve">WA </t>
        </is>
      </c>
      <c r="U233" t="n">
        <v>7</v>
      </c>
      <c r="V233" t="n">
        <v>7</v>
      </c>
      <c r="W233" t="inlineStr">
        <is>
          <t>1997-11-21</t>
        </is>
      </c>
      <c r="X233" t="inlineStr">
        <is>
          <t>1997-11-21</t>
        </is>
      </c>
      <c r="Y233" t="inlineStr">
        <is>
          <t>1988-01-06</t>
        </is>
      </c>
      <c r="Z233" t="inlineStr">
        <is>
          <t>1988-01-06</t>
        </is>
      </c>
      <c r="AA233" t="n">
        <v>280</v>
      </c>
      <c r="AB233" t="n">
        <v>227</v>
      </c>
      <c r="AC233" t="n">
        <v>618</v>
      </c>
      <c r="AD233" t="n">
        <v>4</v>
      </c>
      <c r="AE233" t="n">
        <v>7</v>
      </c>
      <c r="AF233" t="n">
        <v>13</v>
      </c>
      <c r="AG233" t="n">
        <v>31</v>
      </c>
      <c r="AH233" t="n">
        <v>7</v>
      </c>
      <c r="AI233" t="n">
        <v>14</v>
      </c>
      <c r="AJ233" t="n">
        <v>3</v>
      </c>
      <c r="AK233" t="n">
        <v>7</v>
      </c>
      <c r="AL233" t="n">
        <v>3</v>
      </c>
      <c r="AM233" t="n">
        <v>10</v>
      </c>
      <c r="AN233" t="n">
        <v>3</v>
      </c>
      <c r="AO233" t="n">
        <v>5</v>
      </c>
      <c r="AP233" t="n">
        <v>0</v>
      </c>
      <c r="AQ233" t="n">
        <v>1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HYPERLINK("http://catalog.hathitrust.org/Record/000024665","HathiTrust Record")</f>
        <v/>
      </c>
      <c r="AU233">
        <f>HYPERLINK("https://creighton-primo.hosted.exlibrisgroup.com/primo-explore/search?tab=default_tab&amp;search_scope=EVERYTHING&amp;vid=01CRU&amp;lang=en_US&amp;offset=0&amp;query=any,contains,991000725729702656","Catalog Record")</f>
        <v/>
      </c>
      <c r="AV233">
        <f>HYPERLINK("http://www.worldcat.org/oclc/4114574","WorldCat Record")</f>
        <v/>
      </c>
      <c r="AW233" t="inlineStr">
        <is>
          <t>3396233:eng</t>
        </is>
      </c>
      <c r="AX233" t="inlineStr">
        <is>
          <t>4114574</t>
        </is>
      </c>
      <c r="AY233" t="inlineStr">
        <is>
          <t>991000725729702656</t>
        </is>
      </c>
      <c r="AZ233" t="inlineStr">
        <is>
          <t>991000725729702656</t>
        </is>
      </c>
      <c r="BA233" t="inlineStr">
        <is>
          <t>2271878210002656</t>
        </is>
      </c>
      <c r="BB233" t="inlineStr">
        <is>
          <t>BOOK</t>
        </is>
      </c>
      <c r="BD233" t="inlineStr">
        <is>
          <t>9780070132061</t>
        </is>
      </c>
      <c r="BE233" t="inlineStr">
        <is>
          <t>30001000706830</t>
        </is>
      </c>
      <c r="BF233" t="inlineStr">
        <is>
          <t>893160938</t>
        </is>
      </c>
    </row>
    <row r="234">
      <c r="A234" t="inlineStr">
        <is>
          <t>No</t>
        </is>
      </c>
      <c r="B234" t="inlineStr">
        <is>
          <t>CUHSL</t>
        </is>
      </c>
      <c r="C234" t="inlineStr">
        <is>
          <t>SHELVES</t>
        </is>
      </c>
      <c r="D234" t="inlineStr">
        <is>
          <t>WA320 E915 2000</t>
        </is>
      </c>
      <c r="E234" t="inlineStr">
        <is>
          <t>0                      WA 0320000E  915         2000</t>
        </is>
      </c>
      <c r="F234" t="inlineStr">
        <is>
          <t>Evaluation of the sexually abused child : a medical textbook and photographic atlas / [edited by] Astrid H. Heger, S. Jean Emans, David Muram ... [et al.].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Yes</t>
        </is>
      </c>
      <c r="L234" t="inlineStr">
        <is>
          <t>1</t>
        </is>
      </c>
      <c r="N234" t="inlineStr">
        <is>
          <t>New York : Oxford University Press, c2000.</t>
        </is>
      </c>
      <c r="O234" t="inlineStr">
        <is>
          <t>2000</t>
        </is>
      </c>
      <c r="P234" t="inlineStr">
        <is>
          <t>2nd ed.</t>
        </is>
      </c>
      <c r="Q234" t="inlineStr">
        <is>
          <t>eng</t>
        </is>
      </c>
      <c r="R234" t="inlineStr">
        <is>
          <t>nyu</t>
        </is>
      </c>
      <c r="T234" t="inlineStr">
        <is>
          <t xml:space="preserve">WA </t>
        </is>
      </c>
      <c r="U234" t="n">
        <v>5</v>
      </c>
      <c r="V234" t="n">
        <v>5</v>
      </c>
      <c r="W234" t="inlineStr">
        <is>
          <t>2002-11-17</t>
        </is>
      </c>
      <c r="X234" t="inlineStr">
        <is>
          <t>2002-11-17</t>
        </is>
      </c>
      <c r="Y234" t="inlineStr">
        <is>
          <t>2002-06-27</t>
        </is>
      </c>
      <c r="Z234" t="inlineStr">
        <is>
          <t>2002-06-27</t>
        </is>
      </c>
      <c r="AA234" t="n">
        <v>140</v>
      </c>
      <c r="AB234" t="n">
        <v>122</v>
      </c>
      <c r="AC234" t="n">
        <v>926</v>
      </c>
      <c r="AD234" t="n">
        <v>1</v>
      </c>
      <c r="AE234" t="n">
        <v>16</v>
      </c>
      <c r="AF234" t="n">
        <v>2</v>
      </c>
      <c r="AG234" t="n">
        <v>36</v>
      </c>
      <c r="AH234" t="n">
        <v>0</v>
      </c>
      <c r="AI234" t="n">
        <v>8</v>
      </c>
      <c r="AJ234" t="n">
        <v>1</v>
      </c>
      <c r="AK234" t="n">
        <v>8</v>
      </c>
      <c r="AL234" t="n">
        <v>1</v>
      </c>
      <c r="AM234" t="n">
        <v>8</v>
      </c>
      <c r="AN234" t="n">
        <v>0</v>
      </c>
      <c r="AO234" t="n">
        <v>12</v>
      </c>
      <c r="AP234" t="n">
        <v>0</v>
      </c>
      <c r="AQ234" t="n">
        <v>4</v>
      </c>
      <c r="AR234" t="inlineStr">
        <is>
          <t>No</t>
        </is>
      </c>
      <c r="AS234" t="inlineStr">
        <is>
          <t>No</t>
        </is>
      </c>
      <c r="AU234">
        <f>HYPERLINK("https://creighton-primo.hosted.exlibrisgroup.com/primo-explore/search?tab=default_tab&amp;search_scope=EVERYTHING&amp;vid=01CRU&amp;lang=en_US&amp;offset=0&amp;query=any,contains,991000318799702656","Catalog Record")</f>
        <v/>
      </c>
      <c r="AV234">
        <f>HYPERLINK("http://www.worldcat.org/oclc/64389654","WorldCat Record")</f>
        <v/>
      </c>
      <c r="AW234" t="inlineStr">
        <is>
          <t>866308113:eng</t>
        </is>
      </c>
      <c r="AX234" t="inlineStr">
        <is>
          <t>64389654</t>
        </is>
      </c>
      <c r="AY234" t="inlineStr">
        <is>
          <t>991000318799702656</t>
        </is>
      </c>
      <c r="AZ234" t="inlineStr">
        <is>
          <t>991000318799702656</t>
        </is>
      </c>
      <c r="BA234" t="inlineStr">
        <is>
          <t>2258506740002656</t>
        </is>
      </c>
      <c r="BB234" t="inlineStr">
        <is>
          <t>BOOK</t>
        </is>
      </c>
      <c r="BD234" t="inlineStr">
        <is>
          <t>9780195131260</t>
        </is>
      </c>
      <c r="BE234" t="inlineStr">
        <is>
          <t>30001004239721</t>
        </is>
      </c>
      <c r="BF234" t="inlineStr">
        <is>
          <t>893456554</t>
        </is>
      </c>
    </row>
    <row r="235">
      <c r="A235" t="inlineStr">
        <is>
          <t>No</t>
        </is>
      </c>
      <c r="B235" t="inlineStr">
        <is>
          <t>CUHSL</t>
        </is>
      </c>
      <c r="C235" t="inlineStr">
        <is>
          <t>SHELVES</t>
        </is>
      </c>
      <c r="D235" t="inlineStr">
        <is>
          <t>WA 320 E93s 1989</t>
        </is>
      </c>
      <c r="E235" t="inlineStr">
        <is>
          <t>0                      WA 0320000E  93s         1989</t>
        </is>
      </c>
      <c r="F235" t="inlineStr">
        <is>
          <t>Sexual trauma in children and adolescents : dynamics and treatment / by Diana Sullivan Everstine &amp; Louis Everstine.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Everstine, Diana Sullivan, 1944-</t>
        </is>
      </c>
      <c r="N235" t="inlineStr">
        <is>
          <t>New York : Brunner/Mazel, c1989.</t>
        </is>
      </c>
      <c r="O235" t="inlineStr">
        <is>
          <t>1989</t>
        </is>
      </c>
      <c r="Q235" t="inlineStr">
        <is>
          <t>eng</t>
        </is>
      </c>
      <c r="R235" t="inlineStr">
        <is>
          <t>xxu</t>
        </is>
      </c>
      <c r="T235" t="inlineStr">
        <is>
          <t xml:space="preserve">WA </t>
        </is>
      </c>
      <c r="U235" t="n">
        <v>14</v>
      </c>
      <c r="V235" t="n">
        <v>14</v>
      </c>
      <c r="W235" t="inlineStr">
        <is>
          <t>1999-03-07</t>
        </is>
      </c>
      <c r="X235" t="inlineStr">
        <is>
          <t>1999-03-07</t>
        </is>
      </c>
      <c r="Y235" t="inlineStr">
        <is>
          <t>1989-09-12</t>
        </is>
      </c>
      <c r="Z235" t="inlineStr">
        <is>
          <t>1989-09-12</t>
        </is>
      </c>
      <c r="AA235" t="n">
        <v>644</v>
      </c>
      <c r="AB235" t="n">
        <v>550</v>
      </c>
      <c r="AC235" t="n">
        <v>570</v>
      </c>
      <c r="AD235" t="n">
        <v>4</v>
      </c>
      <c r="AE235" t="n">
        <v>4</v>
      </c>
      <c r="AF235" t="n">
        <v>21</v>
      </c>
      <c r="AG235" t="n">
        <v>21</v>
      </c>
      <c r="AH235" t="n">
        <v>8</v>
      </c>
      <c r="AI235" t="n">
        <v>8</v>
      </c>
      <c r="AJ235" t="n">
        <v>5</v>
      </c>
      <c r="AK235" t="n">
        <v>5</v>
      </c>
      <c r="AL235" t="n">
        <v>12</v>
      </c>
      <c r="AM235" t="n">
        <v>12</v>
      </c>
      <c r="AN235" t="n">
        <v>3</v>
      </c>
      <c r="AO235" t="n">
        <v>3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HYPERLINK("https://creighton-primo.hosted.exlibrisgroup.com/primo-explore/search?tab=default_tab&amp;search_scope=EVERYTHING&amp;vid=01CRU&amp;lang=en_US&amp;offset=0&amp;query=any,contains,991001316539702656","Catalog Record")</f>
        <v/>
      </c>
      <c r="AV235">
        <f>HYPERLINK("http://www.worldcat.org/oclc/18414184","WorldCat Record")</f>
        <v/>
      </c>
      <c r="AW235" t="inlineStr">
        <is>
          <t>865283606:eng</t>
        </is>
      </c>
      <c r="AX235" t="inlineStr">
        <is>
          <t>18414184</t>
        </is>
      </c>
      <c r="AY235" t="inlineStr">
        <is>
          <t>991001316539702656</t>
        </is>
      </c>
      <c r="AZ235" t="inlineStr">
        <is>
          <t>991001316539702656</t>
        </is>
      </c>
      <c r="BA235" t="inlineStr">
        <is>
          <t>2257552390002656</t>
        </is>
      </c>
      <c r="BB235" t="inlineStr">
        <is>
          <t>BOOK</t>
        </is>
      </c>
      <c r="BD235" t="inlineStr">
        <is>
          <t>9780876305294</t>
        </is>
      </c>
      <c r="BE235" t="inlineStr">
        <is>
          <t>30001001753047</t>
        </is>
      </c>
      <c r="BF235" t="inlineStr">
        <is>
          <t>893638228</t>
        </is>
      </c>
    </row>
    <row r="236">
      <c r="A236" t="inlineStr">
        <is>
          <t>No</t>
        </is>
      </c>
      <c r="B236" t="inlineStr">
        <is>
          <t>CUHSL</t>
        </is>
      </c>
      <c r="C236" t="inlineStr">
        <is>
          <t>SHELVES</t>
        </is>
      </c>
      <c r="D236" t="inlineStr">
        <is>
          <t>WA 320 G228p 1987</t>
        </is>
      </c>
      <c r="E236" t="inlineStr">
        <is>
          <t>0                      WA 0320000G  228p        1987</t>
        </is>
      </c>
      <c r="F236" t="inlineStr">
        <is>
          <t>The parental alienation syndrome and the differentiation between fabricated and genuine child sex abuse / Richard A. Gardner.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Gardner, Richard A.</t>
        </is>
      </c>
      <c r="N236" t="inlineStr">
        <is>
          <t>Cresskill, N.J. : Creative Therapeutics, c1987.</t>
        </is>
      </c>
      <c r="O236" t="inlineStr">
        <is>
          <t>1987</t>
        </is>
      </c>
      <c r="Q236" t="inlineStr">
        <is>
          <t>eng</t>
        </is>
      </c>
      <c r="R236" t="inlineStr">
        <is>
          <t>xxu</t>
        </is>
      </c>
      <c r="T236" t="inlineStr">
        <is>
          <t xml:space="preserve">WA </t>
        </is>
      </c>
      <c r="U236" t="n">
        <v>9</v>
      </c>
      <c r="V236" t="n">
        <v>9</v>
      </c>
      <c r="W236" t="inlineStr">
        <is>
          <t>1997-10-13</t>
        </is>
      </c>
      <c r="X236" t="inlineStr">
        <is>
          <t>1997-10-13</t>
        </is>
      </c>
      <c r="Y236" t="inlineStr">
        <is>
          <t>1988-02-05</t>
        </is>
      </c>
      <c r="Z236" t="inlineStr">
        <is>
          <t>1988-02-05</t>
        </is>
      </c>
      <c r="AA236" t="n">
        <v>135</v>
      </c>
      <c r="AB236" t="n">
        <v>114</v>
      </c>
      <c r="AC236" t="n">
        <v>119</v>
      </c>
      <c r="AD236" t="n">
        <v>3</v>
      </c>
      <c r="AE236" t="n">
        <v>3</v>
      </c>
      <c r="AF236" t="n">
        <v>5</v>
      </c>
      <c r="AG236" t="n">
        <v>5</v>
      </c>
      <c r="AH236" t="n">
        <v>0</v>
      </c>
      <c r="AI236" t="n">
        <v>0</v>
      </c>
      <c r="AJ236" t="n">
        <v>1</v>
      </c>
      <c r="AK236" t="n">
        <v>1</v>
      </c>
      <c r="AL236" t="n">
        <v>0</v>
      </c>
      <c r="AM236" t="n">
        <v>0</v>
      </c>
      <c r="AN236" t="n">
        <v>2</v>
      </c>
      <c r="AO236" t="n">
        <v>2</v>
      </c>
      <c r="AP236" t="n">
        <v>2</v>
      </c>
      <c r="AQ236" t="n">
        <v>2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HYPERLINK("https://creighton-primo.hosted.exlibrisgroup.com/primo-explore/search?tab=default_tab&amp;search_scope=EVERYTHING&amp;vid=01CRU&amp;lang=en_US&amp;offset=0&amp;query=any,contains,991001539419702656","Catalog Record")</f>
        <v/>
      </c>
      <c r="AV236">
        <f>HYPERLINK("http://www.worldcat.org/oclc/16831935","WorldCat Record")</f>
        <v/>
      </c>
      <c r="AW236" t="inlineStr">
        <is>
          <t>499521711:eng</t>
        </is>
      </c>
      <c r="AX236" t="inlineStr">
        <is>
          <t>16831935</t>
        </is>
      </c>
      <c r="AY236" t="inlineStr">
        <is>
          <t>991001539419702656</t>
        </is>
      </c>
      <c r="AZ236" t="inlineStr">
        <is>
          <t>991001539419702656</t>
        </is>
      </c>
      <c r="BA236" t="inlineStr">
        <is>
          <t>2263618450002656</t>
        </is>
      </c>
      <c r="BB236" t="inlineStr">
        <is>
          <t>BOOK</t>
        </is>
      </c>
      <c r="BD236" t="inlineStr">
        <is>
          <t>9780933812178</t>
        </is>
      </c>
      <c r="BE236" t="inlineStr">
        <is>
          <t>30001000624520</t>
        </is>
      </c>
      <c r="BF236" t="inlineStr">
        <is>
          <t>893561068</t>
        </is>
      </c>
    </row>
    <row r="237">
      <c r="A237" t="inlineStr">
        <is>
          <t>No</t>
        </is>
      </c>
      <c r="B237" t="inlineStr">
        <is>
          <t>CUHSL</t>
        </is>
      </c>
      <c r="C237" t="inlineStr">
        <is>
          <t>SHELVES</t>
        </is>
      </c>
      <c r="D237" t="inlineStr">
        <is>
          <t>WA 320 G313h 1979</t>
        </is>
      </c>
      <c r="E237" t="inlineStr">
        <is>
          <t>0                      WA 0320000G  313h        1979</t>
        </is>
      </c>
      <c r="F237" t="inlineStr">
        <is>
          <t>Hidden victims : the sexual abuse of children / Robert L. Geiser.</t>
        </is>
      </c>
      <c r="H237" t="inlineStr">
        <is>
          <t>No</t>
        </is>
      </c>
      <c r="I237" t="inlineStr">
        <is>
          <t>1</t>
        </is>
      </c>
      <c r="J237" t="inlineStr">
        <is>
          <t>Yes</t>
        </is>
      </c>
      <c r="K237" t="inlineStr">
        <is>
          <t>No</t>
        </is>
      </c>
      <c r="L237" t="inlineStr">
        <is>
          <t>0</t>
        </is>
      </c>
      <c r="M237" t="inlineStr">
        <is>
          <t>Geiser, Robert L.</t>
        </is>
      </c>
      <c r="N237" t="inlineStr">
        <is>
          <t>Boston : Beacon Press, c1979.</t>
        </is>
      </c>
      <c r="O237" t="inlineStr">
        <is>
          <t>1979</t>
        </is>
      </c>
      <c r="Q237" t="inlineStr">
        <is>
          <t>eng</t>
        </is>
      </c>
      <c r="R237" t="inlineStr">
        <is>
          <t>xxu</t>
        </is>
      </c>
      <c r="T237" t="inlineStr">
        <is>
          <t xml:space="preserve">WA </t>
        </is>
      </c>
      <c r="U237" t="n">
        <v>3</v>
      </c>
      <c r="V237" t="n">
        <v>3</v>
      </c>
      <c r="W237" t="inlineStr">
        <is>
          <t>1994-01-07</t>
        </is>
      </c>
      <c r="X237" t="inlineStr">
        <is>
          <t>1994-01-07</t>
        </is>
      </c>
      <c r="Y237" t="inlineStr">
        <is>
          <t>1988-01-06</t>
        </is>
      </c>
      <c r="Z237" t="inlineStr">
        <is>
          <t>1988-01-06</t>
        </is>
      </c>
      <c r="AA237" t="n">
        <v>968</v>
      </c>
      <c r="AB237" t="n">
        <v>880</v>
      </c>
      <c r="AC237" t="n">
        <v>891</v>
      </c>
      <c r="AD237" t="n">
        <v>12</v>
      </c>
      <c r="AE237" t="n">
        <v>12</v>
      </c>
      <c r="AF237" t="n">
        <v>29</v>
      </c>
      <c r="AG237" t="n">
        <v>29</v>
      </c>
      <c r="AH237" t="n">
        <v>8</v>
      </c>
      <c r="AI237" t="n">
        <v>8</v>
      </c>
      <c r="AJ237" t="n">
        <v>5</v>
      </c>
      <c r="AK237" t="n">
        <v>5</v>
      </c>
      <c r="AL237" t="n">
        <v>10</v>
      </c>
      <c r="AM237" t="n">
        <v>10</v>
      </c>
      <c r="AN237" t="n">
        <v>7</v>
      </c>
      <c r="AO237" t="n">
        <v>7</v>
      </c>
      <c r="AP237" t="n">
        <v>4</v>
      </c>
      <c r="AQ237" t="n">
        <v>4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HYPERLINK("http://catalog.hathitrust.org/Record/000029222","HathiTrust Record")</f>
        <v/>
      </c>
      <c r="AU237">
        <f>HYPERLINK("https://creighton-primo.hosted.exlibrisgroup.com/primo-explore/search?tab=default_tab&amp;search_scope=EVERYTHING&amp;vid=01CRU&amp;lang=en_US&amp;offset=0&amp;query=any,contains,991000726049702656","Catalog Record")</f>
        <v/>
      </c>
      <c r="AV237">
        <f>HYPERLINK("http://www.worldcat.org/oclc/5147388","WorldCat Record")</f>
        <v/>
      </c>
      <c r="AW237" t="inlineStr">
        <is>
          <t>889644599:eng</t>
        </is>
      </c>
      <c r="AX237" t="inlineStr">
        <is>
          <t>5147388</t>
        </is>
      </c>
      <c r="AY237" t="inlineStr">
        <is>
          <t>991000726049702656</t>
        </is>
      </c>
      <c r="AZ237" t="inlineStr">
        <is>
          <t>991000726049702656</t>
        </is>
      </c>
      <c r="BA237" t="inlineStr">
        <is>
          <t>2256593340002656</t>
        </is>
      </c>
      <c r="BB237" t="inlineStr">
        <is>
          <t>BOOK</t>
        </is>
      </c>
      <c r="BD237" t="inlineStr">
        <is>
          <t>9780807029541</t>
        </is>
      </c>
      <c r="BE237" t="inlineStr">
        <is>
          <t>30001000706913</t>
        </is>
      </c>
      <c r="BF237" t="inlineStr">
        <is>
          <t>893160939</t>
        </is>
      </c>
    </row>
    <row r="238">
      <c r="A238" t="inlineStr">
        <is>
          <t>No</t>
        </is>
      </c>
      <c r="B238" t="inlineStr">
        <is>
          <t>CUHSL</t>
        </is>
      </c>
      <c r="C238" t="inlineStr">
        <is>
          <t>SHELVES</t>
        </is>
      </c>
      <c r="D238" t="inlineStr">
        <is>
          <t>WA320 G946 2000</t>
        </is>
      </c>
      <c r="E238" t="inlineStr">
        <is>
          <t>0                      WA 0320000G  946         2000</t>
        </is>
      </c>
      <c r="F238" t="inlineStr">
        <is>
          <t>Guidelines for the care of migrant farmworkers' children.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N238" t="inlineStr">
        <is>
          <t>Elk Grove Village, IL : American Academy of Pediatrics, c2000.</t>
        </is>
      </c>
      <c r="O238" t="inlineStr">
        <is>
          <t>2000</t>
        </is>
      </c>
      <c r="Q238" t="inlineStr">
        <is>
          <t>eng</t>
        </is>
      </c>
      <c r="R238" t="inlineStr">
        <is>
          <t>ilu</t>
        </is>
      </c>
      <c r="T238" t="inlineStr">
        <is>
          <t xml:space="preserve">WA </t>
        </is>
      </c>
      <c r="U238" t="n">
        <v>0</v>
      </c>
      <c r="V238" t="n">
        <v>0</v>
      </c>
      <c r="W238" t="inlineStr">
        <is>
          <t>2004-06-06</t>
        </is>
      </c>
      <c r="X238" t="inlineStr">
        <is>
          <t>2004-06-06</t>
        </is>
      </c>
      <c r="Y238" t="inlineStr">
        <is>
          <t>2004-06-03</t>
        </is>
      </c>
      <c r="Z238" t="inlineStr">
        <is>
          <t>2004-06-03</t>
        </is>
      </c>
      <c r="AA238" t="n">
        <v>63</v>
      </c>
      <c r="AB238" t="n">
        <v>62</v>
      </c>
      <c r="AC238" t="n">
        <v>62</v>
      </c>
      <c r="AD238" t="n">
        <v>1</v>
      </c>
      <c r="AE238" t="n">
        <v>1</v>
      </c>
      <c r="AF238" t="n">
        <v>2</v>
      </c>
      <c r="AG238" t="n">
        <v>2</v>
      </c>
      <c r="AH238" t="n">
        <v>1</v>
      </c>
      <c r="AI238" t="n">
        <v>1</v>
      </c>
      <c r="AJ238" t="n">
        <v>1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No</t>
        </is>
      </c>
      <c r="AU238">
        <f>HYPERLINK("https://creighton-primo.hosted.exlibrisgroup.com/primo-explore/search?tab=default_tab&amp;search_scope=EVERYTHING&amp;vid=01CRU&amp;lang=en_US&amp;offset=0&amp;query=any,contains,991000371039702656","Catalog Record")</f>
        <v/>
      </c>
      <c r="AV238">
        <f>HYPERLINK("http://www.worldcat.org/oclc/45274750","WorldCat Record")</f>
        <v/>
      </c>
      <c r="AW238" t="inlineStr">
        <is>
          <t>5578097603:eng</t>
        </is>
      </c>
      <c r="AX238" t="inlineStr">
        <is>
          <t>45274750</t>
        </is>
      </c>
      <c r="AY238" t="inlineStr">
        <is>
          <t>991000371039702656</t>
        </is>
      </c>
      <c r="AZ238" t="inlineStr">
        <is>
          <t>991000371039702656</t>
        </is>
      </c>
      <c r="BA238" t="inlineStr">
        <is>
          <t>2262839020002656</t>
        </is>
      </c>
      <c r="BB238" t="inlineStr">
        <is>
          <t>BOOK</t>
        </is>
      </c>
      <c r="BD238" t="inlineStr">
        <is>
          <t>9781581100440</t>
        </is>
      </c>
      <c r="BE238" t="inlineStr">
        <is>
          <t>30001004920312</t>
        </is>
      </c>
      <c r="BF238" t="inlineStr">
        <is>
          <t>893452073</t>
        </is>
      </c>
    </row>
    <row r="239">
      <c r="A239" t="inlineStr">
        <is>
          <t>No</t>
        </is>
      </c>
      <c r="B239" t="inlineStr">
        <is>
          <t>CUHSL</t>
        </is>
      </c>
      <c r="C239" t="inlineStr">
        <is>
          <t>SHELVES</t>
        </is>
      </c>
      <c r="D239" t="inlineStr">
        <is>
          <t>WA 320 H2365 1988</t>
        </is>
      </c>
      <c r="E239" t="inlineStr">
        <is>
          <t>0                      WA 0320000H  2365        1988</t>
        </is>
      </c>
      <c r="F239" t="inlineStr">
        <is>
          <t>Handbook on sexual abuse of children : assessment and treatment issues / Lenore E. Auerbach Walker, editor.</t>
        </is>
      </c>
      <c r="H239" t="inlineStr">
        <is>
          <t>No</t>
        </is>
      </c>
      <c r="I239" t="inlineStr">
        <is>
          <t>1</t>
        </is>
      </c>
      <c r="J239" t="inlineStr">
        <is>
          <t>Yes</t>
        </is>
      </c>
      <c r="K239" t="inlineStr">
        <is>
          <t>No</t>
        </is>
      </c>
      <c r="L239" t="inlineStr">
        <is>
          <t>0</t>
        </is>
      </c>
      <c r="N239" t="inlineStr">
        <is>
          <t>New York : Springer, c1988.</t>
        </is>
      </c>
      <c r="O239" t="inlineStr">
        <is>
          <t>1988</t>
        </is>
      </c>
      <c r="Q239" t="inlineStr">
        <is>
          <t>eng</t>
        </is>
      </c>
      <c r="R239" t="inlineStr">
        <is>
          <t>xxu</t>
        </is>
      </c>
      <c r="T239" t="inlineStr">
        <is>
          <t xml:space="preserve">WA </t>
        </is>
      </c>
      <c r="U239" t="n">
        <v>16</v>
      </c>
      <c r="V239" t="n">
        <v>16</v>
      </c>
      <c r="W239" t="inlineStr">
        <is>
          <t>2001-11-19</t>
        </is>
      </c>
      <c r="X239" t="inlineStr">
        <is>
          <t>2001-11-19</t>
        </is>
      </c>
      <c r="Y239" t="inlineStr">
        <is>
          <t>1988-10-08</t>
        </is>
      </c>
      <c r="Z239" t="inlineStr">
        <is>
          <t>1988-10-08</t>
        </is>
      </c>
      <c r="AA239" t="n">
        <v>550</v>
      </c>
      <c r="AB239" t="n">
        <v>466</v>
      </c>
      <c r="AC239" t="n">
        <v>474</v>
      </c>
      <c r="AD239" t="n">
        <v>7</v>
      </c>
      <c r="AE239" t="n">
        <v>7</v>
      </c>
      <c r="AF239" t="n">
        <v>20</v>
      </c>
      <c r="AG239" t="n">
        <v>20</v>
      </c>
      <c r="AH239" t="n">
        <v>4</v>
      </c>
      <c r="AI239" t="n">
        <v>4</v>
      </c>
      <c r="AJ239" t="n">
        <v>4</v>
      </c>
      <c r="AK239" t="n">
        <v>4</v>
      </c>
      <c r="AL239" t="n">
        <v>10</v>
      </c>
      <c r="AM239" t="n">
        <v>10</v>
      </c>
      <c r="AN239" t="n">
        <v>5</v>
      </c>
      <c r="AO239" t="n">
        <v>5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HYPERLINK("http://catalog.hathitrust.org/Record/000928096","HathiTrust Record")</f>
        <v/>
      </c>
      <c r="AU239">
        <f>HYPERLINK("https://creighton-primo.hosted.exlibrisgroup.com/primo-explore/search?tab=default_tab&amp;search_scope=EVERYTHING&amp;vid=01CRU&amp;lang=en_US&amp;offset=0&amp;query=any,contains,991001424899702656","Catalog Record")</f>
        <v/>
      </c>
      <c r="AV239">
        <f>HYPERLINK("http://www.worldcat.org/oclc/17300245","WorldCat Record")</f>
        <v/>
      </c>
      <c r="AW239" t="inlineStr">
        <is>
          <t>889626325:eng</t>
        </is>
      </c>
      <c r="AX239" t="inlineStr">
        <is>
          <t>17300245</t>
        </is>
      </c>
      <c r="AY239" t="inlineStr">
        <is>
          <t>991001424899702656</t>
        </is>
      </c>
      <c r="AZ239" t="inlineStr">
        <is>
          <t>991001424899702656</t>
        </is>
      </c>
      <c r="BA239" t="inlineStr">
        <is>
          <t>2267912650002656</t>
        </is>
      </c>
      <c r="BB239" t="inlineStr">
        <is>
          <t>BOOK</t>
        </is>
      </c>
      <c r="BD239" t="inlineStr">
        <is>
          <t>9780826153005</t>
        </is>
      </c>
      <c r="BE239" t="inlineStr">
        <is>
          <t>30001001183880</t>
        </is>
      </c>
      <c r="BF239" t="inlineStr">
        <is>
          <t>893460577</t>
        </is>
      </c>
    </row>
    <row r="240">
      <c r="A240" t="inlineStr">
        <is>
          <t>No</t>
        </is>
      </c>
      <c r="B240" t="inlineStr">
        <is>
          <t>CUHSL</t>
        </is>
      </c>
      <c r="C240" t="inlineStr">
        <is>
          <t>SHELVES</t>
        </is>
      </c>
      <c r="D240" t="inlineStr">
        <is>
          <t>WA 320 I61p 1990</t>
        </is>
      </c>
      <c r="E240" t="inlineStr">
        <is>
          <t>0                      WA 0320000I  61p         1990</t>
        </is>
      </c>
      <c r="F240" t="inlineStr">
        <is>
          <t>Protecting the world's children : a call for action : proceedings / the Fourth International Child Survival Conference, Bangkok, Thailand, March 1-3, 1990.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International Child Survival Conference (4th : 1990 : Bangkok, Thailand)</t>
        </is>
      </c>
      <c r="N240" t="inlineStr">
        <is>
          <t>[Atlanta, GA] : Task Force for Child Survival, [1990]</t>
        </is>
      </c>
      <c r="O240" t="inlineStr">
        <is>
          <t>1990</t>
        </is>
      </c>
      <c r="Q240" t="inlineStr">
        <is>
          <t>eng</t>
        </is>
      </c>
      <c r="R240" t="inlineStr">
        <is>
          <t>gau</t>
        </is>
      </c>
      <c r="T240" t="inlineStr">
        <is>
          <t xml:space="preserve">WA </t>
        </is>
      </c>
      <c r="U240" t="n">
        <v>7</v>
      </c>
      <c r="V240" t="n">
        <v>7</v>
      </c>
      <c r="W240" t="inlineStr">
        <is>
          <t>2002-09-05</t>
        </is>
      </c>
      <c r="X240" t="inlineStr">
        <is>
          <t>2002-09-05</t>
        </is>
      </c>
      <c r="Y240" t="inlineStr">
        <is>
          <t>1990-10-01</t>
        </is>
      </c>
      <c r="Z240" t="inlineStr">
        <is>
          <t>1990-10-01</t>
        </is>
      </c>
      <c r="AA240" t="n">
        <v>20</v>
      </c>
      <c r="AB240" t="n">
        <v>19</v>
      </c>
      <c r="AC240" t="n">
        <v>19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HYPERLINK("https://creighton-primo.hosted.exlibrisgroup.com/primo-explore/search?tab=default_tab&amp;search_scope=EVERYTHING&amp;vid=01CRU&amp;lang=en_US&amp;offset=0&amp;query=any,contains,991001549759702656","Catalog Record")</f>
        <v/>
      </c>
      <c r="AV240">
        <f>HYPERLINK("http://www.worldcat.org/oclc/22651558","WorldCat Record")</f>
        <v/>
      </c>
      <c r="AW240" t="inlineStr">
        <is>
          <t>1862819239:eng</t>
        </is>
      </c>
      <c r="AX240" t="inlineStr">
        <is>
          <t>22651558</t>
        </is>
      </c>
      <c r="AY240" t="inlineStr">
        <is>
          <t>991001549759702656</t>
        </is>
      </c>
      <c r="AZ240" t="inlineStr">
        <is>
          <t>991001549759702656</t>
        </is>
      </c>
      <c r="BA240" t="inlineStr">
        <is>
          <t>2255929390002656</t>
        </is>
      </c>
      <c r="BB240" t="inlineStr">
        <is>
          <t>BOOK</t>
        </is>
      </c>
      <c r="BE240" t="inlineStr">
        <is>
          <t>30001002060822</t>
        </is>
      </c>
      <c r="BF240" t="inlineStr">
        <is>
          <t>893377334</t>
        </is>
      </c>
    </row>
    <row r="241">
      <c r="A241" t="inlineStr">
        <is>
          <t>No</t>
        </is>
      </c>
      <c r="B241" t="inlineStr">
        <is>
          <t>CUHSL</t>
        </is>
      </c>
      <c r="C241" t="inlineStr">
        <is>
          <t>SHELVES</t>
        </is>
      </c>
      <c r="D241" t="inlineStr">
        <is>
          <t>WA 320 K46 1990</t>
        </is>
      </c>
      <c r="E241" t="inlineStr">
        <is>
          <t>0                      WA 0320000K  46          1990</t>
        </is>
      </c>
      <c r="F241" t="inlineStr">
        <is>
          <t>Kids' clout : Americans' attitudes on children's issues / a publication of the "I Care for Kids--And I Vote" nonpartisan voter education project of NACHRI.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N241" t="inlineStr">
        <is>
          <t>Alexandria, VA : NACHRI, c1990.</t>
        </is>
      </c>
      <c r="O241" t="inlineStr">
        <is>
          <t>1990</t>
        </is>
      </c>
      <c r="Q241" t="inlineStr">
        <is>
          <t>eng</t>
        </is>
      </c>
      <c r="R241" t="inlineStr">
        <is>
          <t>vau</t>
        </is>
      </c>
      <c r="T241" t="inlineStr">
        <is>
          <t xml:space="preserve">WA </t>
        </is>
      </c>
      <c r="U241" t="n">
        <v>4</v>
      </c>
      <c r="V241" t="n">
        <v>4</v>
      </c>
      <c r="W241" t="inlineStr">
        <is>
          <t>1991-12-18</t>
        </is>
      </c>
      <c r="X241" t="inlineStr">
        <is>
          <t>1991-12-18</t>
        </is>
      </c>
      <c r="Y241" t="inlineStr">
        <is>
          <t>1991-11-26</t>
        </is>
      </c>
      <c r="Z241" t="inlineStr">
        <is>
          <t>1991-11-26</t>
        </is>
      </c>
      <c r="AA241" t="n">
        <v>4</v>
      </c>
      <c r="AB241" t="n">
        <v>4</v>
      </c>
      <c r="AC241" t="n">
        <v>4</v>
      </c>
      <c r="AD241" t="n">
        <v>1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No</t>
        </is>
      </c>
      <c r="AU241">
        <f>HYPERLINK("https://creighton-primo.hosted.exlibrisgroup.com/primo-explore/search?tab=default_tab&amp;search_scope=EVERYTHING&amp;vid=01CRU&amp;lang=en_US&amp;offset=0&amp;query=any,contains,991000949669702656","Catalog Record")</f>
        <v/>
      </c>
      <c r="AV241">
        <f>HYPERLINK("http://www.worldcat.org/oclc/25108014","WorldCat Record")</f>
        <v/>
      </c>
      <c r="AW241" t="inlineStr">
        <is>
          <t>26659112:eng</t>
        </is>
      </c>
      <c r="AX241" t="inlineStr">
        <is>
          <t>25108014</t>
        </is>
      </c>
      <c r="AY241" t="inlineStr">
        <is>
          <t>991000949669702656</t>
        </is>
      </c>
      <c r="AZ241" t="inlineStr">
        <is>
          <t>991000949669702656</t>
        </is>
      </c>
      <c r="BA241" t="inlineStr">
        <is>
          <t>2255903940002656</t>
        </is>
      </c>
      <c r="BB241" t="inlineStr">
        <is>
          <t>BOOK</t>
        </is>
      </c>
      <c r="BE241" t="inlineStr">
        <is>
          <t>30001002194712</t>
        </is>
      </c>
      <c r="BF241" t="inlineStr">
        <is>
          <t>893831774</t>
        </is>
      </c>
    </row>
    <row r="242">
      <c r="A242" t="inlineStr">
        <is>
          <t>No</t>
        </is>
      </c>
      <c r="B242" t="inlineStr">
        <is>
          <t>CUHSL</t>
        </is>
      </c>
      <c r="C242" t="inlineStr">
        <is>
          <t>SHELVES</t>
        </is>
      </c>
      <c r="D242" t="inlineStr">
        <is>
          <t>WA 320 K64a 1991</t>
        </is>
      </c>
      <c r="E242" t="inlineStr">
        <is>
          <t>0                      WA 0320000K  64a         1991</t>
        </is>
      </c>
      <c r="F242" t="inlineStr">
        <is>
          <t>Alive and well? : a research and policy review of health programs for poor young children / Lorraine V. Klerman ; with the assistance of Maura B. Parker.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Klerman, Lorraine V.</t>
        </is>
      </c>
      <c r="N242" t="inlineStr">
        <is>
          <t>New York, N.Y. : National Center for Children in Poverty, c1991.</t>
        </is>
      </c>
      <c r="O242" t="inlineStr">
        <is>
          <t>1991</t>
        </is>
      </c>
      <c r="Q242" t="inlineStr">
        <is>
          <t>eng</t>
        </is>
      </c>
      <c r="R242" t="inlineStr">
        <is>
          <t>nyu</t>
        </is>
      </c>
      <c r="T242" t="inlineStr">
        <is>
          <t xml:space="preserve">WA </t>
        </is>
      </c>
      <c r="U242" t="n">
        <v>10</v>
      </c>
      <c r="V242" t="n">
        <v>10</v>
      </c>
      <c r="W242" t="inlineStr">
        <is>
          <t>1997-02-25</t>
        </is>
      </c>
      <c r="X242" t="inlineStr">
        <is>
          <t>1997-02-25</t>
        </is>
      </c>
      <c r="Y242" t="inlineStr">
        <is>
          <t>1991-04-17</t>
        </is>
      </c>
      <c r="Z242" t="inlineStr">
        <is>
          <t>1991-04-17</t>
        </is>
      </c>
      <c r="AA242" t="n">
        <v>107</v>
      </c>
      <c r="AB242" t="n">
        <v>98</v>
      </c>
      <c r="AC242" t="n">
        <v>100</v>
      </c>
      <c r="AD242" t="n">
        <v>1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HYPERLINK("https://creighton-primo.hosted.exlibrisgroup.com/primo-explore/search?tab=default_tab&amp;search_scope=EVERYTHING&amp;vid=01CRU&amp;lang=en_US&amp;offset=0&amp;query=any,contains,991000828089702656","Catalog Record")</f>
        <v/>
      </c>
      <c r="AV242">
        <f>HYPERLINK("http://www.worldcat.org/oclc/22733700","WorldCat Record")</f>
        <v/>
      </c>
      <c r="AW242" t="inlineStr">
        <is>
          <t>24509174:eng</t>
        </is>
      </c>
      <c r="AX242" t="inlineStr">
        <is>
          <t>22733700</t>
        </is>
      </c>
      <c r="AY242" t="inlineStr">
        <is>
          <t>991000828089702656</t>
        </is>
      </c>
      <c r="AZ242" t="inlineStr">
        <is>
          <t>991000828089702656</t>
        </is>
      </c>
      <c r="BA242" t="inlineStr">
        <is>
          <t>2267248630002656</t>
        </is>
      </c>
      <c r="BB242" t="inlineStr">
        <is>
          <t>BOOK</t>
        </is>
      </c>
      <c r="BD242" t="inlineStr">
        <is>
          <t>9780926582026</t>
        </is>
      </c>
      <c r="BE242" t="inlineStr">
        <is>
          <t>30001002089896</t>
        </is>
      </c>
      <c r="BF242" t="inlineStr">
        <is>
          <t>893287037</t>
        </is>
      </c>
    </row>
    <row r="243">
      <c r="A243" t="inlineStr">
        <is>
          <t>No</t>
        </is>
      </c>
      <c r="B243" t="inlineStr">
        <is>
          <t>CUHSL</t>
        </is>
      </c>
      <c r="C243" t="inlineStr">
        <is>
          <t>SHELVES</t>
        </is>
      </c>
      <c r="D243" t="inlineStr">
        <is>
          <t>WA 320 L349 1988</t>
        </is>
      </c>
      <c r="E243" t="inlineStr">
        <is>
          <t>0                      WA 0320000L  349         1988</t>
        </is>
      </c>
      <c r="F243" t="inlineStr">
        <is>
          <t>Lasting effects of child sexual abuse / edited by Gail Elizabeth Wyatt, Gloria Johnson Powell.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N243" t="inlineStr">
        <is>
          <t>Newbury Park : Sage Publications, c1988.</t>
        </is>
      </c>
      <c r="O243" t="inlineStr">
        <is>
          <t>1988</t>
        </is>
      </c>
      <c r="Q243" t="inlineStr">
        <is>
          <t>eng</t>
        </is>
      </c>
      <c r="R243" t="inlineStr">
        <is>
          <t>xxu</t>
        </is>
      </c>
      <c r="S243" t="inlineStr">
        <is>
          <t>Sage focus editions ; 100</t>
        </is>
      </c>
      <c r="T243" t="inlineStr">
        <is>
          <t xml:space="preserve">WA </t>
        </is>
      </c>
      <c r="U243" t="n">
        <v>20</v>
      </c>
      <c r="V243" t="n">
        <v>20</v>
      </c>
      <c r="W243" t="inlineStr">
        <is>
          <t>2001-11-19</t>
        </is>
      </c>
      <c r="X243" t="inlineStr">
        <is>
          <t>2001-11-19</t>
        </is>
      </c>
      <c r="Y243" t="inlineStr">
        <is>
          <t>1989-05-30</t>
        </is>
      </c>
      <c r="Z243" t="inlineStr">
        <is>
          <t>1989-05-30</t>
        </is>
      </c>
      <c r="AA243" t="n">
        <v>575</v>
      </c>
      <c r="AB243" t="n">
        <v>418</v>
      </c>
      <c r="AC243" t="n">
        <v>425</v>
      </c>
      <c r="AD243" t="n">
        <v>4</v>
      </c>
      <c r="AE243" t="n">
        <v>4</v>
      </c>
      <c r="AF243" t="n">
        <v>22</v>
      </c>
      <c r="AG243" t="n">
        <v>22</v>
      </c>
      <c r="AH243" t="n">
        <v>9</v>
      </c>
      <c r="AI243" t="n">
        <v>9</v>
      </c>
      <c r="AJ243" t="n">
        <v>4</v>
      </c>
      <c r="AK243" t="n">
        <v>4</v>
      </c>
      <c r="AL243" t="n">
        <v>12</v>
      </c>
      <c r="AM243" t="n">
        <v>12</v>
      </c>
      <c r="AN243" t="n">
        <v>3</v>
      </c>
      <c r="AO243" t="n">
        <v>3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HYPERLINK("http://catalog.hathitrust.org/Record/001089000","HathiTrust Record")</f>
        <v/>
      </c>
      <c r="AU243">
        <f>HYPERLINK("https://creighton-primo.hosted.exlibrisgroup.com/primo-explore/search?tab=default_tab&amp;search_scope=EVERYTHING&amp;vid=01CRU&amp;lang=en_US&amp;offset=0&amp;query=any,contains,991001249439702656","Catalog Record")</f>
        <v/>
      </c>
      <c r="AV243">
        <f>HYPERLINK("http://www.worldcat.org/oclc/17548506","WorldCat Record")</f>
        <v/>
      </c>
      <c r="AW243" t="inlineStr">
        <is>
          <t>353920099:eng</t>
        </is>
      </c>
      <c r="AX243" t="inlineStr">
        <is>
          <t>17548506</t>
        </is>
      </c>
      <c r="AY243" t="inlineStr">
        <is>
          <t>991001249439702656</t>
        </is>
      </c>
      <c r="AZ243" t="inlineStr">
        <is>
          <t>991001249439702656</t>
        </is>
      </c>
      <c r="BA243" t="inlineStr">
        <is>
          <t>2259166420002656</t>
        </is>
      </c>
      <c r="BB243" t="inlineStr">
        <is>
          <t>BOOK</t>
        </is>
      </c>
      <c r="BD243" t="inlineStr">
        <is>
          <t>9780803932579</t>
        </is>
      </c>
      <c r="BE243" t="inlineStr">
        <is>
          <t>30001001678566</t>
        </is>
      </c>
      <c r="BF243" t="inlineStr">
        <is>
          <t>893161799</t>
        </is>
      </c>
    </row>
    <row r="244">
      <c r="A244" t="inlineStr">
        <is>
          <t>No</t>
        </is>
      </c>
      <c r="B244" t="inlineStr">
        <is>
          <t>CUHSL</t>
        </is>
      </c>
      <c r="C244" t="inlineStr">
        <is>
          <t>SHELVES</t>
        </is>
      </c>
      <c r="D244" t="inlineStr">
        <is>
          <t>WA 320 L378c 2003</t>
        </is>
      </c>
      <c r="E244" t="inlineStr">
        <is>
          <t>0                      WA 0320000L  378c        2003</t>
        </is>
      </c>
      <c r="F244" t="inlineStr">
        <is>
          <t>The covered smile : a true story / by Sonja Lauren.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Lauren, Sonja, 1963-</t>
        </is>
      </c>
      <c r="N244" t="inlineStr">
        <is>
          <t>Richmond, Va. : Brandylane Pub., 2003.</t>
        </is>
      </c>
      <c r="O244" t="inlineStr">
        <is>
          <t>2003</t>
        </is>
      </c>
      <c r="Q244" t="inlineStr">
        <is>
          <t>eng</t>
        </is>
      </c>
      <c r="R244" t="inlineStr">
        <is>
          <t>vau</t>
        </is>
      </c>
      <c r="T244" t="inlineStr">
        <is>
          <t xml:space="preserve">WA </t>
        </is>
      </c>
      <c r="U244" t="n">
        <v>2</v>
      </c>
      <c r="V244" t="n">
        <v>2</v>
      </c>
      <c r="W244" t="inlineStr">
        <is>
          <t>2003-05-27</t>
        </is>
      </c>
      <c r="X244" t="inlineStr">
        <is>
          <t>2003-05-27</t>
        </is>
      </c>
      <c r="Y244" t="inlineStr">
        <is>
          <t>2003-05-15</t>
        </is>
      </c>
      <c r="Z244" t="inlineStr">
        <is>
          <t>2003-05-15</t>
        </is>
      </c>
      <c r="AA244" t="n">
        <v>32</v>
      </c>
      <c r="AB244" t="n">
        <v>32</v>
      </c>
      <c r="AC244" t="n">
        <v>34</v>
      </c>
      <c r="AD244" t="n">
        <v>1</v>
      </c>
      <c r="AE244" t="n">
        <v>1</v>
      </c>
      <c r="AF244" t="n">
        <v>2</v>
      </c>
      <c r="AG244" t="n">
        <v>2</v>
      </c>
      <c r="AH244" t="n">
        <v>0</v>
      </c>
      <c r="AI244" t="n">
        <v>0</v>
      </c>
      <c r="AJ244" t="n">
        <v>1</v>
      </c>
      <c r="AK244" t="n">
        <v>1</v>
      </c>
      <c r="AL244" t="n">
        <v>2</v>
      </c>
      <c r="AM244" t="n">
        <v>2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HYPERLINK("http://catalog.hathitrust.org/Record/005419898","HathiTrust Record")</f>
        <v/>
      </c>
      <c r="AU244">
        <f>HYPERLINK("https://creighton-primo.hosted.exlibrisgroup.com/primo-explore/search?tab=default_tab&amp;search_scope=EVERYTHING&amp;vid=01CRU&amp;lang=en_US&amp;offset=0&amp;query=any,contains,991000347209702656","Catalog Record")</f>
        <v/>
      </c>
      <c r="AV244">
        <f>HYPERLINK("http://www.worldcat.org/oclc/50912524","WorldCat Record")</f>
        <v/>
      </c>
      <c r="AW244" t="inlineStr">
        <is>
          <t>476881288:eng</t>
        </is>
      </c>
      <c r="AX244" t="inlineStr">
        <is>
          <t>50912524</t>
        </is>
      </c>
      <c r="AY244" t="inlineStr">
        <is>
          <t>991000347209702656</t>
        </is>
      </c>
      <c r="AZ244" t="inlineStr">
        <is>
          <t>991000347209702656</t>
        </is>
      </c>
      <c r="BA244" t="inlineStr">
        <is>
          <t>2272734500002656</t>
        </is>
      </c>
      <c r="BB244" t="inlineStr">
        <is>
          <t>BOOK</t>
        </is>
      </c>
      <c r="BD244" t="inlineStr">
        <is>
          <t>9781883911522</t>
        </is>
      </c>
      <c r="BE244" t="inlineStr">
        <is>
          <t>30001004640514</t>
        </is>
      </c>
      <c r="BF244" t="inlineStr">
        <is>
          <t>893123006</t>
        </is>
      </c>
    </row>
    <row r="245">
      <c r="A245" t="inlineStr">
        <is>
          <t>No</t>
        </is>
      </c>
      <c r="B245" t="inlineStr">
        <is>
          <t>CUHSL</t>
        </is>
      </c>
      <c r="C245" t="inlineStr">
        <is>
          <t>SHELVES</t>
        </is>
      </c>
      <c r="D245" t="inlineStr">
        <is>
          <t>WA 320 M143s 1986</t>
        </is>
      </c>
      <c r="E245" t="inlineStr">
        <is>
          <t>0                      WA 0320000M  143s        1986</t>
        </is>
      </c>
      <c r="F245" t="inlineStr">
        <is>
          <t>Sexual abuse of young children : evaluation and treatment / Kee MacFarlane, Jill Waterman.</t>
        </is>
      </c>
      <c r="H245" t="inlineStr">
        <is>
          <t>No</t>
        </is>
      </c>
      <c r="I245" t="inlineStr">
        <is>
          <t>1</t>
        </is>
      </c>
      <c r="J245" t="inlineStr">
        <is>
          <t>Yes</t>
        </is>
      </c>
      <c r="K245" t="inlineStr">
        <is>
          <t>No</t>
        </is>
      </c>
      <c r="L245" t="inlineStr">
        <is>
          <t>0</t>
        </is>
      </c>
      <c r="M245" t="inlineStr">
        <is>
          <t>MacFarlane, Kee.</t>
        </is>
      </c>
      <c r="N245" t="inlineStr">
        <is>
          <t>New York : Guilford Press, c1986.</t>
        </is>
      </c>
      <c r="O245" t="inlineStr">
        <is>
          <t>1986</t>
        </is>
      </c>
      <c r="Q245" t="inlineStr">
        <is>
          <t>eng</t>
        </is>
      </c>
      <c r="R245" t="inlineStr">
        <is>
          <t>xxu</t>
        </is>
      </c>
      <c r="T245" t="inlineStr">
        <is>
          <t xml:space="preserve">WA </t>
        </is>
      </c>
      <c r="U245" t="n">
        <v>19</v>
      </c>
      <c r="V245" t="n">
        <v>19</v>
      </c>
      <c r="W245" t="inlineStr">
        <is>
          <t>2001-11-19</t>
        </is>
      </c>
      <c r="X245" t="inlineStr">
        <is>
          <t>2001-11-19</t>
        </is>
      </c>
      <c r="Y245" t="inlineStr">
        <is>
          <t>1988-01-06</t>
        </is>
      </c>
      <c r="Z245" t="inlineStr">
        <is>
          <t>1988-01-06</t>
        </is>
      </c>
      <c r="AA245" t="n">
        <v>990</v>
      </c>
      <c r="AB245" t="n">
        <v>862</v>
      </c>
      <c r="AC245" t="n">
        <v>867</v>
      </c>
      <c r="AD245" t="n">
        <v>7</v>
      </c>
      <c r="AE245" t="n">
        <v>7</v>
      </c>
      <c r="AF245" t="n">
        <v>31</v>
      </c>
      <c r="AG245" t="n">
        <v>31</v>
      </c>
      <c r="AH245" t="n">
        <v>13</v>
      </c>
      <c r="AI245" t="n">
        <v>13</v>
      </c>
      <c r="AJ245" t="n">
        <v>5</v>
      </c>
      <c r="AK245" t="n">
        <v>5</v>
      </c>
      <c r="AL245" t="n">
        <v>17</v>
      </c>
      <c r="AM245" t="n">
        <v>17</v>
      </c>
      <c r="AN245" t="n">
        <v>4</v>
      </c>
      <c r="AO245" t="n">
        <v>4</v>
      </c>
      <c r="AP245" t="n">
        <v>2</v>
      </c>
      <c r="AQ245" t="n">
        <v>2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HYPERLINK("https://creighton-primo.hosted.exlibrisgroup.com/primo-explore/search?tab=default_tab&amp;search_scope=EVERYTHING&amp;vid=01CRU&amp;lang=en_US&amp;offset=0&amp;query=any,contains,991000726489702656","Catalog Record")</f>
        <v/>
      </c>
      <c r="AV245">
        <f>HYPERLINK("http://www.worldcat.org/oclc/12972899","WorldCat Record")</f>
        <v/>
      </c>
      <c r="AW245" t="inlineStr">
        <is>
          <t>5608350:eng</t>
        </is>
      </c>
      <c r="AX245" t="inlineStr">
        <is>
          <t>12972899</t>
        </is>
      </c>
      <c r="AY245" t="inlineStr">
        <is>
          <t>991000726489702656</t>
        </is>
      </c>
      <c r="AZ245" t="inlineStr">
        <is>
          <t>991000726489702656</t>
        </is>
      </c>
      <c r="BA245" t="inlineStr">
        <is>
          <t>2269514070002656</t>
        </is>
      </c>
      <c r="BB245" t="inlineStr">
        <is>
          <t>BOOK</t>
        </is>
      </c>
      <c r="BD245" t="inlineStr">
        <is>
          <t>9780898626759</t>
        </is>
      </c>
      <c r="BE245" t="inlineStr">
        <is>
          <t>30001000706996</t>
        </is>
      </c>
      <c r="BF245" t="inlineStr">
        <is>
          <t>893454778</t>
        </is>
      </c>
    </row>
    <row r="246">
      <c r="A246" t="inlineStr">
        <is>
          <t>No</t>
        </is>
      </c>
      <c r="B246" t="inlineStr">
        <is>
          <t>CUHSL</t>
        </is>
      </c>
      <c r="C246" t="inlineStr">
        <is>
          <t>SHELVES</t>
        </is>
      </c>
      <c r="D246" t="inlineStr">
        <is>
          <t>WA 320 M744m 1989</t>
        </is>
      </c>
      <c r="E246" t="inlineStr">
        <is>
          <t>0                      WA 0320000M  744m        1989</t>
        </is>
      </c>
      <c r="F246" t="inlineStr">
        <is>
          <t>Monitoring children's health : key indicators / C. Arden Miller, Amy Fine, Sharon Adams-Taylor.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Miller, C. Arden.</t>
        </is>
      </c>
      <c r="N246" t="inlineStr">
        <is>
          <t>Washington, DC : American Public Health Association, c1989.</t>
        </is>
      </c>
      <c r="O246" t="inlineStr">
        <is>
          <t>1989</t>
        </is>
      </c>
      <c r="P246" t="inlineStr">
        <is>
          <t>2nd edition.</t>
        </is>
      </c>
      <c r="Q246" t="inlineStr">
        <is>
          <t>eng</t>
        </is>
      </c>
      <c r="R246" t="inlineStr">
        <is>
          <t>dcu</t>
        </is>
      </c>
      <c r="T246" t="inlineStr">
        <is>
          <t xml:space="preserve">WA </t>
        </is>
      </c>
      <c r="U246" t="n">
        <v>8</v>
      </c>
      <c r="V246" t="n">
        <v>8</v>
      </c>
      <c r="W246" t="inlineStr">
        <is>
          <t>1998-01-20</t>
        </is>
      </c>
      <c r="X246" t="inlineStr">
        <is>
          <t>1998-01-20</t>
        </is>
      </c>
      <c r="Y246" t="inlineStr">
        <is>
          <t>1992-03-12</t>
        </is>
      </c>
      <c r="Z246" t="inlineStr">
        <is>
          <t>1992-03-12</t>
        </is>
      </c>
      <c r="AA246" t="n">
        <v>131</v>
      </c>
      <c r="AB246" t="n">
        <v>109</v>
      </c>
      <c r="AC246" t="n">
        <v>184</v>
      </c>
      <c r="AD246" t="n">
        <v>2</v>
      </c>
      <c r="AE246" t="n">
        <v>2</v>
      </c>
      <c r="AF246" t="n">
        <v>3</v>
      </c>
      <c r="AG246" t="n">
        <v>5</v>
      </c>
      <c r="AH246" t="n">
        <v>0</v>
      </c>
      <c r="AI246" t="n">
        <v>1</v>
      </c>
      <c r="AJ246" t="n">
        <v>1</v>
      </c>
      <c r="AK246" t="n">
        <v>2</v>
      </c>
      <c r="AL246" t="n">
        <v>2</v>
      </c>
      <c r="AM246" t="n">
        <v>3</v>
      </c>
      <c r="AN246" t="n">
        <v>1</v>
      </c>
      <c r="AO246" t="n">
        <v>1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HYPERLINK("http://catalog.hathitrust.org/Record/004482415","HathiTrust Record")</f>
        <v/>
      </c>
      <c r="AU246">
        <f>HYPERLINK("https://creighton-primo.hosted.exlibrisgroup.com/primo-explore/search?tab=default_tab&amp;search_scope=EVERYTHING&amp;vid=01CRU&amp;lang=en_US&amp;offset=0&amp;query=any,contains,991001034049702656","Catalog Record")</f>
        <v/>
      </c>
      <c r="AV246">
        <f>HYPERLINK("http://www.worldcat.org/oclc/26769079","WorldCat Record")</f>
        <v/>
      </c>
      <c r="AW246" t="inlineStr">
        <is>
          <t>429936270:eng</t>
        </is>
      </c>
      <c r="AX246" t="inlineStr">
        <is>
          <t>26769079</t>
        </is>
      </c>
      <c r="AY246" t="inlineStr">
        <is>
          <t>991001034049702656</t>
        </is>
      </c>
      <c r="AZ246" t="inlineStr">
        <is>
          <t>991001034049702656</t>
        </is>
      </c>
      <c r="BA246" t="inlineStr">
        <is>
          <t>2257493070002656</t>
        </is>
      </c>
      <c r="BB246" t="inlineStr">
        <is>
          <t>BOOK</t>
        </is>
      </c>
      <c r="BD246" t="inlineStr">
        <is>
          <t>9780875531625</t>
        </is>
      </c>
      <c r="BE246" t="inlineStr">
        <is>
          <t>30001002244368</t>
        </is>
      </c>
      <c r="BF246" t="inlineStr">
        <is>
          <t>893826397</t>
        </is>
      </c>
    </row>
    <row r="247">
      <c r="A247" t="inlineStr">
        <is>
          <t>No</t>
        </is>
      </c>
      <c r="B247" t="inlineStr">
        <is>
          <t>CUHSL</t>
        </is>
      </c>
      <c r="C247" t="inlineStr">
        <is>
          <t>SHELVES</t>
        </is>
      </c>
      <c r="D247" t="inlineStr">
        <is>
          <t>WA 320 P9737 1986</t>
        </is>
      </c>
      <c r="E247" t="inlineStr">
        <is>
          <t>0                      WA 0320000P  9737        1986</t>
        </is>
      </c>
      <c r="F247" t="inlineStr">
        <is>
          <t>Psychiatric sequelae of child abuse : reconnaissance of child abuse and neglect evaluation, prospects, recommendations / [edited] by Jamia Jasper Jacobsen.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N247" t="inlineStr">
        <is>
          <t>Springfield, Ill., U.S.A. : Thomas, c1986.</t>
        </is>
      </c>
      <c r="O247" t="inlineStr">
        <is>
          <t>1986</t>
        </is>
      </c>
      <c r="Q247" t="inlineStr">
        <is>
          <t>eng</t>
        </is>
      </c>
      <c r="R247" t="inlineStr">
        <is>
          <t>xxu</t>
        </is>
      </c>
      <c r="T247" t="inlineStr">
        <is>
          <t xml:space="preserve">WA </t>
        </is>
      </c>
      <c r="U247" t="n">
        <v>6</v>
      </c>
      <c r="V247" t="n">
        <v>6</v>
      </c>
      <c r="W247" t="inlineStr">
        <is>
          <t>2001-05-06</t>
        </is>
      </c>
      <c r="X247" t="inlineStr">
        <is>
          <t>2001-05-06</t>
        </is>
      </c>
      <c r="Y247" t="inlineStr">
        <is>
          <t>1988-01-06</t>
        </is>
      </c>
      <c r="Z247" t="inlineStr">
        <is>
          <t>1988-01-06</t>
        </is>
      </c>
      <c r="AA247" t="n">
        <v>177</v>
      </c>
      <c r="AB247" t="n">
        <v>144</v>
      </c>
      <c r="AC247" t="n">
        <v>147</v>
      </c>
      <c r="AD247" t="n">
        <v>2</v>
      </c>
      <c r="AE247" t="n">
        <v>2</v>
      </c>
      <c r="AF247" t="n">
        <v>5</v>
      </c>
      <c r="AG247" t="n">
        <v>5</v>
      </c>
      <c r="AH247" t="n">
        <v>1</v>
      </c>
      <c r="AI247" t="n">
        <v>1</v>
      </c>
      <c r="AJ247" t="n">
        <v>1</v>
      </c>
      <c r="AK247" t="n">
        <v>1</v>
      </c>
      <c r="AL247" t="n">
        <v>3</v>
      </c>
      <c r="AM247" t="n">
        <v>3</v>
      </c>
      <c r="AN247" t="n">
        <v>1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HYPERLINK("http://catalog.hathitrust.org/Record/000398988","HathiTrust Record")</f>
        <v/>
      </c>
      <c r="AU247">
        <f>HYPERLINK("https://creighton-primo.hosted.exlibrisgroup.com/primo-explore/search?tab=default_tab&amp;search_scope=EVERYTHING&amp;vid=01CRU&amp;lang=en_US&amp;offset=0&amp;query=any,contains,991000726559702656","Catalog Record")</f>
        <v/>
      </c>
      <c r="AV247">
        <f>HYPERLINK("http://www.worldcat.org/oclc/13122614","WorldCat Record")</f>
        <v/>
      </c>
      <c r="AW247" t="inlineStr">
        <is>
          <t>5659809:eng</t>
        </is>
      </c>
      <c r="AX247" t="inlineStr">
        <is>
          <t>13122614</t>
        </is>
      </c>
      <c r="AY247" t="inlineStr">
        <is>
          <t>991000726559702656</t>
        </is>
      </c>
      <c r="AZ247" t="inlineStr">
        <is>
          <t>991000726559702656</t>
        </is>
      </c>
      <c r="BA247" t="inlineStr">
        <is>
          <t>2255348120002656</t>
        </is>
      </c>
      <c r="BB247" t="inlineStr">
        <is>
          <t>BOOK</t>
        </is>
      </c>
      <c r="BD247" t="inlineStr">
        <is>
          <t>9780398052331</t>
        </is>
      </c>
      <c r="BE247" t="inlineStr">
        <is>
          <t>30001000707002</t>
        </is>
      </c>
      <c r="BF247" t="inlineStr">
        <is>
          <t>893362908</t>
        </is>
      </c>
    </row>
    <row r="248">
      <c r="A248" t="inlineStr">
        <is>
          <t>No</t>
        </is>
      </c>
      <c r="B248" t="inlineStr">
        <is>
          <t>CUHSL</t>
        </is>
      </c>
      <c r="C248" t="inlineStr">
        <is>
          <t>SHELVES</t>
        </is>
      </c>
      <c r="D248" t="inlineStr">
        <is>
          <t>WA 320 R434 1997</t>
        </is>
      </c>
      <c r="E248" t="inlineStr">
        <is>
          <t>0                      WA 0320000R  434         1997</t>
        </is>
      </c>
      <c r="F248" t="inlineStr">
        <is>
          <t>Resource guide on children's environmental health.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N248" t="inlineStr">
        <is>
          <t>Emeryville, CA : Children's Environmental Health Network, 1997.</t>
        </is>
      </c>
      <c r="O248" t="inlineStr">
        <is>
          <t>1997</t>
        </is>
      </c>
      <c r="Q248" t="inlineStr">
        <is>
          <t>eng</t>
        </is>
      </c>
      <c r="R248" t="inlineStr">
        <is>
          <t>cau</t>
        </is>
      </c>
      <c r="T248" t="inlineStr">
        <is>
          <t xml:space="preserve">WA </t>
        </is>
      </c>
      <c r="U248" t="n">
        <v>1</v>
      </c>
      <c r="V248" t="n">
        <v>1</v>
      </c>
      <c r="W248" t="inlineStr">
        <is>
          <t>1998-11-12</t>
        </is>
      </c>
      <c r="X248" t="inlineStr">
        <is>
          <t>1998-11-12</t>
        </is>
      </c>
      <c r="Y248" t="inlineStr">
        <is>
          <t>1998-11-12</t>
        </is>
      </c>
      <c r="Z248" t="inlineStr">
        <is>
          <t>1998-11-12</t>
        </is>
      </c>
      <c r="AA248" t="n">
        <v>109</v>
      </c>
      <c r="AB248" t="n">
        <v>109</v>
      </c>
      <c r="AC248" t="n">
        <v>110</v>
      </c>
      <c r="AD248" t="n">
        <v>1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No</t>
        </is>
      </c>
      <c r="AU248">
        <f>HYPERLINK("https://creighton-primo.hosted.exlibrisgroup.com/primo-explore/search?tab=default_tab&amp;search_scope=EVERYTHING&amp;vid=01CRU&amp;lang=en_US&amp;offset=0&amp;query=any,contains,991000689329702656","Catalog Record")</f>
        <v/>
      </c>
      <c r="AV248">
        <f>HYPERLINK("http://www.worldcat.org/oclc/37874010","WorldCat Record")</f>
        <v/>
      </c>
      <c r="AW248" t="inlineStr">
        <is>
          <t>56224608:eng</t>
        </is>
      </c>
      <c r="AX248" t="inlineStr">
        <is>
          <t>37874010</t>
        </is>
      </c>
      <c r="AY248" t="inlineStr">
        <is>
          <t>991000689329702656</t>
        </is>
      </c>
      <c r="AZ248" t="inlineStr">
        <is>
          <t>991000689329702656</t>
        </is>
      </c>
      <c r="BA248" t="inlineStr">
        <is>
          <t>2268238820002656</t>
        </is>
      </c>
      <c r="BB248" t="inlineStr">
        <is>
          <t>BOOK</t>
        </is>
      </c>
      <c r="BE248" t="inlineStr">
        <is>
          <t>30001004035905</t>
        </is>
      </c>
      <c r="BF248" t="inlineStr">
        <is>
          <t>893540234</t>
        </is>
      </c>
    </row>
    <row r="249">
      <c r="A249" t="inlineStr">
        <is>
          <t>No</t>
        </is>
      </c>
      <c r="B249" t="inlineStr">
        <is>
          <t>CUHSL</t>
        </is>
      </c>
      <c r="C249" t="inlineStr">
        <is>
          <t>SHELVES</t>
        </is>
      </c>
      <c r="D249" t="inlineStr">
        <is>
          <t>WA 320 R5697c 2003</t>
        </is>
      </c>
      <c r="E249" t="inlineStr">
        <is>
          <t>0                      WA 0320000R  5697c       2003</t>
        </is>
      </c>
      <c r="F249" t="inlineStr">
        <is>
          <t>Child maltreatment risk assessments : an evaluation guide / Sue Righthand, Bruce Kerr, Kerry Drach.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1</t>
        </is>
      </c>
      <c r="M249" t="inlineStr">
        <is>
          <t>Righthand, Sue.</t>
        </is>
      </c>
      <c r="N249" t="inlineStr">
        <is>
          <t>New York : Haworth Maltreatment and Trauma Press, c2003.</t>
        </is>
      </c>
      <c r="O249" t="inlineStr">
        <is>
          <t>2003</t>
        </is>
      </c>
      <c r="Q249" t="inlineStr">
        <is>
          <t>eng</t>
        </is>
      </c>
      <c r="R249" t="inlineStr">
        <is>
          <t>nyu</t>
        </is>
      </c>
      <c r="T249" t="inlineStr">
        <is>
          <t xml:space="preserve">WA </t>
        </is>
      </c>
      <c r="U249" t="n">
        <v>0</v>
      </c>
      <c r="V249" t="n">
        <v>0</v>
      </c>
      <c r="W249" t="inlineStr">
        <is>
          <t>2004-09-24</t>
        </is>
      </c>
      <c r="X249" t="inlineStr">
        <is>
          <t>2004-09-24</t>
        </is>
      </c>
      <c r="Y249" t="inlineStr">
        <is>
          <t>2004-09-22</t>
        </is>
      </c>
      <c r="Z249" t="inlineStr">
        <is>
          <t>2004-09-22</t>
        </is>
      </c>
      <c r="AA249" t="n">
        <v>287</v>
      </c>
      <c r="AB249" t="n">
        <v>218</v>
      </c>
      <c r="AC249" t="n">
        <v>889</v>
      </c>
      <c r="AD249" t="n">
        <v>3</v>
      </c>
      <c r="AE249" t="n">
        <v>12</v>
      </c>
      <c r="AF249" t="n">
        <v>12</v>
      </c>
      <c r="AG249" t="n">
        <v>41</v>
      </c>
      <c r="AH249" t="n">
        <v>4</v>
      </c>
      <c r="AI249" t="n">
        <v>12</v>
      </c>
      <c r="AJ249" t="n">
        <v>3</v>
      </c>
      <c r="AK249" t="n">
        <v>10</v>
      </c>
      <c r="AL249" t="n">
        <v>4</v>
      </c>
      <c r="AM249" t="n">
        <v>13</v>
      </c>
      <c r="AN249" t="n">
        <v>2</v>
      </c>
      <c r="AO249" t="n">
        <v>10</v>
      </c>
      <c r="AP249" t="n">
        <v>1</v>
      </c>
      <c r="AQ249" t="n">
        <v>3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HYPERLINK("http://catalog.hathitrust.org/Record/004344572","HathiTrust Record")</f>
        <v/>
      </c>
      <c r="AU249">
        <f>HYPERLINK("https://creighton-primo.hosted.exlibrisgroup.com/primo-explore/search?tab=default_tab&amp;search_scope=EVERYTHING&amp;vid=01CRU&amp;lang=en_US&amp;offset=0&amp;query=any,contains,991000394569702656","Catalog Record")</f>
        <v/>
      </c>
      <c r="AV249">
        <f>HYPERLINK("http://www.worldcat.org/oclc/50244094","WorldCat Record")</f>
        <v/>
      </c>
      <c r="AW249" t="inlineStr">
        <is>
          <t>837335159:eng</t>
        </is>
      </c>
      <c r="AX249" t="inlineStr">
        <is>
          <t>50244094</t>
        </is>
      </c>
      <c r="AY249" t="inlineStr">
        <is>
          <t>991000394569702656</t>
        </is>
      </c>
      <c r="AZ249" t="inlineStr">
        <is>
          <t>991000394569702656</t>
        </is>
      </c>
      <c r="BA249" t="inlineStr">
        <is>
          <t>2267885470002656</t>
        </is>
      </c>
      <c r="BB249" t="inlineStr">
        <is>
          <t>BOOK</t>
        </is>
      </c>
      <c r="BD249" t="inlineStr">
        <is>
          <t>9780789012159</t>
        </is>
      </c>
      <c r="BE249" t="inlineStr">
        <is>
          <t>30001004978484</t>
        </is>
      </c>
      <c r="BF249" t="inlineStr">
        <is>
          <t>893827448</t>
        </is>
      </c>
    </row>
    <row r="250">
      <c r="A250" t="inlineStr">
        <is>
          <t>No</t>
        </is>
      </c>
      <c r="B250" t="inlineStr">
        <is>
          <t>CUHSL</t>
        </is>
      </c>
      <c r="C250" t="inlineStr">
        <is>
          <t>SHELVES</t>
        </is>
      </c>
      <c r="D250" t="inlineStr">
        <is>
          <t>WA 320 S319c 1988</t>
        </is>
      </c>
      <c r="E250" t="inlineStr">
        <is>
          <t>0                      WA 0320000S  319c        1988</t>
        </is>
      </c>
      <c r="F250" t="inlineStr">
        <is>
          <t>Child sexual abuse : a handbook for health care and legal professionals / by Diane H. Schetky and Arthur H. Green, with chapters by Martin A. Finkel, Judith V. Becker, Meg S. Kaplan.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Schetky, Diane H., 1940-</t>
        </is>
      </c>
      <c r="N250" t="inlineStr">
        <is>
          <t>New York : Brunner/Mazel, c1988.</t>
        </is>
      </c>
      <c r="O250" t="inlineStr">
        <is>
          <t>1988</t>
        </is>
      </c>
      <c r="Q250" t="inlineStr">
        <is>
          <t>eng</t>
        </is>
      </c>
      <c r="R250" t="inlineStr">
        <is>
          <t>xxu</t>
        </is>
      </c>
      <c r="T250" t="inlineStr">
        <is>
          <t xml:space="preserve">WA </t>
        </is>
      </c>
      <c r="U250" t="n">
        <v>18</v>
      </c>
      <c r="V250" t="n">
        <v>18</v>
      </c>
      <c r="W250" t="inlineStr">
        <is>
          <t>1997-11-21</t>
        </is>
      </c>
      <c r="X250" t="inlineStr">
        <is>
          <t>1997-11-21</t>
        </is>
      </c>
      <c r="Y250" t="inlineStr">
        <is>
          <t>1988-12-23</t>
        </is>
      </c>
      <c r="Z250" t="inlineStr">
        <is>
          <t>1988-12-23</t>
        </is>
      </c>
      <c r="AA250" t="n">
        <v>467</v>
      </c>
      <c r="AB250" t="n">
        <v>387</v>
      </c>
      <c r="AC250" t="n">
        <v>421</v>
      </c>
      <c r="AD250" t="n">
        <v>3</v>
      </c>
      <c r="AE250" t="n">
        <v>3</v>
      </c>
      <c r="AF250" t="n">
        <v>15</v>
      </c>
      <c r="AG250" t="n">
        <v>15</v>
      </c>
      <c r="AH250" t="n">
        <v>5</v>
      </c>
      <c r="AI250" t="n">
        <v>5</v>
      </c>
      <c r="AJ250" t="n">
        <v>3</v>
      </c>
      <c r="AK250" t="n">
        <v>3</v>
      </c>
      <c r="AL250" t="n">
        <v>8</v>
      </c>
      <c r="AM250" t="n">
        <v>8</v>
      </c>
      <c r="AN250" t="n">
        <v>2</v>
      </c>
      <c r="AO250" t="n">
        <v>2</v>
      </c>
      <c r="AP250" t="n">
        <v>2</v>
      </c>
      <c r="AQ250" t="n">
        <v>2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HYPERLINK("https://creighton-primo.hosted.exlibrisgroup.com/primo-explore/search?tab=default_tab&amp;search_scope=EVERYTHING&amp;vid=01CRU&amp;lang=en_US&amp;offset=0&amp;query=any,contains,991001111929702656","Catalog Record")</f>
        <v/>
      </c>
      <c r="AV250">
        <f>HYPERLINK("http://www.worldcat.org/oclc/17108332","WorldCat Record")</f>
        <v/>
      </c>
      <c r="AW250" t="inlineStr">
        <is>
          <t>911163320:eng</t>
        </is>
      </c>
      <c r="AX250" t="inlineStr">
        <is>
          <t>17108332</t>
        </is>
      </c>
      <c r="AY250" t="inlineStr">
        <is>
          <t>991001111929702656</t>
        </is>
      </c>
      <c r="AZ250" t="inlineStr">
        <is>
          <t>991001111929702656</t>
        </is>
      </c>
      <c r="BA250" t="inlineStr">
        <is>
          <t>2269790250002656</t>
        </is>
      </c>
      <c r="BB250" t="inlineStr">
        <is>
          <t>BOOK</t>
        </is>
      </c>
      <c r="BD250" t="inlineStr">
        <is>
          <t>9780876304952</t>
        </is>
      </c>
      <c r="BE250" t="inlineStr">
        <is>
          <t>30001001612284</t>
        </is>
      </c>
      <c r="BF250" t="inlineStr">
        <is>
          <t>893736217</t>
        </is>
      </c>
    </row>
    <row r="251">
      <c r="A251" t="inlineStr">
        <is>
          <t>No</t>
        </is>
      </c>
      <c r="B251" t="inlineStr">
        <is>
          <t>CUHSL</t>
        </is>
      </c>
      <c r="C251" t="inlineStr">
        <is>
          <t>SHELVES</t>
        </is>
      </c>
      <c r="D251" t="inlineStr">
        <is>
          <t>WA 320 S797 1988</t>
        </is>
      </c>
      <c r="E251" t="inlineStr">
        <is>
          <t>0                      WA 0320000S  797         1988</t>
        </is>
      </c>
      <c r="F251" t="inlineStr">
        <is>
          <t>The State of the world's children 1988 / James P. Grant.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Oxford ; New York : Published for UNICEF [by] Oxford University Press, c1988.</t>
        </is>
      </c>
      <c r="O251" t="inlineStr">
        <is>
          <t>1988</t>
        </is>
      </c>
      <c r="Q251" t="inlineStr">
        <is>
          <t>eng</t>
        </is>
      </c>
      <c r="R251" t="inlineStr">
        <is>
          <t>nyu</t>
        </is>
      </c>
      <c r="T251" t="inlineStr">
        <is>
          <t xml:space="preserve">WA </t>
        </is>
      </c>
      <c r="U251" t="n">
        <v>3</v>
      </c>
      <c r="V251" t="n">
        <v>3</v>
      </c>
      <c r="W251" t="inlineStr">
        <is>
          <t>1989-03-10</t>
        </is>
      </c>
      <c r="X251" t="inlineStr">
        <is>
          <t>1989-03-10</t>
        </is>
      </c>
      <c r="Y251" t="inlineStr">
        <is>
          <t>1989-03-02</t>
        </is>
      </c>
      <c r="Z251" t="inlineStr">
        <is>
          <t>1989-03-02</t>
        </is>
      </c>
      <c r="AA251" t="n">
        <v>70</v>
      </c>
      <c r="AB251" t="n">
        <v>23</v>
      </c>
      <c r="AC251" t="n">
        <v>25</v>
      </c>
      <c r="AD251" t="n">
        <v>2</v>
      </c>
      <c r="AE251" t="n">
        <v>2</v>
      </c>
      <c r="AF251" t="n">
        <v>1</v>
      </c>
      <c r="AG251" t="n">
        <v>1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1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HYPERLINK("https://creighton-primo.hosted.exlibrisgroup.com/primo-explore/search?tab=default_tab&amp;search_scope=EVERYTHING&amp;vid=01CRU&amp;lang=en_US&amp;offset=0&amp;query=any,contains,991001240789702656","Catalog Record")</f>
        <v/>
      </c>
      <c r="AV251">
        <f>HYPERLINK("http://www.worldcat.org/oclc/17802102","WorldCat Record")</f>
        <v/>
      </c>
      <c r="AW251" t="inlineStr">
        <is>
          <t>3768643629:eng</t>
        </is>
      </c>
      <c r="AX251" t="inlineStr">
        <is>
          <t>17802102</t>
        </is>
      </c>
      <c r="AY251" t="inlineStr">
        <is>
          <t>991001240789702656</t>
        </is>
      </c>
      <c r="AZ251" t="inlineStr">
        <is>
          <t>991001240789702656</t>
        </is>
      </c>
      <c r="BA251" t="inlineStr">
        <is>
          <t>2263396190002656</t>
        </is>
      </c>
      <c r="BB251" t="inlineStr">
        <is>
          <t>BOOK</t>
        </is>
      </c>
      <c r="BD251" t="inlineStr">
        <is>
          <t>9780192617231</t>
        </is>
      </c>
      <c r="BE251" t="inlineStr">
        <is>
          <t>30001001675588</t>
        </is>
      </c>
      <c r="BF251" t="inlineStr">
        <is>
          <t>893134367</t>
        </is>
      </c>
    </row>
    <row r="252">
      <c r="A252" t="inlineStr">
        <is>
          <t>No</t>
        </is>
      </c>
      <c r="B252" t="inlineStr">
        <is>
          <t>CUHSL</t>
        </is>
      </c>
      <c r="C252" t="inlineStr">
        <is>
          <t>SHELVES</t>
        </is>
      </c>
      <c r="D252" t="inlineStr">
        <is>
          <t>WA 320 S797 1990</t>
        </is>
      </c>
      <c r="E252" t="inlineStr">
        <is>
          <t>0                      WA 0320000S  797         1990</t>
        </is>
      </c>
      <c r="F252" t="inlineStr">
        <is>
          <t>The state of the world's children, 1990 / James P. Grant.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N252" t="inlineStr">
        <is>
          <t>Oxford, England : published for UNICEF [by] Oxford University Press, 1990.</t>
        </is>
      </c>
      <c r="O252" t="inlineStr">
        <is>
          <t>1990</t>
        </is>
      </c>
      <c r="Q252" t="inlineStr">
        <is>
          <t>eng</t>
        </is>
      </c>
      <c r="R252" t="inlineStr">
        <is>
          <t>enk</t>
        </is>
      </c>
      <c r="T252" t="inlineStr">
        <is>
          <t xml:space="preserve">WA </t>
        </is>
      </c>
      <c r="U252" t="n">
        <v>8</v>
      </c>
      <c r="V252" t="n">
        <v>8</v>
      </c>
      <c r="W252" t="inlineStr">
        <is>
          <t>1992-09-22</t>
        </is>
      </c>
      <c r="X252" t="inlineStr">
        <is>
          <t>1992-09-22</t>
        </is>
      </c>
      <c r="Y252" t="inlineStr">
        <is>
          <t>1990-01-12</t>
        </is>
      </c>
      <c r="Z252" t="inlineStr">
        <is>
          <t>1990-01-12</t>
        </is>
      </c>
      <c r="AA252" t="n">
        <v>73</v>
      </c>
      <c r="AB252" t="n">
        <v>20</v>
      </c>
      <c r="AC252" t="n">
        <v>21</v>
      </c>
      <c r="AD252" t="n">
        <v>1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U252">
        <f>HYPERLINK("https://creighton-primo.hosted.exlibrisgroup.com/primo-explore/search?tab=default_tab&amp;search_scope=EVERYTHING&amp;vid=01CRU&amp;lang=en_US&amp;offset=0&amp;query=any,contains,991001382659702656","Catalog Record")</f>
        <v/>
      </c>
      <c r="AV252">
        <f>HYPERLINK("http://www.worldcat.org/oclc/21308351","WorldCat Record")</f>
        <v/>
      </c>
      <c r="AW252" t="inlineStr">
        <is>
          <t>4916135264:eng</t>
        </is>
      </c>
      <c r="AX252" t="inlineStr">
        <is>
          <t>21308351</t>
        </is>
      </c>
      <c r="AY252" t="inlineStr">
        <is>
          <t>991001382659702656</t>
        </is>
      </c>
      <c r="AZ252" t="inlineStr">
        <is>
          <t>991001382659702656</t>
        </is>
      </c>
      <c r="BA252" t="inlineStr">
        <is>
          <t>2257831260002656</t>
        </is>
      </c>
      <c r="BB252" t="inlineStr">
        <is>
          <t>BOOK</t>
        </is>
      </c>
      <c r="BD252" t="inlineStr">
        <is>
          <t>9780192619273</t>
        </is>
      </c>
      <c r="BE252" t="inlineStr">
        <is>
          <t>30001001799099</t>
        </is>
      </c>
      <c r="BF252" t="inlineStr">
        <is>
          <t>893268421</t>
        </is>
      </c>
    </row>
    <row r="253">
      <c r="A253" t="inlineStr">
        <is>
          <t>No</t>
        </is>
      </c>
      <c r="B253" t="inlineStr">
        <is>
          <t>CUHSL</t>
        </is>
      </c>
      <c r="C253" t="inlineStr">
        <is>
          <t>SHELVES</t>
        </is>
      </c>
      <c r="D253" t="inlineStr">
        <is>
          <t>WA 320 S797 1992</t>
        </is>
      </c>
      <c r="E253" t="inlineStr">
        <is>
          <t>0                      WA 0320000S  797         1992</t>
        </is>
      </c>
      <c r="F253" t="inlineStr">
        <is>
          <t>The state of the world's children 1992 / James P. Grant.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Oxford ; New York : Oxford University Press for UNICEF, 1992.</t>
        </is>
      </c>
      <c r="O253" t="inlineStr">
        <is>
          <t>1992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WA </t>
        </is>
      </c>
      <c r="U253" t="n">
        <v>9</v>
      </c>
      <c r="V253" t="n">
        <v>9</v>
      </c>
      <c r="W253" t="inlineStr">
        <is>
          <t>1994-08-11</t>
        </is>
      </c>
      <c r="X253" t="inlineStr">
        <is>
          <t>1994-08-11</t>
        </is>
      </c>
      <c r="Y253" t="inlineStr">
        <is>
          <t>1992-03-25</t>
        </is>
      </c>
      <c r="Z253" t="inlineStr">
        <is>
          <t>1992-03-25</t>
        </is>
      </c>
      <c r="AA253" t="n">
        <v>70</v>
      </c>
      <c r="AB253" t="n">
        <v>31</v>
      </c>
      <c r="AC253" t="n">
        <v>31</v>
      </c>
      <c r="AD253" t="n">
        <v>1</v>
      </c>
      <c r="AE253" t="n">
        <v>1</v>
      </c>
      <c r="AF253" t="n">
        <v>1</v>
      </c>
      <c r="AG253" t="n">
        <v>1</v>
      </c>
      <c r="AH253" t="n">
        <v>0</v>
      </c>
      <c r="AI253" t="n">
        <v>0</v>
      </c>
      <c r="AJ253" t="n">
        <v>0</v>
      </c>
      <c r="AK253" t="n">
        <v>0</v>
      </c>
      <c r="AL253" t="n">
        <v>1</v>
      </c>
      <c r="AM253" t="n">
        <v>1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No</t>
        </is>
      </c>
      <c r="AU253">
        <f>HYPERLINK("https://creighton-primo.hosted.exlibrisgroup.com/primo-explore/search?tab=default_tab&amp;search_scope=EVERYTHING&amp;vid=01CRU&amp;lang=en_US&amp;offset=0&amp;query=any,contains,991001034879702656","Catalog Record")</f>
        <v/>
      </c>
      <c r="AV253">
        <f>HYPERLINK("http://www.worldcat.org/oclc/25637029","WorldCat Record")</f>
        <v/>
      </c>
      <c r="AW253" t="inlineStr">
        <is>
          <t>20506787:eng</t>
        </is>
      </c>
      <c r="AX253" t="inlineStr">
        <is>
          <t>25637029</t>
        </is>
      </c>
      <c r="AY253" t="inlineStr">
        <is>
          <t>991001034879702656</t>
        </is>
      </c>
      <c r="AZ253" t="inlineStr">
        <is>
          <t>991001034879702656</t>
        </is>
      </c>
      <c r="BA253" t="inlineStr">
        <is>
          <t>2265642770002656</t>
        </is>
      </c>
      <c r="BB253" t="inlineStr">
        <is>
          <t>BOOK</t>
        </is>
      </c>
      <c r="BD253" t="inlineStr">
        <is>
          <t>9780192622280</t>
        </is>
      </c>
      <c r="BE253" t="inlineStr">
        <is>
          <t>30001002244566</t>
        </is>
      </c>
      <c r="BF253" t="inlineStr">
        <is>
          <t>893148817</t>
        </is>
      </c>
    </row>
    <row r="254">
      <c r="A254" t="inlineStr">
        <is>
          <t>No</t>
        </is>
      </c>
      <c r="B254" t="inlineStr">
        <is>
          <t>CUHSL</t>
        </is>
      </c>
      <c r="C254" t="inlineStr">
        <is>
          <t>SHELVES</t>
        </is>
      </c>
      <c r="D254" t="inlineStr">
        <is>
          <t>WA 320 S797 1994</t>
        </is>
      </c>
      <c r="E254" t="inlineStr">
        <is>
          <t>0                      WA 0320000S  797         1994</t>
        </is>
      </c>
      <c r="F254" t="inlineStr">
        <is>
          <t>The state of the world's children 1994 / James P. Grant.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Grant, James P.</t>
        </is>
      </c>
      <c r="N254" t="inlineStr">
        <is>
          <t>Oxford ; New York : Oxford University Press for UNICEF, [1994]</t>
        </is>
      </c>
      <c r="O254" t="inlineStr">
        <is>
          <t>1994</t>
        </is>
      </c>
      <c r="Q254" t="inlineStr">
        <is>
          <t>eng</t>
        </is>
      </c>
      <c r="R254" t="inlineStr">
        <is>
          <t>nyu</t>
        </is>
      </c>
      <c r="T254" t="inlineStr">
        <is>
          <t xml:space="preserve">WA </t>
        </is>
      </c>
      <c r="U254" t="n">
        <v>4</v>
      </c>
      <c r="V254" t="n">
        <v>4</v>
      </c>
      <c r="W254" t="inlineStr">
        <is>
          <t>1994-08-23</t>
        </is>
      </c>
      <c r="X254" t="inlineStr">
        <is>
          <t>1994-08-23</t>
        </is>
      </c>
      <c r="Y254" t="inlineStr">
        <is>
          <t>1994-08-18</t>
        </is>
      </c>
      <c r="Z254" t="inlineStr">
        <is>
          <t>1994-08-18</t>
        </is>
      </c>
      <c r="AA254" t="n">
        <v>94</v>
      </c>
      <c r="AB254" t="n">
        <v>35</v>
      </c>
      <c r="AC254" t="n">
        <v>40</v>
      </c>
      <c r="AD254" t="n">
        <v>2</v>
      </c>
      <c r="AE254" t="n">
        <v>2</v>
      </c>
      <c r="AF254" t="n">
        <v>1</v>
      </c>
      <c r="AG254" t="n">
        <v>1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1</v>
      </c>
      <c r="AO254" t="n">
        <v>1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HYPERLINK("https://creighton-primo.hosted.exlibrisgroup.com/primo-explore/search?tab=default_tab&amp;search_scope=EVERYTHING&amp;vid=01CRU&amp;lang=en_US&amp;offset=0&amp;query=any,contains,991001120159702656","Catalog Record")</f>
        <v/>
      </c>
      <c r="AV254">
        <f>HYPERLINK("http://www.worldcat.org/oclc/29969219","WorldCat Record")</f>
        <v/>
      </c>
      <c r="AW254" t="inlineStr">
        <is>
          <t>2865600736:eng</t>
        </is>
      </c>
      <c r="AX254" t="inlineStr">
        <is>
          <t>29969219</t>
        </is>
      </c>
      <c r="AY254" t="inlineStr">
        <is>
          <t>991001120159702656</t>
        </is>
      </c>
      <c r="AZ254" t="inlineStr">
        <is>
          <t>991001120159702656</t>
        </is>
      </c>
      <c r="BA254" t="inlineStr">
        <is>
          <t>2255016960002656</t>
        </is>
      </c>
      <c r="BB254" t="inlineStr">
        <is>
          <t>BOOK</t>
        </is>
      </c>
      <c r="BD254" t="inlineStr">
        <is>
          <t>9780192624840</t>
        </is>
      </c>
      <c r="BE254" t="inlineStr">
        <is>
          <t>30001002950311</t>
        </is>
      </c>
      <c r="BF254" t="inlineStr">
        <is>
          <t>893455495</t>
        </is>
      </c>
    </row>
    <row r="255">
      <c r="A255" t="inlineStr">
        <is>
          <t>No</t>
        </is>
      </c>
      <c r="B255" t="inlineStr">
        <is>
          <t>CUHSL</t>
        </is>
      </c>
      <c r="C255" t="inlineStr">
        <is>
          <t>SHELVES</t>
        </is>
      </c>
      <c r="D255" t="inlineStr">
        <is>
          <t>WA380 F559u 2000</t>
        </is>
      </c>
      <c r="E255" t="inlineStr">
        <is>
          <t>0                      WA 0380000F  559u        2000</t>
        </is>
      </c>
      <c r="F255" t="inlineStr">
        <is>
          <t>Unhealthy places : the ecology of risk in the urban landscape / Kevin M. Fitzpatrick and Mark LaGory.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1</t>
        </is>
      </c>
      <c r="M255" t="inlineStr">
        <is>
          <t>Fitzpatrick, Kevin M.</t>
        </is>
      </c>
      <c r="N255" t="inlineStr">
        <is>
          <t>New York : Routledge, 2000.</t>
        </is>
      </c>
      <c r="O255" t="inlineStr">
        <is>
          <t>2000</t>
        </is>
      </c>
      <c r="Q255" t="inlineStr">
        <is>
          <t>eng</t>
        </is>
      </c>
      <c r="R255" t="inlineStr">
        <is>
          <t>nyu</t>
        </is>
      </c>
      <c r="T255" t="inlineStr">
        <is>
          <t xml:space="preserve">WA </t>
        </is>
      </c>
      <c r="U255" t="n">
        <v>3</v>
      </c>
      <c r="V255" t="n">
        <v>3</v>
      </c>
      <c r="W255" t="inlineStr">
        <is>
          <t>2010-11-07</t>
        </is>
      </c>
      <c r="X255" t="inlineStr">
        <is>
          <t>2010-11-07</t>
        </is>
      </c>
      <c r="Y255" t="inlineStr">
        <is>
          <t>2002-03-25</t>
        </is>
      </c>
      <c r="Z255" t="inlineStr">
        <is>
          <t>2002-03-25</t>
        </is>
      </c>
      <c r="AA255" t="n">
        <v>343</v>
      </c>
      <c r="AB255" t="n">
        <v>262</v>
      </c>
      <c r="AC255" t="n">
        <v>1520</v>
      </c>
      <c r="AD255" t="n">
        <v>2</v>
      </c>
      <c r="AE255" t="n">
        <v>32</v>
      </c>
      <c r="AF255" t="n">
        <v>11</v>
      </c>
      <c r="AG255" t="n">
        <v>54</v>
      </c>
      <c r="AH255" t="n">
        <v>3</v>
      </c>
      <c r="AI255" t="n">
        <v>16</v>
      </c>
      <c r="AJ255" t="n">
        <v>2</v>
      </c>
      <c r="AK255" t="n">
        <v>11</v>
      </c>
      <c r="AL255" t="n">
        <v>7</v>
      </c>
      <c r="AM255" t="n">
        <v>18</v>
      </c>
      <c r="AN255" t="n">
        <v>1</v>
      </c>
      <c r="AO255" t="n">
        <v>16</v>
      </c>
      <c r="AP255" t="n">
        <v>0</v>
      </c>
      <c r="AQ255" t="n">
        <v>2</v>
      </c>
      <c r="AR255" t="inlineStr">
        <is>
          <t>No</t>
        </is>
      </c>
      <c r="AS255" t="inlineStr">
        <is>
          <t>No</t>
        </is>
      </c>
      <c r="AU255">
        <f>HYPERLINK("https://creighton-primo.hosted.exlibrisgroup.com/primo-explore/search?tab=default_tab&amp;search_scope=EVERYTHING&amp;vid=01CRU&amp;lang=en_US&amp;offset=0&amp;query=any,contains,991000307139702656","Catalog Record")</f>
        <v/>
      </c>
      <c r="AV255">
        <f>HYPERLINK("http://www.worldcat.org/oclc/41981996","WorldCat Record")</f>
        <v/>
      </c>
      <c r="AW255" t="inlineStr">
        <is>
          <t>793912591:eng</t>
        </is>
      </c>
      <c r="AX255" t="inlineStr">
        <is>
          <t>41981996</t>
        </is>
      </c>
      <c r="AY255" t="inlineStr">
        <is>
          <t>991000307139702656</t>
        </is>
      </c>
      <c r="AZ255" t="inlineStr">
        <is>
          <t>991000307139702656</t>
        </is>
      </c>
      <c r="BA255" t="inlineStr">
        <is>
          <t>2261767660002656</t>
        </is>
      </c>
      <c r="BB255" t="inlineStr">
        <is>
          <t>BOOK</t>
        </is>
      </c>
      <c r="BD255" t="inlineStr">
        <is>
          <t>9780415923712</t>
        </is>
      </c>
      <c r="BE255" t="inlineStr">
        <is>
          <t>30001004237139</t>
        </is>
      </c>
      <c r="BF255" t="inlineStr">
        <is>
          <t>893447174</t>
        </is>
      </c>
    </row>
    <row r="256">
      <c r="A256" t="inlineStr">
        <is>
          <t>No</t>
        </is>
      </c>
      <c r="B256" t="inlineStr">
        <is>
          <t>CUHSL</t>
        </is>
      </c>
      <c r="C256" t="inlineStr">
        <is>
          <t>SHELVES</t>
        </is>
      </c>
      <c r="D256" t="inlineStr">
        <is>
          <t>WA 380 U58 1995</t>
        </is>
      </c>
      <c r="E256" t="inlineStr">
        <is>
          <t>0                      WA 0380000U  58          1995</t>
        </is>
      </c>
      <c r="F256" t="inlineStr">
        <is>
          <t>The university in the urban community : responsibilities for public health / John R. Hogness, Christopher J. McLaughlin, Marian Osterweis, editors.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Sun Valley, Idaho : Sun Valley Forum on National Health ; Washington, DC : Association of Academic Health Centers, c1995.</t>
        </is>
      </c>
      <c r="O256" t="inlineStr">
        <is>
          <t>1995</t>
        </is>
      </c>
      <c r="Q256" t="inlineStr">
        <is>
          <t>eng</t>
        </is>
      </c>
      <c r="R256" t="inlineStr">
        <is>
          <t>idu</t>
        </is>
      </c>
      <c r="T256" t="inlineStr">
        <is>
          <t xml:space="preserve">WA </t>
        </is>
      </c>
      <c r="U256" t="n">
        <v>6</v>
      </c>
      <c r="V256" t="n">
        <v>6</v>
      </c>
      <c r="W256" t="inlineStr">
        <is>
          <t>2001-09-24</t>
        </is>
      </c>
      <c r="X256" t="inlineStr">
        <is>
          <t>2001-09-24</t>
        </is>
      </c>
      <c r="Y256" t="inlineStr">
        <is>
          <t>1995-08-30</t>
        </is>
      </c>
      <c r="Z256" t="inlineStr">
        <is>
          <t>1995-08-30</t>
        </is>
      </c>
      <c r="AA256" t="n">
        <v>182</v>
      </c>
      <c r="AB256" t="n">
        <v>172</v>
      </c>
      <c r="AC256" t="n">
        <v>172</v>
      </c>
      <c r="AD256" t="n">
        <v>1</v>
      </c>
      <c r="AE256" t="n">
        <v>1</v>
      </c>
      <c r="AF256" t="n">
        <v>2</v>
      </c>
      <c r="AG256" t="n">
        <v>2</v>
      </c>
      <c r="AH256" t="n">
        <v>1</v>
      </c>
      <c r="AI256" t="n">
        <v>1</v>
      </c>
      <c r="AJ256" t="n">
        <v>0</v>
      </c>
      <c r="AK256" t="n">
        <v>0</v>
      </c>
      <c r="AL256" t="n">
        <v>1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HYPERLINK("https://creighton-primo.hosted.exlibrisgroup.com/primo-explore/search?tab=default_tab&amp;search_scope=EVERYTHING&amp;vid=01CRU&amp;lang=en_US&amp;offset=0&amp;query=any,contains,991001399029702656","Catalog Record")</f>
        <v/>
      </c>
      <c r="AV256">
        <f>HYPERLINK("http://www.worldcat.org/oclc/31970546","WorldCat Record")</f>
        <v/>
      </c>
      <c r="AW256" t="inlineStr">
        <is>
          <t>34031270:eng</t>
        </is>
      </c>
      <c r="AX256" t="inlineStr">
        <is>
          <t>31970546</t>
        </is>
      </c>
      <c r="AY256" t="inlineStr">
        <is>
          <t>991001399029702656</t>
        </is>
      </c>
      <c r="AZ256" t="inlineStr">
        <is>
          <t>991001399029702656</t>
        </is>
      </c>
      <c r="BA256" t="inlineStr">
        <is>
          <t>2270183670002656</t>
        </is>
      </c>
      <c r="BB256" t="inlineStr">
        <is>
          <t>BOOK</t>
        </is>
      </c>
      <c r="BD256" t="inlineStr">
        <is>
          <t>9781879694095</t>
        </is>
      </c>
      <c r="BE256" t="inlineStr">
        <is>
          <t>30001003147206</t>
        </is>
      </c>
      <c r="BF256" t="inlineStr">
        <is>
          <t>893727536</t>
        </is>
      </c>
    </row>
    <row r="257">
      <c r="A257" t="inlineStr">
        <is>
          <t>No</t>
        </is>
      </c>
      <c r="B257" t="inlineStr">
        <is>
          <t>CUHSL</t>
        </is>
      </c>
      <c r="C257" t="inlineStr">
        <is>
          <t>SHELVES</t>
        </is>
      </c>
      <c r="D257" t="inlineStr">
        <is>
          <t>WA 390 C536 1972</t>
        </is>
      </c>
      <c r="E257" t="inlineStr">
        <is>
          <t>0                      WA 0390000C  536         1972</t>
        </is>
      </c>
      <c r="F257" t="inlineStr">
        <is>
          <t>Child care in rural America / Advisory editors: David J. Rothman, Sheila M. Rothman.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N257" t="inlineStr">
        <is>
          <t>-- New York : Arno Press, 1972.</t>
        </is>
      </c>
      <c r="O257" t="inlineStr">
        <is>
          <t>1972</t>
        </is>
      </c>
      <c r="Q257" t="inlineStr">
        <is>
          <t>eng</t>
        </is>
      </c>
      <c r="R257" t="inlineStr">
        <is>
          <t>|||</t>
        </is>
      </c>
      <c r="S257" t="inlineStr">
        <is>
          <t>Family in America</t>
        </is>
      </c>
      <c r="T257" t="inlineStr">
        <is>
          <t xml:space="preserve">WA </t>
        </is>
      </c>
      <c r="U257" t="n">
        <v>2</v>
      </c>
      <c r="V257" t="n">
        <v>2</v>
      </c>
      <c r="W257" t="inlineStr">
        <is>
          <t>2001-09-24</t>
        </is>
      </c>
      <c r="X257" t="inlineStr">
        <is>
          <t>2001-09-24</t>
        </is>
      </c>
      <c r="Y257" t="inlineStr">
        <is>
          <t>1988-01-06</t>
        </is>
      </c>
      <c r="Z257" t="inlineStr">
        <is>
          <t>1988-01-06</t>
        </is>
      </c>
      <c r="AA257" t="n">
        <v>176</v>
      </c>
      <c r="AB257" t="n">
        <v>159</v>
      </c>
      <c r="AC257" t="n">
        <v>175</v>
      </c>
      <c r="AD257" t="n">
        <v>3</v>
      </c>
      <c r="AE257" t="n">
        <v>3</v>
      </c>
      <c r="AF257" t="n">
        <v>4</v>
      </c>
      <c r="AG257" t="n">
        <v>4</v>
      </c>
      <c r="AH257" t="n">
        <v>0</v>
      </c>
      <c r="AI257" t="n">
        <v>0</v>
      </c>
      <c r="AJ257" t="n">
        <v>1</v>
      </c>
      <c r="AK257" t="n">
        <v>1</v>
      </c>
      <c r="AL257" t="n">
        <v>2</v>
      </c>
      <c r="AM257" t="n">
        <v>2</v>
      </c>
      <c r="AN257" t="n">
        <v>1</v>
      </c>
      <c r="AO257" t="n">
        <v>1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HYPERLINK("http://catalog.hathitrust.org/Record/005148052","HathiTrust Record")</f>
        <v/>
      </c>
      <c r="AU257">
        <f>HYPERLINK("https://creighton-primo.hosted.exlibrisgroup.com/primo-explore/search?tab=default_tab&amp;search_scope=EVERYTHING&amp;vid=01CRU&amp;lang=en_US&amp;offset=0&amp;query=any,contains,991000724849702656","Catalog Record")</f>
        <v/>
      </c>
      <c r="AV257">
        <f>HYPERLINK("http://www.worldcat.org/oclc/369811","WorldCat Record")</f>
        <v/>
      </c>
      <c r="AW257" t="inlineStr">
        <is>
          <t>1151002477:eng</t>
        </is>
      </c>
      <c r="AX257" t="inlineStr">
        <is>
          <t>369811</t>
        </is>
      </c>
      <c r="AY257" t="inlineStr">
        <is>
          <t>991000724849702656</t>
        </is>
      </c>
      <c r="AZ257" t="inlineStr">
        <is>
          <t>991000724849702656</t>
        </is>
      </c>
      <c r="BA257" t="inlineStr">
        <is>
          <t>2262105450002656</t>
        </is>
      </c>
      <c r="BB257" t="inlineStr">
        <is>
          <t>BOOK</t>
        </is>
      </c>
      <c r="BD257" t="inlineStr">
        <is>
          <t>9780405038846</t>
        </is>
      </c>
      <c r="BE257" t="inlineStr">
        <is>
          <t>30001000706608</t>
        </is>
      </c>
      <c r="BF257" t="inlineStr">
        <is>
          <t>893726607</t>
        </is>
      </c>
    </row>
    <row r="258">
      <c r="A258" t="inlineStr">
        <is>
          <t>No</t>
        </is>
      </c>
      <c r="B258" t="inlineStr">
        <is>
          <t>CUHSL</t>
        </is>
      </c>
      <c r="C258" t="inlineStr">
        <is>
          <t>SHELVES</t>
        </is>
      </c>
      <c r="D258" t="inlineStr">
        <is>
          <t>WA 390 E96 1994</t>
        </is>
      </c>
      <c r="E258" t="inlineStr">
        <is>
          <t>0                      WA 0390000E  96          1994</t>
        </is>
      </c>
      <c r="F258" t="inlineStr">
        <is>
          <t>Exploring rural medicine : current issues and concepts / Barbara P. Yawn, Angeline Bushy, Roy A. Yawn, editors.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N258" t="inlineStr">
        <is>
          <t>Thousand Oaks, Calif. : Sage Publications, c1994.</t>
        </is>
      </c>
      <c r="O258" t="inlineStr">
        <is>
          <t>1994</t>
        </is>
      </c>
      <c r="Q258" t="inlineStr">
        <is>
          <t>eng</t>
        </is>
      </c>
      <c r="R258" t="inlineStr">
        <is>
          <t>cau</t>
        </is>
      </c>
      <c r="T258" t="inlineStr">
        <is>
          <t xml:space="preserve">WA </t>
        </is>
      </c>
      <c r="U258" t="n">
        <v>16</v>
      </c>
      <c r="V258" t="n">
        <v>16</v>
      </c>
      <c r="W258" t="inlineStr">
        <is>
          <t>2005-06-24</t>
        </is>
      </c>
      <c r="X258" t="inlineStr">
        <is>
          <t>2005-06-24</t>
        </is>
      </c>
      <c r="Y258" t="inlineStr">
        <is>
          <t>1995-02-20</t>
        </is>
      </c>
      <c r="Z258" t="inlineStr">
        <is>
          <t>1995-02-20</t>
        </is>
      </c>
      <c r="AA258" t="n">
        <v>216</v>
      </c>
      <c r="AB258" t="n">
        <v>178</v>
      </c>
      <c r="AC258" t="n">
        <v>251</v>
      </c>
      <c r="AD258" t="n">
        <v>3</v>
      </c>
      <c r="AE258" t="n">
        <v>3</v>
      </c>
      <c r="AF258" t="n">
        <v>6</v>
      </c>
      <c r="AG258" t="n">
        <v>9</v>
      </c>
      <c r="AH258" t="n">
        <v>3</v>
      </c>
      <c r="AI258" t="n">
        <v>4</v>
      </c>
      <c r="AJ258" t="n">
        <v>1</v>
      </c>
      <c r="AK258" t="n">
        <v>3</v>
      </c>
      <c r="AL258" t="n">
        <v>3</v>
      </c>
      <c r="AM258" t="n">
        <v>3</v>
      </c>
      <c r="AN258" t="n">
        <v>2</v>
      </c>
      <c r="AO258" t="n">
        <v>2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HYPERLINK("http://catalog.hathitrust.org/Record/004546538","HathiTrust Record")</f>
        <v/>
      </c>
      <c r="AU258">
        <f>HYPERLINK("https://creighton-primo.hosted.exlibrisgroup.com/primo-explore/search?tab=default_tab&amp;search_scope=EVERYTHING&amp;vid=01CRU&amp;lang=en_US&amp;offset=0&amp;query=any,contains,991001397159702656","Catalog Record")</f>
        <v/>
      </c>
      <c r="AV258">
        <f>HYPERLINK("http://www.worldcat.org/oclc/28634390","WorldCat Record")</f>
        <v/>
      </c>
      <c r="AW258" t="inlineStr">
        <is>
          <t>30841596:eng</t>
        </is>
      </c>
      <c r="AX258" t="inlineStr">
        <is>
          <t>28634390</t>
        </is>
      </c>
      <c r="AY258" t="inlineStr">
        <is>
          <t>991001397159702656</t>
        </is>
      </c>
      <c r="AZ258" t="inlineStr">
        <is>
          <t>991001397159702656</t>
        </is>
      </c>
      <c r="BA258" t="inlineStr">
        <is>
          <t>2257285210002656</t>
        </is>
      </c>
      <c r="BB258" t="inlineStr">
        <is>
          <t>BOOK</t>
        </is>
      </c>
      <c r="BD258" t="inlineStr">
        <is>
          <t>9780803948518</t>
        </is>
      </c>
      <c r="BE258" t="inlineStr">
        <is>
          <t>30001003146398</t>
        </is>
      </c>
      <c r="BF258" t="inlineStr">
        <is>
          <t>893279037</t>
        </is>
      </c>
    </row>
    <row r="259">
      <c r="A259" t="inlineStr">
        <is>
          <t>No</t>
        </is>
      </c>
      <c r="B259" t="inlineStr">
        <is>
          <t>CUHSL</t>
        </is>
      </c>
      <c r="C259" t="inlineStr">
        <is>
          <t>SHELVES</t>
        </is>
      </c>
      <c r="D259" t="inlineStr">
        <is>
          <t>WA 390 M291r 1948</t>
        </is>
      </c>
      <c r="E259" t="inlineStr">
        <is>
          <t>0                      WA 0390000M  291r        1948</t>
        </is>
      </c>
      <c r="F259" t="inlineStr">
        <is>
          <t>Rural health and medical care / by Frederick D. Mott and Milton I. Roemer.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Mott, Frederick D. (Frederick Dodge), 1904-</t>
        </is>
      </c>
      <c r="N259" t="inlineStr">
        <is>
          <t>New York : McGraw-Hill Book Co., c1948.</t>
        </is>
      </c>
      <c r="O259" t="inlineStr">
        <is>
          <t>1948</t>
        </is>
      </c>
      <c r="P259" t="inlineStr">
        <is>
          <t>1st ed.</t>
        </is>
      </c>
      <c r="Q259" t="inlineStr">
        <is>
          <t>eng</t>
        </is>
      </c>
      <c r="R259" t="inlineStr">
        <is>
          <t>nyu</t>
        </is>
      </c>
      <c r="S259" t="inlineStr">
        <is>
          <t>McGraw-Hill series in health science</t>
        </is>
      </c>
      <c r="T259" t="inlineStr">
        <is>
          <t xml:space="preserve">WA </t>
        </is>
      </c>
      <c r="U259" t="n">
        <v>4</v>
      </c>
      <c r="V259" t="n">
        <v>4</v>
      </c>
      <c r="W259" t="inlineStr">
        <is>
          <t>2000-04-25</t>
        </is>
      </c>
      <c r="X259" t="inlineStr">
        <is>
          <t>2000-04-25</t>
        </is>
      </c>
      <c r="Y259" t="inlineStr">
        <is>
          <t>1989-06-14</t>
        </is>
      </c>
      <c r="Z259" t="inlineStr">
        <is>
          <t>1989-06-14</t>
        </is>
      </c>
      <c r="AA259" t="n">
        <v>262</v>
      </c>
      <c r="AB259" t="n">
        <v>206</v>
      </c>
      <c r="AC259" t="n">
        <v>216</v>
      </c>
      <c r="AD259" t="n">
        <v>5</v>
      </c>
      <c r="AE259" t="n">
        <v>5</v>
      </c>
      <c r="AF259" t="n">
        <v>6</v>
      </c>
      <c r="AG259" t="n">
        <v>6</v>
      </c>
      <c r="AH259" t="n">
        <v>0</v>
      </c>
      <c r="AI259" t="n">
        <v>0</v>
      </c>
      <c r="AJ259" t="n">
        <v>2</v>
      </c>
      <c r="AK259" t="n">
        <v>2</v>
      </c>
      <c r="AL259" t="n">
        <v>1</v>
      </c>
      <c r="AM259" t="n">
        <v>1</v>
      </c>
      <c r="AN259" t="n">
        <v>4</v>
      </c>
      <c r="AO259" t="n">
        <v>4</v>
      </c>
      <c r="AP259" t="n">
        <v>0</v>
      </c>
      <c r="AQ259" t="n">
        <v>0</v>
      </c>
      <c r="AR259" t="inlineStr">
        <is>
          <t>Yes</t>
        </is>
      </c>
      <c r="AS259" t="inlineStr">
        <is>
          <t>No</t>
        </is>
      </c>
      <c r="AT259">
        <f>HYPERLINK("http://catalog.hathitrust.org/Record/001558918","HathiTrust Record")</f>
        <v/>
      </c>
      <c r="AU259">
        <f>HYPERLINK("https://creighton-primo.hosted.exlibrisgroup.com/primo-explore/search?tab=default_tab&amp;search_scope=EVERYTHING&amp;vid=01CRU&amp;lang=en_US&amp;offset=0&amp;query=any,contains,991000724949702656","Catalog Record")</f>
        <v/>
      </c>
      <c r="AV259">
        <f>HYPERLINK("http://www.worldcat.org/oclc/1610511","WorldCat Record")</f>
        <v/>
      </c>
      <c r="AW259" t="inlineStr">
        <is>
          <t>2407305:eng</t>
        </is>
      </c>
      <c r="AX259" t="inlineStr">
        <is>
          <t>1610511</t>
        </is>
      </c>
      <c r="AY259" t="inlineStr">
        <is>
          <t>991000724949702656</t>
        </is>
      </c>
      <c r="AZ259" t="inlineStr">
        <is>
          <t>991000724949702656</t>
        </is>
      </c>
      <c r="BA259" t="inlineStr">
        <is>
          <t>2268706480002656</t>
        </is>
      </c>
      <c r="BB259" t="inlineStr">
        <is>
          <t>BOOK</t>
        </is>
      </c>
      <c r="BE259" t="inlineStr">
        <is>
          <t>30001000706640</t>
        </is>
      </c>
      <c r="BF259" t="inlineStr">
        <is>
          <t>893357442</t>
        </is>
      </c>
    </row>
    <row r="260">
      <c r="A260" t="inlineStr">
        <is>
          <t>No</t>
        </is>
      </c>
      <c r="B260" t="inlineStr">
        <is>
          <t>CUHSL</t>
        </is>
      </c>
      <c r="C260" t="inlineStr">
        <is>
          <t>SHELVES</t>
        </is>
      </c>
      <c r="D260" t="inlineStr">
        <is>
          <t>WA 390 M992m 1983</t>
        </is>
      </c>
      <c r="E260" t="inlineStr">
        <is>
          <t>0                      WA 0390000M  992m        1983</t>
        </is>
      </c>
      <c r="F260" t="inlineStr">
        <is>
          <t>Medical practice in rural communities / Cornelia F. Mutel, Kelley J. Donham, with a foreward by Milton I. Roemer.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Mutel, Cornelia Fleischer.</t>
        </is>
      </c>
      <c r="N260" t="inlineStr">
        <is>
          <t>New York : Springer-Verlag, c1983.</t>
        </is>
      </c>
      <c r="O260" t="inlineStr">
        <is>
          <t>1983</t>
        </is>
      </c>
      <c r="Q260" t="inlineStr">
        <is>
          <t>eng</t>
        </is>
      </c>
      <c r="R260" t="inlineStr">
        <is>
          <t>xxu</t>
        </is>
      </c>
      <c r="T260" t="inlineStr">
        <is>
          <t xml:space="preserve">WA </t>
        </is>
      </c>
      <c r="U260" t="n">
        <v>9</v>
      </c>
      <c r="V260" t="n">
        <v>9</v>
      </c>
      <c r="W260" t="inlineStr">
        <is>
          <t>2001-09-24</t>
        </is>
      </c>
      <c r="X260" t="inlineStr">
        <is>
          <t>2001-09-24</t>
        </is>
      </c>
      <c r="Y260" t="inlineStr">
        <is>
          <t>1988-02-29</t>
        </is>
      </c>
      <c r="Z260" t="inlineStr">
        <is>
          <t>1988-02-29</t>
        </is>
      </c>
      <c r="AA260" t="n">
        <v>128</v>
      </c>
      <c r="AB260" t="n">
        <v>113</v>
      </c>
      <c r="AC260" t="n">
        <v>135</v>
      </c>
      <c r="AD260" t="n">
        <v>1</v>
      </c>
      <c r="AE260" t="n">
        <v>1</v>
      </c>
      <c r="AF260" t="n">
        <v>2</v>
      </c>
      <c r="AG260" t="n">
        <v>2</v>
      </c>
      <c r="AH260" t="n">
        <v>1</v>
      </c>
      <c r="AI260" t="n">
        <v>1</v>
      </c>
      <c r="AJ260" t="n">
        <v>1</v>
      </c>
      <c r="AK260" t="n">
        <v>1</v>
      </c>
      <c r="AL260" t="n">
        <v>2</v>
      </c>
      <c r="AM260" t="n">
        <v>2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HYPERLINK("https://creighton-primo.hosted.exlibrisgroup.com/primo-explore/search?tab=default_tab&amp;search_scope=EVERYTHING&amp;vid=01CRU&amp;lang=en_US&amp;offset=0&amp;query=any,contains,991000724989702656","Catalog Record")</f>
        <v/>
      </c>
      <c r="AV260">
        <f>HYPERLINK("http://www.worldcat.org/oclc/9785228","WorldCat Record")</f>
        <v/>
      </c>
      <c r="AW260" t="inlineStr">
        <is>
          <t>1780195270:eng</t>
        </is>
      </c>
      <c r="AX260" t="inlineStr">
        <is>
          <t>9785228</t>
        </is>
      </c>
      <c r="AY260" t="inlineStr">
        <is>
          <t>991000724989702656</t>
        </is>
      </c>
      <c r="AZ260" t="inlineStr">
        <is>
          <t>991000724989702656</t>
        </is>
      </c>
      <c r="BA260" t="inlineStr">
        <is>
          <t>2262517530002656</t>
        </is>
      </c>
      <c r="BB260" t="inlineStr">
        <is>
          <t>BOOK</t>
        </is>
      </c>
      <c r="BD260" t="inlineStr">
        <is>
          <t>9780387912240</t>
        </is>
      </c>
      <c r="BE260" t="inlineStr">
        <is>
          <t>30001000706657</t>
        </is>
      </c>
      <c r="BF260" t="inlineStr">
        <is>
          <t>893368386</t>
        </is>
      </c>
    </row>
    <row r="261">
      <c r="A261" t="inlineStr">
        <is>
          <t>No</t>
        </is>
      </c>
      <c r="B261" t="inlineStr">
        <is>
          <t>CUHSL</t>
        </is>
      </c>
      <c r="C261" t="inlineStr">
        <is>
          <t>SHELVES</t>
        </is>
      </c>
      <c r="D261" t="inlineStr">
        <is>
          <t>WA 390 R116c 2004</t>
        </is>
      </c>
      <c r="E261" t="inlineStr">
        <is>
          <t>0                      WA 0390000R  116c        2004</t>
        </is>
      </c>
      <c r="F261" t="inlineStr">
        <is>
          <t>Caring for the country : family doctors in small rural towns / Howard K. Rabinowitz.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Rabinowitz, Howard K.</t>
        </is>
      </c>
      <c r="N261" t="inlineStr">
        <is>
          <t>New York : Springer, c2004.</t>
        </is>
      </c>
      <c r="O261" t="inlineStr">
        <is>
          <t>2004</t>
        </is>
      </c>
      <c r="Q261" t="inlineStr">
        <is>
          <t>eng</t>
        </is>
      </c>
      <c r="R261" t="inlineStr">
        <is>
          <t>nyu</t>
        </is>
      </c>
      <c r="T261" t="inlineStr">
        <is>
          <t xml:space="preserve">WA </t>
        </is>
      </c>
      <c r="U261" t="n">
        <v>0</v>
      </c>
      <c r="V261" t="n">
        <v>0</v>
      </c>
      <c r="W261" t="inlineStr">
        <is>
          <t>2008-08-12</t>
        </is>
      </c>
      <c r="X261" t="inlineStr">
        <is>
          <t>2008-08-12</t>
        </is>
      </c>
      <c r="Y261" t="inlineStr">
        <is>
          <t>2008-08-11</t>
        </is>
      </c>
      <c r="Z261" t="inlineStr">
        <is>
          <t>2008-08-11</t>
        </is>
      </c>
      <c r="AA261" t="n">
        <v>130</v>
      </c>
      <c r="AB261" t="n">
        <v>106</v>
      </c>
      <c r="AC261" t="n">
        <v>128</v>
      </c>
      <c r="AD261" t="n">
        <v>3</v>
      </c>
      <c r="AE261" t="n">
        <v>3</v>
      </c>
      <c r="AF261" t="n">
        <v>5</v>
      </c>
      <c r="AG261" t="n">
        <v>7</v>
      </c>
      <c r="AH261" t="n">
        <v>1</v>
      </c>
      <c r="AI261" t="n">
        <v>2</v>
      </c>
      <c r="AJ261" t="n">
        <v>1</v>
      </c>
      <c r="AK261" t="n">
        <v>2</v>
      </c>
      <c r="AL261" t="n">
        <v>2</v>
      </c>
      <c r="AM261" t="n">
        <v>3</v>
      </c>
      <c r="AN261" t="n">
        <v>2</v>
      </c>
      <c r="AO261" t="n">
        <v>2</v>
      </c>
      <c r="AP261" t="n">
        <v>0</v>
      </c>
      <c r="AQ261" t="n">
        <v>0</v>
      </c>
      <c r="AR261" t="inlineStr">
        <is>
          <t>No</t>
        </is>
      </c>
      <c r="AS261" t="inlineStr">
        <is>
          <t>No</t>
        </is>
      </c>
      <c r="AU261">
        <f>HYPERLINK("https://creighton-primo.hosted.exlibrisgroup.com/primo-explore/search?tab=default_tab&amp;search_scope=EVERYTHING&amp;vid=01CRU&amp;lang=en_US&amp;offset=0&amp;query=any,contains,991000906879702656","Catalog Record")</f>
        <v/>
      </c>
      <c r="AV261">
        <f>HYPERLINK("http://www.worldcat.org/oclc/54073927","WorldCat Record")</f>
        <v/>
      </c>
      <c r="AW261" t="inlineStr">
        <is>
          <t>899391431:eng</t>
        </is>
      </c>
      <c r="AX261" t="inlineStr">
        <is>
          <t>54073927</t>
        </is>
      </c>
      <c r="AY261" t="inlineStr">
        <is>
          <t>991000906879702656</t>
        </is>
      </c>
      <c r="AZ261" t="inlineStr">
        <is>
          <t>991000906879702656</t>
        </is>
      </c>
      <c r="BA261" t="inlineStr">
        <is>
          <t>2261075180002656</t>
        </is>
      </c>
      <c r="BB261" t="inlineStr">
        <is>
          <t>BOOK</t>
        </is>
      </c>
      <c r="BD261" t="inlineStr">
        <is>
          <t>9780387209784</t>
        </is>
      </c>
      <c r="BE261" t="inlineStr">
        <is>
          <t>30001005294782</t>
        </is>
      </c>
      <c r="BF261" t="inlineStr">
        <is>
          <t>893740570</t>
        </is>
      </c>
    </row>
    <row r="262">
      <c r="A262" t="inlineStr">
        <is>
          <t>No</t>
        </is>
      </c>
      <c r="B262" t="inlineStr">
        <is>
          <t>CUHSL</t>
        </is>
      </c>
      <c r="C262" t="inlineStr">
        <is>
          <t>SHELVES</t>
        </is>
      </c>
      <c r="D262" t="inlineStr">
        <is>
          <t>WA 390 W195r 1981</t>
        </is>
      </c>
      <c r="E262" t="inlineStr">
        <is>
          <t>0                      WA 0390000W  195r        1981</t>
        </is>
      </c>
      <c r="F262" t="inlineStr">
        <is>
          <t>Rural medicine : obstacles and solutions for self-sufficiency / Stanley S. Wallack, Sandra E. Kretz.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Wallack, Stanley.</t>
        </is>
      </c>
      <c r="N262" t="inlineStr">
        <is>
          <t>Lexington, Mass. : Lexington Books, c1981.</t>
        </is>
      </c>
      <c r="O262" t="inlineStr">
        <is>
          <t>1981</t>
        </is>
      </c>
      <c r="Q262" t="inlineStr">
        <is>
          <t>eng</t>
        </is>
      </c>
      <c r="R262" t="inlineStr">
        <is>
          <t>xxu</t>
        </is>
      </c>
      <c r="T262" t="inlineStr">
        <is>
          <t xml:space="preserve">WA </t>
        </is>
      </c>
      <c r="U262" t="n">
        <v>7</v>
      </c>
      <c r="V262" t="n">
        <v>7</v>
      </c>
      <c r="W262" t="inlineStr">
        <is>
          <t>2001-09-24</t>
        </is>
      </c>
      <c r="X262" t="inlineStr">
        <is>
          <t>2001-09-24</t>
        </is>
      </c>
      <c r="Y262" t="inlineStr">
        <is>
          <t>1988-01-06</t>
        </is>
      </c>
      <c r="Z262" t="inlineStr">
        <is>
          <t>1988-01-06</t>
        </is>
      </c>
      <c r="AA262" t="n">
        <v>148</v>
      </c>
      <c r="AB262" t="n">
        <v>125</v>
      </c>
      <c r="AC262" t="n">
        <v>125</v>
      </c>
      <c r="AD262" t="n">
        <v>1</v>
      </c>
      <c r="AE262" t="n">
        <v>1</v>
      </c>
      <c r="AF262" t="n">
        <v>5</v>
      </c>
      <c r="AG262" t="n">
        <v>5</v>
      </c>
      <c r="AH262" t="n">
        <v>1</v>
      </c>
      <c r="AI262" t="n">
        <v>1</v>
      </c>
      <c r="AJ262" t="n">
        <v>2</v>
      </c>
      <c r="AK262" t="n">
        <v>2</v>
      </c>
      <c r="AL262" t="n">
        <v>3</v>
      </c>
      <c r="AM262" t="n">
        <v>3</v>
      </c>
      <c r="AN262" t="n">
        <v>0</v>
      </c>
      <c r="AO262" t="n">
        <v>0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HYPERLINK("https://creighton-primo.hosted.exlibrisgroup.com/primo-explore/search?tab=default_tab&amp;search_scope=EVERYTHING&amp;vid=01CRU&amp;lang=en_US&amp;offset=0&amp;query=any,contains,991000725099702656","Catalog Record")</f>
        <v/>
      </c>
      <c r="AV262">
        <f>HYPERLINK("http://www.worldcat.org/oclc/7459329","WorldCat Record")</f>
        <v/>
      </c>
      <c r="AW262" t="inlineStr">
        <is>
          <t>836663556:eng</t>
        </is>
      </c>
      <c r="AX262" t="inlineStr">
        <is>
          <t>7459329</t>
        </is>
      </c>
      <c r="AY262" t="inlineStr">
        <is>
          <t>991000725099702656</t>
        </is>
      </c>
      <c r="AZ262" t="inlineStr">
        <is>
          <t>991000725099702656</t>
        </is>
      </c>
      <c r="BA262" t="inlineStr">
        <is>
          <t>2254741340002656</t>
        </is>
      </c>
      <c r="BB262" t="inlineStr">
        <is>
          <t>BOOK</t>
        </is>
      </c>
      <c r="BD262" t="inlineStr">
        <is>
          <t>9780669036916</t>
        </is>
      </c>
      <c r="BE262" t="inlineStr">
        <is>
          <t>30001000706707</t>
        </is>
      </c>
      <c r="BF262" t="inlineStr">
        <is>
          <t>893831123</t>
        </is>
      </c>
    </row>
    <row r="263">
      <c r="A263" t="inlineStr">
        <is>
          <t>No</t>
        </is>
      </c>
      <c r="B263" t="inlineStr">
        <is>
          <t>CUHSL</t>
        </is>
      </c>
      <c r="C263" t="inlineStr">
        <is>
          <t>SHELVES</t>
        </is>
      </c>
      <c r="D263" t="inlineStr">
        <is>
          <t>WA 395 A298h 1995</t>
        </is>
      </c>
      <c r="E263" t="inlineStr">
        <is>
          <t>0                      WA 0395000A  298h        1995</t>
        </is>
      </c>
      <c r="F263" t="inlineStr">
        <is>
          <t>Health and culture : beyond the western paradigm / Collins O. Airhihenbuwa.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Airhihenbuwa, Collins O.</t>
        </is>
      </c>
      <c r="N263" t="inlineStr">
        <is>
          <t>Thousand Oaks, Calif. : Sage Publishers, c1995.</t>
        </is>
      </c>
      <c r="O263" t="inlineStr">
        <is>
          <t>1995</t>
        </is>
      </c>
      <c r="Q263" t="inlineStr">
        <is>
          <t>eng</t>
        </is>
      </c>
      <c r="R263" t="inlineStr">
        <is>
          <t>cau</t>
        </is>
      </c>
      <c r="T263" t="inlineStr">
        <is>
          <t xml:space="preserve">WA </t>
        </is>
      </c>
      <c r="U263" t="n">
        <v>7</v>
      </c>
      <c r="V263" t="n">
        <v>7</v>
      </c>
      <c r="W263" t="inlineStr">
        <is>
          <t>1998-12-11</t>
        </is>
      </c>
      <c r="X263" t="inlineStr">
        <is>
          <t>1998-12-11</t>
        </is>
      </c>
      <c r="Y263" t="inlineStr">
        <is>
          <t>1995-06-05</t>
        </is>
      </c>
      <c r="Z263" t="inlineStr">
        <is>
          <t>1995-06-05</t>
        </is>
      </c>
      <c r="AA263" t="n">
        <v>358</v>
      </c>
      <c r="AB263" t="n">
        <v>255</v>
      </c>
      <c r="AC263" t="n">
        <v>260</v>
      </c>
      <c r="AD263" t="n">
        <v>3</v>
      </c>
      <c r="AE263" t="n">
        <v>3</v>
      </c>
      <c r="AF263" t="n">
        <v>13</v>
      </c>
      <c r="AG263" t="n">
        <v>13</v>
      </c>
      <c r="AH263" t="n">
        <v>4</v>
      </c>
      <c r="AI263" t="n">
        <v>4</v>
      </c>
      <c r="AJ263" t="n">
        <v>4</v>
      </c>
      <c r="AK263" t="n">
        <v>4</v>
      </c>
      <c r="AL263" t="n">
        <v>7</v>
      </c>
      <c r="AM263" t="n">
        <v>7</v>
      </c>
      <c r="AN263" t="n">
        <v>1</v>
      </c>
      <c r="AO263" t="n">
        <v>1</v>
      </c>
      <c r="AP263" t="n">
        <v>0</v>
      </c>
      <c r="AQ263" t="n">
        <v>0</v>
      </c>
      <c r="AR263" t="inlineStr">
        <is>
          <t>No</t>
        </is>
      </c>
      <c r="AS263" t="inlineStr">
        <is>
          <t>No</t>
        </is>
      </c>
      <c r="AU263">
        <f>HYPERLINK("https://creighton-primo.hosted.exlibrisgroup.com/primo-explore/search?tab=default_tab&amp;search_scope=EVERYTHING&amp;vid=01CRU&amp;lang=en_US&amp;offset=0&amp;query=any,contains,991001400739702656","Catalog Record")</f>
        <v/>
      </c>
      <c r="AV263">
        <f>HYPERLINK("http://www.worldcat.org/oclc/31900679","WorldCat Record")</f>
        <v/>
      </c>
      <c r="AW263" t="inlineStr">
        <is>
          <t>349909330:eng</t>
        </is>
      </c>
      <c r="AX263" t="inlineStr">
        <is>
          <t>31900679</t>
        </is>
      </c>
      <c r="AY263" t="inlineStr">
        <is>
          <t>991001400739702656</t>
        </is>
      </c>
      <c r="AZ263" t="inlineStr">
        <is>
          <t>991001400739702656</t>
        </is>
      </c>
      <c r="BA263" t="inlineStr">
        <is>
          <t>2264591180002656</t>
        </is>
      </c>
      <c r="BB263" t="inlineStr">
        <is>
          <t>BOOK</t>
        </is>
      </c>
      <c r="BD263" t="inlineStr">
        <is>
          <t>9780803971578</t>
        </is>
      </c>
      <c r="BE263" t="inlineStr">
        <is>
          <t>30001003147958</t>
        </is>
      </c>
      <c r="BF263" t="inlineStr">
        <is>
          <t>893731981</t>
        </is>
      </c>
    </row>
    <row r="264">
      <c r="A264" t="inlineStr">
        <is>
          <t>No</t>
        </is>
      </c>
      <c r="B264" t="inlineStr">
        <is>
          <t>CUHSL</t>
        </is>
      </c>
      <c r="C264" t="inlineStr">
        <is>
          <t>SHELVES</t>
        </is>
      </c>
      <c r="D264" t="inlineStr">
        <is>
          <t>WA 395 I35 1985</t>
        </is>
      </c>
      <c r="E264" t="inlineStr">
        <is>
          <t>0                      WA 0395000I  35          1985</t>
        </is>
      </c>
      <c r="F264" t="inlineStr">
        <is>
          <t>In the shadow of the city : community health and the urban poor / edited by Trudy Harpham, Tim Lusty, and Patrick Vaughan.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N264" t="inlineStr">
        <is>
          <t>Oxford ; New York : Oxford University Press, c1988.</t>
        </is>
      </c>
      <c r="O264" t="inlineStr">
        <is>
          <t>1988</t>
        </is>
      </c>
      <c r="Q264" t="inlineStr">
        <is>
          <t>eng</t>
        </is>
      </c>
      <c r="R264" t="inlineStr">
        <is>
          <t>enk</t>
        </is>
      </c>
      <c r="S264" t="inlineStr">
        <is>
          <t>Oxford medical publications</t>
        </is>
      </c>
      <c r="T264" t="inlineStr">
        <is>
          <t xml:space="preserve">WA </t>
        </is>
      </c>
      <c r="U264" t="n">
        <v>8</v>
      </c>
      <c r="V264" t="n">
        <v>8</v>
      </c>
      <c r="W264" t="inlineStr">
        <is>
          <t>2004-03-07</t>
        </is>
      </c>
      <c r="X264" t="inlineStr">
        <is>
          <t>2004-03-07</t>
        </is>
      </c>
      <c r="Y264" t="inlineStr">
        <is>
          <t>1988-10-08</t>
        </is>
      </c>
      <c r="Z264" t="inlineStr">
        <is>
          <t>1988-10-08</t>
        </is>
      </c>
      <c r="AA264" t="n">
        <v>243</v>
      </c>
      <c r="AB264" t="n">
        <v>145</v>
      </c>
      <c r="AC264" t="n">
        <v>151</v>
      </c>
      <c r="AD264" t="n">
        <v>1</v>
      </c>
      <c r="AE264" t="n">
        <v>1</v>
      </c>
      <c r="AF264" t="n">
        <v>4</v>
      </c>
      <c r="AG264" t="n">
        <v>4</v>
      </c>
      <c r="AH264" t="n">
        <v>0</v>
      </c>
      <c r="AI264" t="n">
        <v>0</v>
      </c>
      <c r="AJ264" t="n">
        <v>1</v>
      </c>
      <c r="AK264" t="n">
        <v>1</v>
      </c>
      <c r="AL264" t="n">
        <v>3</v>
      </c>
      <c r="AM264" t="n">
        <v>3</v>
      </c>
      <c r="AN264" t="n">
        <v>0</v>
      </c>
      <c r="AO264" t="n">
        <v>0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HYPERLINK("http://catalog.hathitrust.org/Record/000927034","HathiTrust Record")</f>
        <v/>
      </c>
      <c r="AU264">
        <f>HYPERLINK("https://creighton-primo.hosted.exlibrisgroup.com/primo-explore/search?tab=default_tab&amp;search_scope=EVERYTHING&amp;vid=01CRU&amp;lang=en_US&amp;offset=0&amp;query=any,contains,991001425109702656","Catalog Record")</f>
        <v/>
      </c>
      <c r="AV264">
        <f>HYPERLINK("http://www.worldcat.org/oclc/16868655","WorldCat Record")</f>
        <v/>
      </c>
      <c r="AW264" t="inlineStr">
        <is>
          <t>836729930:eng</t>
        </is>
      </c>
      <c r="AX264" t="inlineStr">
        <is>
          <t>16868655</t>
        </is>
      </c>
      <c r="AY264" t="inlineStr">
        <is>
          <t>991001425109702656</t>
        </is>
      </c>
      <c r="AZ264" t="inlineStr">
        <is>
          <t>991001425109702656</t>
        </is>
      </c>
      <c r="BA264" t="inlineStr">
        <is>
          <t>2269805850002656</t>
        </is>
      </c>
      <c r="BB264" t="inlineStr">
        <is>
          <t>BOOK</t>
        </is>
      </c>
      <c r="BD264" t="inlineStr">
        <is>
          <t>9780192615916</t>
        </is>
      </c>
      <c r="BE264" t="inlineStr">
        <is>
          <t>30001001183948</t>
        </is>
      </c>
      <c r="BF264" t="inlineStr">
        <is>
          <t>893284795</t>
        </is>
      </c>
    </row>
    <row r="265">
      <c r="A265" t="inlineStr">
        <is>
          <t>No</t>
        </is>
      </c>
      <c r="B265" t="inlineStr">
        <is>
          <t>CUHSL</t>
        </is>
      </c>
      <c r="C265" t="inlineStr">
        <is>
          <t>SHELVES</t>
        </is>
      </c>
      <c r="D265" t="inlineStr">
        <is>
          <t>WA395 N976 2001</t>
        </is>
      </c>
      <c r="E265" t="inlineStr">
        <is>
          <t>0                      WA 0395000N  976         2001</t>
        </is>
      </c>
      <c r="F265" t="inlineStr">
        <is>
          <t>Nutrition and health in Developing countries / edited by Richard D. Semba and Martin W. Bloem ; foreword by Nevin S. Scrimshaw.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1</t>
        </is>
      </c>
      <c r="N265" t="inlineStr">
        <is>
          <t>Totowa, NJ : Humana Press, 2001.</t>
        </is>
      </c>
      <c r="O265" t="inlineStr">
        <is>
          <t>2001</t>
        </is>
      </c>
      <c r="Q265" t="inlineStr">
        <is>
          <t>eng</t>
        </is>
      </c>
      <c r="R265" t="inlineStr">
        <is>
          <t>nju</t>
        </is>
      </c>
      <c r="S265" t="inlineStr">
        <is>
          <t>Nutrition and health</t>
        </is>
      </c>
      <c r="T265" t="inlineStr">
        <is>
          <t xml:space="preserve">WA </t>
        </is>
      </c>
      <c r="U265" t="n">
        <v>0</v>
      </c>
      <c r="V265" t="n">
        <v>0</v>
      </c>
      <c r="W265" t="inlineStr">
        <is>
          <t>2005-10-27</t>
        </is>
      </c>
      <c r="X265" t="inlineStr">
        <is>
          <t>2005-10-27</t>
        </is>
      </c>
      <c r="Y265" t="inlineStr">
        <is>
          <t>2005-10-25</t>
        </is>
      </c>
      <c r="Z265" t="inlineStr">
        <is>
          <t>2005-10-25</t>
        </is>
      </c>
      <c r="AA265" t="n">
        <v>197</v>
      </c>
      <c r="AB265" t="n">
        <v>140</v>
      </c>
      <c r="AC265" t="n">
        <v>452</v>
      </c>
      <c r="AD265" t="n">
        <v>2</v>
      </c>
      <c r="AE265" t="n">
        <v>3</v>
      </c>
      <c r="AF265" t="n">
        <v>6</v>
      </c>
      <c r="AG265" t="n">
        <v>15</v>
      </c>
      <c r="AH265" t="n">
        <v>2</v>
      </c>
      <c r="AI265" t="n">
        <v>7</v>
      </c>
      <c r="AJ265" t="n">
        <v>1</v>
      </c>
      <c r="AK265" t="n">
        <v>3</v>
      </c>
      <c r="AL265" t="n">
        <v>3</v>
      </c>
      <c r="AM265" t="n">
        <v>7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HYPERLINK("http://catalog.hathitrust.org/Record/004176859","HathiTrust Record")</f>
        <v/>
      </c>
      <c r="AU265">
        <f>HYPERLINK("https://creighton-primo.hosted.exlibrisgroup.com/primo-explore/search?tab=default_tab&amp;search_scope=EVERYTHING&amp;vid=01CRU&amp;lang=en_US&amp;offset=0&amp;query=any,contains,991000445769702656","Catalog Record")</f>
        <v/>
      </c>
      <c r="AV265">
        <f>HYPERLINK("http://www.worldcat.org/oclc/46343090","WorldCat Record")</f>
        <v/>
      </c>
      <c r="AW265" t="inlineStr">
        <is>
          <t>905947117:eng</t>
        </is>
      </c>
      <c r="AX265" t="inlineStr">
        <is>
          <t>46343090</t>
        </is>
      </c>
      <c r="AY265" t="inlineStr">
        <is>
          <t>991000445769702656</t>
        </is>
      </c>
      <c r="AZ265" t="inlineStr">
        <is>
          <t>991000445769702656</t>
        </is>
      </c>
      <c r="BA265" t="inlineStr">
        <is>
          <t>2271029050002656</t>
        </is>
      </c>
      <c r="BB265" t="inlineStr">
        <is>
          <t>BOOK</t>
        </is>
      </c>
      <c r="BD265" t="inlineStr">
        <is>
          <t>9780896038066</t>
        </is>
      </c>
      <c r="BE265" t="inlineStr">
        <is>
          <t>30001004913614</t>
        </is>
      </c>
      <c r="BF265" t="inlineStr">
        <is>
          <t>893542341</t>
        </is>
      </c>
    </row>
    <row r="266">
      <c r="A266" t="inlineStr">
        <is>
          <t>No</t>
        </is>
      </c>
      <c r="B266" t="inlineStr">
        <is>
          <t>CUHSL</t>
        </is>
      </c>
      <c r="C266" t="inlineStr">
        <is>
          <t>SHELVES</t>
        </is>
      </c>
      <c r="D266" t="inlineStr">
        <is>
          <t>WA 395 P895 1983</t>
        </is>
      </c>
      <c r="E266" t="inlineStr">
        <is>
          <t>0                      WA 0395000P  895         1983</t>
        </is>
      </c>
      <c r="F266" t="inlineStr">
        <is>
          <t>Practising health for all / edited by David Morley, Jon E. Rohde, Glen Williams.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N266" t="inlineStr">
        <is>
          <t>Oxford ; New York : Oxford University Press, c1983.</t>
        </is>
      </c>
      <c r="O266" t="inlineStr">
        <is>
          <t>1983</t>
        </is>
      </c>
      <c r="Q266" t="inlineStr">
        <is>
          <t>eng</t>
        </is>
      </c>
      <c r="R266" t="inlineStr">
        <is>
          <t>enk</t>
        </is>
      </c>
      <c r="S266" t="inlineStr">
        <is>
          <t>Oxford medical publications</t>
        </is>
      </c>
      <c r="T266" t="inlineStr">
        <is>
          <t xml:space="preserve">WA </t>
        </is>
      </c>
      <c r="U266" t="n">
        <v>5</v>
      </c>
      <c r="V266" t="n">
        <v>5</v>
      </c>
      <c r="W266" t="inlineStr">
        <is>
          <t>2000-04-25</t>
        </is>
      </c>
      <c r="X266" t="inlineStr">
        <is>
          <t>2000-04-25</t>
        </is>
      </c>
      <c r="Y266" t="inlineStr">
        <is>
          <t>1988-01-06</t>
        </is>
      </c>
      <c r="Z266" t="inlineStr">
        <is>
          <t>1988-01-06</t>
        </is>
      </c>
      <c r="AA266" t="n">
        <v>231</v>
      </c>
      <c r="AB266" t="n">
        <v>125</v>
      </c>
      <c r="AC266" t="n">
        <v>125</v>
      </c>
      <c r="AD266" t="n">
        <v>1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No</t>
        </is>
      </c>
      <c r="AU266">
        <f>HYPERLINK("https://creighton-primo.hosted.exlibrisgroup.com/primo-explore/search?tab=default_tab&amp;search_scope=EVERYTHING&amp;vid=01CRU&amp;lang=en_US&amp;offset=0&amp;query=any,contains,991000725259702656","Catalog Record")</f>
        <v/>
      </c>
      <c r="AV266">
        <f>HYPERLINK("http://www.worldcat.org/oclc/9644488","WorldCat Record")</f>
        <v/>
      </c>
      <c r="AW266" t="inlineStr">
        <is>
          <t>509962983:eng</t>
        </is>
      </c>
      <c r="AX266" t="inlineStr">
        <is>
          <t>9644488</t>
        </is>
      </c>
      <c r="AY266" t="inlineStr">
        <is>
          <t>991000725259702656</t>
        </is>
      </c>
      <c r="AZ266" t="inlineStr">
        <is>
          <t>991000725259702656</t>
        </is>
      </c>
      <c r="BA266" t="inlineStr">
        <is>
          <t>2267206390002656</t>
        </is>
      </c>
      <c r="BB266" t="inlineStr">
        <is>
          <t>BOOK</t>
        </is>
      </c>
      <c r="BD266" t="inlineStr">
        <is>
          <t>9780192614452</t>
        </is>
      </c>
      <c r="BE266" t="inlineStr">
        <is>
          <t>30001000706749</t>
        </is>
      </c>
      <c r="BF266" t="inlineStr">
        <is>
          <t>893368387</t>
        </is>
      </c>
    </row>
    <row r="267">
      <c r="A267" t="inlineStr">
        <is>
          <t>No</t>
        </is>
      </c>
      <c r="B267" t="inlineStr">
        <is>
          <t>CUHSL</t>
        </is>
      </c>
      <c r="C267" t="inlineStr">
        <is>
          <t>SHELVES</t>
        </is>
      </c>
      <c r="D267" t="inlineStr">
        <is>
          <t>WA395 R2815 2005</t>
        </is>
      </c>
      <c r="E267" t="inlineStr">
        <is>
          <t>0                      WA 0395000R  2815        2005</t>
        </is>
      </c>
      <c r="F267" t="inlineStr">
        <is>
          <t>Reaching the poor with health, nutrition, and population services : what works, what doesn't, and why / edited by Davidson R. Gwatkin, Adam Wagstaff, Abdo S. Yazbeck.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Washington, DC : The World Bank, 2005.</t>
        </is>
      </c>
      <c r="O267" t="inlineStr">
        <is>
          <t>2005</t>
        </is>
      </c>
      <c r="Q267" t="inlineStr">
        <is>
          <t>eng</t>
        </is>
      </c>
      <c r="R267" t="inlineStr">
        <is>
          <t>dcu</t>
        </is>
      </c>
      <c r="T267" t="inlineStr">
        <is>
          <t xml:space="preserve">WA </t>
        </is>
      </c>
      <c r="U267" t="n">
        <v>3</v>
      </c>
      <c r="V267" t="n">
        <v>3</v>
      </c>
      <c r="W267" t="inlineStr">
        <is>
          <t>2010-09-15</t>
        </is>
      </c>
      <c r="X267" t="inlineStr">
        <is>
          <t>2010-09-15</t>
        </is>
      </c>
      <c r="Y267" t="inlineStr">
        <is>
          <t>2007-03-28</t>
        </is>
      </c>
      <c r="Z267" t="inlineStr">
        <is>
          <t>2007-03-28</t>
        </is>
      </c>
      <c r="AA267" t="n">
        <v>250</v>
      </c>
      <c r="AB267" t="n">
        <v>166</v>
      </c>
      <c r="AC267" t="n">
        <v>850</v>
      </c>
      <c r="AD267" t="n">
        <v>2</v>
      </c>
      <c r="AE267" t="n">
        <v>18</v>
      </c>
      <c r="AF267" t="n">
        <v>10</v>
      </c>
      <c r="AG267" t="n">
        <v>38</v>
      </c>
      <c r="AH267" t="n">
        <v>2</v>
      </c>
      <c r="AI267" t="n">
        <v>12</v>
      </c>
      <c r="AJ267" t="n">
        <v>5</v>
      </c>
      <c r="AK267" t="n">
        <v>10</v>
      </c>
      <c r="AL267" t="n">
        <v>6</v>
      </c>
      <c r="AM267" t="n">
        <v>12</v>
      </c>
      <c r="AN267" t="n">
        <v>1</v>
      </c>
      <c r="AO267" t="n">
        <v>10</v>
      </c>
      <c r="AP267" t="n">
        <v>0</v>
      </c>
      <c r="AQ267" t="n">
        <v>1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HYPERLINK("http://catalog.hathitrust.org/Record/005126473","HathiTrust Record")</f>
        <v/>
      </c>
      <c r="AU267">
        <f>HYPERLINK("https://creighton-primo.hosted.exlibrisgroup.com/primo-explore/search?tab=default_tab&amp;search_scope=EVERYTHING&amp;vid=01CRU&amp;lang=en_US&amp;offset=0&amp;query=any,contains,991000604639702656","Catalog Record")</f>
        <v/>
      </c>
      <c r="AV267">
        <f>HYPERLINK("http://www.worldcat.org/oclc/60856232","WorldCat Record")</f>
        <v/>
      </c>
      <c r="AW267" t="inlineStr">
        <is>
          <t>1039118874:eng</t>
        </is>
      </c>
      <c r="AX267" t="inlineStr">
        <is>
          <t>60856232</t>
        </is>
      </c>
      <c r="AY267" t="inlineStr">
        <is>
          <t>991000604639702656</t>
        </is>
      </c>
      <c r="AZ267" t="inlineStr">
        <is>
          <t>991000604639702656</t>
        </is>
      </c>
      <c r="BA267" t="inlineStr">
        <is>
          <t>2269199080002656</t>
        </is>
      </c>
      <c r="BB267" t="inlineStr">
        <is>
          <t>BOOK</t>
        </is>
      </c>
      <c r="BD267" t="inlineStr">
        <is>
          <t>9780821359617</t>
        </is>
      </c>
      <c r="BE267" t="inlineStr">
        <is>
          <t>30001005127826</t>
        </is>
      </c>
      <c r="BF267" t="inlineStr">
        <is>
          <t>893277689</t>
        </is>
      </c>
    </row>
    <row r="268">
      <c r="A268" t="inlineStr">
        <is>
          <t>No</t>
        </is>
      </c>
      <c r="B268" t="inlineStr">
        <is>
          <t>CUHSL</t>
        </is>
      </c>
      <c r="C268" t="inlineStr">
        <is>
          <t>SHELVES</t>
        </is>
      </c>
      <c r="D268" t="inlineStr">
        <is>
          <t>WA 395 T961p 1984</t>
        </is>
      </c>
      <c r="E268" t="inlineStr">
        <is>
          <t>0                      WA 0395000T  961p        1984</t>
        </is>
      </c>
      <c r="F268" t="inlineStr">
        <is>
          <t>The political ecology of disease in Tanzania / Meredeth Turshen.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Turshen, Meredeth, 1938-</t>
        </is>
      </c>
      <c r="N268" t="inlineStr">
        <is>
          <t>New Brunswick, N.J. : Rutgers University Press, c1984.</t>
        </is>
      </c>
      <c r="O268" t="inlineStr">
        <is>
          <t>1984</t>
        </is>
      </c>
      <c r="Q268" t="inlineStr">
        <is>
          <t>eng</t>
        </is>
      </c>
      <c r="R268" t="inlineStr">
        <is>
          <t>nju</t>
        </is>
      </c>
      <c r="T268" t="inlineStr">
        <is>
          <t xml:space="preserve">WA </t>
        </is>
      </c>
      <c r="U268" t="n">
        <v>2</v>
      </c>
      <c r="V268" t="n">
        <v>2</v>
      </c>
      <c r="W268" t="inlineStr">
        <is>
          <t>1988-08-31</t>
        </is>
      </c>
      <c r="X268" t="inlineStr">
        <is>
          <t>1988-08-31</t>
        </is>
      </c>
      <c r="Y268" t="inlineStr">
        <is>
          <t>1988-07-20</t>
        </is>
      </c>
      <c r="Z268" t="inlineStr">
        <is>
          <t>1988-07-20</t>
        </is>
      </c>
      <c r="AA268" t="n">
        <v>255</v>
      </c>
      <c r="AB268" t="n">
        <v>191</v>
      </c>
      <c r="AC268" t="n">
        <v>197</v>
      </c>
      <c r="AD268" t="n">
        <v>2</v>
      </c>
      <c r="AE268" t="n">
        <v>2</v>
      </c>
      <c r="AF268" t="n">
        <v>4</v>
      </c>
      <c r="AG268" t="n">
        <v>4</v>
      </c>
      <c r="AH268" t="n">
        <v>1</v>
      </c>
      <c r="AI268" t="n">
        <v>1</v>
      </c>
      <c r="AJ268" t="n">
        <v>1</v>
      </c>
      <c r="AK268" t="n">
        <v>1</v>
      </c>
      <c r="AL268" t="n">
        <v>3</v>
      </c>
      <c r="AM268" t="n">
        <v>3</v>
      </c>
      <c r="AN268" t="n">
        <v>1</v>
      </c>
      <c r="AO268" t="n">
        <v>1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HYPERLINK("http://catalog.hathitrust.org/Record/000609108","HathiTrust Record")</f>
        <v/>
      </c>
      <c r="AU268">
        <f>HYPERLINK("https://creighton-primo.hosted.exlibrisgroup.com/primo-explore/search?tab=default_tab&amp;search_scope=EVERYTHING&amp;vid=01CRU&amp;lang=en_US&amp;offset=0&amp;query=any,contains,991001418919702656","Catalog Record")</f>
        <v/>
      </c>
      <c r="AV268">
        <f>HYPERLINK("http://www.worldcat.org/oclc/9828836","WorldCat Record")</f>
        <v/>
      </c>
      <c r="AW268" t="inlineStr">
        <is>
          <t>43263091:eng</t>
        </is>
      </c>
      <c r="AX268" t="inlineStr">
        <is>
          <t>9828836</t>
        </is>
      </c>
      <c r="AY268" t="inlineStr">
        <is>
          <t>991001418919702656</t>
        </is>
      </c>
      <c r="AZ268" t="inlineStr">
        <is>
          <t>991001418919702656</t>
        </is>
      </c>
      <c r="BA268" t="inlineStr">
        <is>
          <t>2269813960002656</t>
        </is>
      </c>
      <c r="BB268" t="inlineStr">
        <is>
          <t>BOOK</t>
        </is>
      </c>
      <c r="BD268" t="inlineStr">
        <is>
          <t>9780813510309</t>
        </is>
      </c>
      <c r="BE268" t="inlineStr">
        <is>
          <t>30001001181637</t>
        </is>
      </c>
      <c r="BF268" t="inlineStr">
        <is>
          <t>893826734</t>
        </is>
      </c>
    </row>
    <row r="269">
      <c r="A269" t="inlineStr">
        <is>
          <t>No</t>
        </is>
      </c>
      <c r="B269" t="inlineStr">
        <is>
          <t>CUHSL</t>
        </is>
      </c>
      <c r="C269" t="inlineStr">
        <is>
          <t>SHELVES</t>
        </is>
      </c>
      <c r="D269" t="inlineStr">
        <is>
          <t>WA400 A513o 2004</t>
        </is>
      </c>
      <c r="E269" t="inlineStr">
        <is>
          <t>0                      WA 0400000A  513o        2004</t>
        </is>
      </c>
      <c r="F269" t="inlineStr">
        <is>
          <t>Occupational medicine practice guidelines : evaluation and management of common health problems and functional recovery of workers / American College of Occupational and Environmental Medicine ; edited by Lee S. Glass ; contributing editors, Bernard R. Blais ... [et al.].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American College of Occupational and Environmental Medicine.</t>
        </is>
      </c>
      <c r="N269" t="inlineStr">
        <is>
          <t>Beverly Farms, Mass. : OEM Press, c2004.</t>
        </is>
      </c>
      <c r="O269" t="inlineStr">
        <is>
          <t>2004</t>
        </is>
      </c>
      <c r="P269" t="inlineStr">
        <is>
          <t>2nd ed.</t>
        </is>
      </c>
      <c r="Q269" t="inlineStr">
        <is>
          <t>eng</t>
        </is>
      </c>
      <c r="R269" t="inlineStr">
        <is>
          <t>mau</t>
        </is>
      </c>
      <c r="T269" t="inlineStr">
        <is>
          <t xml:space="preserve">WA </t>
        </is>
      </c>
      <c r="U269" t="n">
        <v>2</v>
      </c>
      <c r="V269" t="n">
        <v>2</v>
      </c>
      <c r="W269" t="inlineStr">
        <is>
          <t>2005-05-31</t>
        </is>
      </c>
      <c r="X269" t="inlineStr">
        <is>
          <t>2005-05-31</t>
        </is>
      </c>
      <c r="Y269" t="inlineStr">
        <is>
          <t>2005-01-27</t>
        </is>
      </c>
      <c r="Z269" t="inlineStr">
        <is>
          <t>2005-01-27</t>
        </is>
      </c>
      <c r="AA269" t="n">
        <v>67</v>
      </c>
      <c r="AB269" t="n">
        <v>59</v>
      </c>
      <c r="AC269" t="n">
        <v>59</v>
      </c>
      <c r="AD269" t="n">
        <v>1</v>
      </c>
      <c r="AE269" t="n">
        <v>1</v>
      </c>
      <c r="AF269" t="n">
        <v>1</v>
      </c>
      <c r="AG269" t="n">
        <v>1</v>
      </c>
      <c r="AH269" t="n">
        <v>0</v>
      </c>
      <c r="AI269" t="n">
        <v>0</v>
      </c>
      <c r="AJ269" t="n">
        <v>1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No</t>
        </is>
      </c>
      <c r="AU269">
        <f>HYPERLINK("https://creighton-primo.hosted.exlibrisgroup.com/primo-explore/search?tab=default_tab&amp;search_scope=EVERYTHING&amp;vid=01CRU&amp;lang=en_US&amp;offset=0&amp;query=any,contains,991000425009702656","Catalog Record")</f>
        <v/>
      </c>
      <c r="AV269">
        <f>HYPERLINK("http://www.worldcat.org/oclc/53477929","WorldCat Record")</f>
        <v/>
      </c>
      <c r="AW269" t="inlineStr">
        <is>
          <t>3770347279:eng</t>
        </is>
      </c>
      <c r="AX269" t="inlineStr">
        <is>
          <t>53477929</t>
        </is>
      </c>
      <c r="AY269" t="inlineStr">
        <is>
          <t>991000425009702656</t>
        </is>
      </c>
      <c r="AZ269" t="inlineStr">
        <is>
          <t>991000425009702656</t>
        </is>
      </c>
      <c r="BA269" t="inlineStr">
        <is>
          <t>2270327490002656</t>
        </is>
      </c>
      <c r="BB269" t="inlineStr">
        <is>
          <t>BOOK</t>
        </is>
      </c>
      <c r="BD269" t="inlineStr">
        <is>
          <t>9781883595425</t>
        </is>
      </c>
      <c r="BE269" t="inlineStr">
        <is>
          <t>30001004927051</t>
        </is>
      </c>
      <c r="BF269" t="inlineStr">
        <is>
          <t>893136813</t>
        </is>
      </c>
    </row>
    <row r="270">
      <c r="A270" t="inlineStr">
        <is>
          <t>No</t>
        </is>
      </c>
      <c r="B270" t="inlineStr">
        <is>
          <t>CUHSL</t>
        </is>
      </c>
      <c r="C270" t="inlineStr">
        <is>
          <t>SHELVES</t>
        </is>
      </c>
      <c r="D270" t="inlineStr">
        <is>
          <t>WA 400 C514r 1989</t>
        </is>
      </c>
      <c r="E270" t="inlineStr">
        <is>
          <t>0                      WA 0400000C  514r        1989</t>
        </is>
      </c>
      <c r="F270" t="inlineStr">
        <is>
          <t>Research methods in occupational epidemiology / Harvey Checkoway, Neil Pearce, Douglas J. Crawford-Brown.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Yes</t>
        </is>
      </c>
      <c r="L270" t="inlineStr">
        <is>
          <t>1</t>
        </is>
      </c>
      <c r="M270" t="inlineStr">
        <is>
          <t>Checkoway, Harvey.</t>
        </is>
      </c>
      <c r="N270" t="inlineStr">
        <is>
          <t>New York : Oxford University Press, c1989.</t>
        </is>
      </c>
      <c r="O270" t="inlineStr">
        <is>
          <t>1989</t>
        </is>
      </c>
      <c r="Q270" t="inlineStr">
        <is>
          <t>eng</t>
        </is>
      </c>
      <c r="R270" t="inlineStr">
        <is>
          <t>xxu</t>
        </is>
      </c>
      <c r="S270" t="inlineStr">
        <is>
          <t>Monographs in epidemiology and biostatistics ; v. 13</t>
        </is>
      </c>
      <c r="T270" t="inlineStr">
        <is>
          <t xml:space="preserve">WA </t>
        </is>
      </c>
      <c r="U270" t="n">
        <v>7</v>
      </c>
      <c r="V270" t="n">
        <v>7</v>
      </c>
      <c r="W270" t="inlineStr">
        <is>
          <t>1991-04-27</t>
        </is>
      </c>
      <c r="X270" t="inlineStr">
        <is>
          <t>1991-04-27</t>
        </is>
      </c>
      <c r="Y270" t="inlineStr">
        <is>
          <t>1991-03-08</t>
        </is>
      </c>
      <c r="Z270" t="inlineStr">
        <is>
          <t>1991-03-08</t>
        </is>
      </c>
      <c r="AA270" t="n">
        <v>242</v>
      </c>
      <c r="AB270" t="n">
        <v>156</v>
      </c>
      <c r="AC270" t="n">
        <v>1107</v>
      </c>
      <c r="AD270" t="n">
        <v>1</v>
      </c>
      <c r="AE270" t="n">
        <v>14</v>
      </c>
      <c r="AF270" t="n">
        <v>2</v>
      </c>
      <c r="AG270" t="n">
        <v>44</v>
      </c>
      <c r="AH270" t="n">
        <v>0</v>
      </c>
      <c r="AI270" t="n">
        <v>12</v>
      </c>
      <c r="AJ270" t="n">
        <v>1</v>
      </c>
      <c r="AK270" t="n">
        <v>12</v>
      </c>
      <c r="AL270" t="n">
        <v>2</v>
      </c>
      <c r="AM270" t="n">
        <v>13</v>
      </c>
      <c r="AN270" t="n">
        <v>0</v>
      </c>
      <c r="AO270" t="n">
        <v>12</v>
      </c>
      <c r="AP270" t="n">
        <v>0</v>
      </c>
      <c r="AQ270" t="n">
        <v>2</v>
      </c>
      <c r="AR270" t="inlineStr">
        <is>
          <t>No</t>
        </is>
      </c>
      <c r="AS270" t="inlineStr">
        <is>
          <t>No</t>
        </is>
      </c>
      <c r="AU270">
        <f>HYPERLINK("https://creighton-primo.hosted.exlibrisgroup.com/primo-explore/search?tab=default_tab&amp;search_scope=EVERYTHING&amp;vid=01CRU&amp;lang=en_US&amp;offset=0&amp;query=any,contains,991000814559702656","Catalog Record")</f>
        <v/>
      </c>
      <c r="AV270">
        <f>HYPERLINK("http://www.worldcat.org/oclc/19456909","WorldCat Record")</f>
        <v/>
      </c>
      <c r="AW270" t="inlineStr">
        <is>
          <t>661282:eng</t>
        </is>
      </c>
      <c r="AX270" t="inlineStr">
        <is>
          <t>19456909</t>
        </is>
      </c>
      <c r="AY270" t="inlineStr">
        <is>
          <t>991000814559702656</t>
        </is>
      </c>
      <c r="AZ270" t="inlineStr">
        <is>
          <t>991000814559702656</t>
        </is>
      </c>
      <c r="BA270" t="inlineStr">
        <is>
          <t>2264025600002656</t>
        </is>
      </c>
      <c r="BB270" t="inlineStr">
        <is>
          <t>BOOK</t>
        </is>
      </c>
      <c r="BD270" t="inlineStr">
        <is>
          <t>9780195052244</t>
        </is>
      </c>
      <c r="BE270" t="inlineStr">
        <is>
          <t>30001002085720</t>
        </is>
      </c>
      <c r="BF270" t="inlineStr">
        <is>
          <t>893464762</t>
        </is>
      </c>
    </row>
    <row r="271">
      <c r="A271" t="inlineStr">
        <is>
          <t>No</t>
        </is>
      </c>
      <c r="B271" t="inlineStr">
        <is>
          <t>CUHSL</t>
        </is>
      </c>
      <c r="C271" t="inlineStr">
        <is>
          <t>SHELVES</t>
        </is>
      </c>
      <c r="D271" t="inlineStr">
        <is>
          <t>WA 400 E61 1998</t>
        </is>
      </c>
      <c r="E271" t="inlineStr">
        <is>
          <t>0                      WA 0400000E  61          1998</t>
        </is>
      </c>
      <c r="F271" t="inlineStr">
        <is>
          <t>Environmental &amp; occupational medicine / edited by William N. Rom.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Yes</t>
        </is>
      </c>
      <c r="L271" t="inlineStr">
        <is>
          <t>0</t>
        </is>
      </c>
      <c r="N271" t="inlineStr">
        <is>
          <t>Philadelphia : Lippincott-Raven Publishers, c1998.</t>
        </is>
      </c>
      <c r="O271" t="inlineStr">
        <is>
          <t>1998</t>
        </is>
      </c>
      <c r="P271" t="inlineStr">
        <is>
          <t>3rd ed.</t>
        </is>
      </c>
      <c r="Q271" t="inlineStr">
        <is>
          <t>eng</t>
        </is>
      </c>
      <c r="R271" t="inlineStr">
        <is>
          <t>pau</t>
        </is>
      </c>
      <c r="T271" t="inlineStr">
        <is>
          <t xml:space="preserve">WA </t>
        </is>
      </c>
      <c r="U271" t="n">
        <v>4</v>
      </c>
      <c r="V271" t="n">
        <v>4</v>
      </c>
      <c r="W271" t="inlineStr">
        <is>
          <t>1999-12-17</t>
        </is>
      </c>
      <c r="X271" t="inlineStr">
        <is>
          <t>1999-12-17</t>
        </is>
      </c>
      <c r="Y271" t="inlineStr">
        <is>
          <t>1999-12-17</t>
        </is>
      </c>
      <c r="Z271" t="inlineStr">
        <is>
          <t>1999-12-17</t>
        </is>
      </c>
      <c r="AA271" t="n">
        <v>264</v>
      </c>
      <c r="AB271" t="n">
        <v>201</v>
      </c>
      <c r="AC271" t="n">
        <v>531</v>
      </c>
      <c r="AD271" t="n">
        <v>1</v>
      </c>
      <c r="AE271" t="n">
        <v>2</v>
      </c>
      <c r="AF271" t="n">
        <v>4</v>
      </c>
      <c r="AG271" t="n">
        <v>9</v>
      </c>
      <c r="AH271" t="n">
        <v>2</v>
      </c>
      <c r="AI271" t="n">
        <v>5</v>
      </c>
      <c r="AJ271" t="n">
        <v>1</v>
      </c>
      <c r="AK271" t="n">
        <v>3</v>
      </c>
      <c r="AL271" t="n">
        <v>1</v>
      </c>
      <c r="AM271" t="n">
        <v>2</v>
      </c>
      <c r="AN271" t="n">
        <v>0</v>
      </c>
      <c r="AO271" t="n">
        <v>1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HYPERLINK("https://creighton-primo.hosted.exlibrisgroup.com/primo-explore/search?tab=default_tab&amp;search_scope=EVERYTHING&amp;vid=01CRU&amp;lang=en_US&amp;offset=0&amp;query=any,contains,991001410599702656","Catalog Record")</f>
        <v/>
      </c>
      <c r="AV271">
        <f>HYPERLINK("http://www.worldcat.org/oclc/37771034","WorldCat Record")</f>
        <v/>
      </c>
      <c r="AW271" t="inlineStr">
        <is>
          <t>4927314390:eng</t>
        </is>
      </c>
      <c r="AX271" t="inlineStr">
        <is>
          <t>37771034</t>
        </is>
      </c>
      <c r="AY271" t="inlineStr">
        <is>
          <t>991001410599702656</t>
        </is>
      </c>
      <c r="AZ271" t="inlineStr">
        <is>
          <t>991001410599702656</t>
        </is>
      </c>
      <c r="BA271" t="inlineStr">
        <is>
          <t>2256546080002656</t>
        </is>
      </c>
      <c r="BB271" t="inlineStr">
        <is>
          <t>BOOK</t>
        </is>
      </c>
      <c r="BD271" t="inlineStr">
        <is>
          <t>9780316755788</t>
        </is>
      </c>
      <c r="BE271" t="inlineStr">
        <is>
          <t>30001003831270</t>
        </is>
      </c>
      <c r="BF271" t="inlineStr">
        <is>
          <t>893121467</t>
        </is>
      </c>
    </row>
    <row r="272">
      <c r="A272" t="inlineStr">
        <is>
          <t>No</t>
        </is>
      </c>
      <c r="B272" t="inlineStr">
        <is>
          <t>CUHSL</t>
        </is>
      </c>
      <c r="C272" t="inlineStr">
        <is>
          <t>SHELVES</t>
        </is>
      </c>
      <c r="D272" t="inlineStr">
        <is>
          <t>WA 400 I43 1995</t>
        </is>
      </c>
      <c r="E272" t="inlineStr">
        <is>
          <t>0                      WA 0400000I  43          1995</t>
        </is>
      </c>
      <c r="F272" t="inlineStr">
        <is>
          <t>Industrial therapy / edited by Glenda L. Key.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N272" t="inlineStr">
        <is>
          <t>St. Louis : Mosby, [c1995]</t>
        </is>
      </c>
      <c r="O272" t="inlineStr">
        <is>
          <t>1995</t>
        </is>
      </c>
      <c r="P272" t="inlineStr">
        <is>
          <t>1st ed.</t>
        </is>
      </c>
      <c r="Q272" t="inlineStr">
        <is>
          <t>eng</t>
        </is>
      </c>
      <c r="R272" t="inlineStr">
        <is>
          <t>mou</t>
        </is>
      </c>
      <c r="T272" t="inlineStr">
        <is>
          <t xml:space="preserve">WA </t>
        </is>
      </c>
      <c r="U272" t="n">
        <v>4</v>
      </c>
      <c r="V272" t="n">
        <v>4</v>
      </c>
      <c r="W272" t="inlineStr">
        <is>
          <t>2002-03-21</t>
        </is>
      </c>
      <c r="X272" t="inlineStr">
        <is>
          <t>2002-03-21</t>
        </is>
      </c>
      <c r="Y272" t="inlineStr">
        <is>
          <t>1996-10-22</t>
        </is>
      </c>
      <c r="Z272" t="inlineStr">
        <is>
          <t>1996-10-22</t>
        </is>
      </c>
      <c r="AA272" t="n">
        <v>156</v>
      </c>
      <c r="AB272" t="n">
        <v>130</v>
      </c>
      <c r="AC272" t="n">
        <v>131</v>
      </c>
      <c r="AD272" t="n">
        <v>1</v>
      </c>
      <c r="AE272" t="n">
        <v>1</v>
      </c>
      <c r="AF272" t="n">
        <v>5</v>
      </c>
      <c r="AG272" t="n">
        <v>5</v>
      </c>
      <c r="AH272" t="n">
        <v>4</v>
      </c>
      <c r="AI272" t="n">
        <v>4</v>
      </c>
      <c r="AJ272" t="n">
        <v>1</v>
      </c>
      <c r="AK272" t="n">
        <v>1</v>
      </c>
      <c r="AL272" t="n">
        <v>2</v>
      </c>
      <c r="AM272" t="n">
        <v>2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Yes</t>
        </is>
      </c>
      <c r="AT272">
        <f>HYPERLINK("http://catalog.hathitrust.org/Record/002933121","HathiTrust Record")</f>
        <v/>
      </c>
      <c r="AU272">
        <f>HYPERLINK("https://creighton-primo.hosted.exlibrisgroup.com/primo-explore/search?tab=default_tab&amp;search_scope=EVERYTHING&amp;vid=01CRU&amp;lang=en_US&amp;offset=0&amp;query=any,contains,991000848649702656","Catalog Record")</f>
        <v/>
      </c>
      <c r="AV272">
        <f>HYPERLINK("http://www.worldcat.org/oclc/31754822","WorldCat Record")</f>
        <v/>
      </c>
      <c r="AW272" t="inlineStr">
        <is>
          <t>20190324:eng</t>
        </is>
      </c>
      <c r="AX272" t="inlineStr">
        <is>
          <t>31754822</t>
        </is>
      </c>
      <c r="AY272" t="inlineStr">
        <is>
          <t>991000848649702656</t>
        </is>
      </c>
      <c r="AZ272" t="inlineStr">
        <is>
          <t>991000848649702656</t>
        </is>
      </c>
      <c r="BA272" t="inlineStr">
        <is>
          <t>2271011810002656</t>
        </is>
      </c>
      <c r="BB272" t="inlineStr">
        <is>
          <t>BOOK</t>
        </is>
      </c>
      <c r="BD272" t="inlineStr">
        <is>
          <t>9780815150466</t>
        </is>
      </c>
      <c r="BE272" t="inlineStr">
        <is>
          <t>30001003472968</t>
        </is>
      </c>
      <c r="BF272" t="inlineStr">
        <is>
          <t>893368828</t>
        </is>
      </c>
    </row>
    <row r="273">
      <c r="A273" t="inlineStr">
        <is>
          <t>No</t>
        </is>
      </c>
      <c r="B273" t="inlineStr">
        <is>
          <t>CUHSL</t>
        </is>
      </c>
      <c r="C273" t="inlineStr">
        <is>
          <t>SHELVES</t>
        </is>
      </c>
      <c r="D273" t="inlineStr">
        <is>
          <t>WA 400 O14455 2005</t>
        </is>
      </c>
      <c r="E273" t="inlineStr">
        <is>
          <t>0                      WA 0400000O  14455       2005</t>
        </is>
      </c>
      <c r="F273" t="inlineStr">
        <is>
          <t>Occupational health and safety : international influences and the "new" epidemics / edited by Chris L. Peterson and Claire Mayhew.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Amityville, N.Y. : Baywood Pub., c2005.</t>
        </is>
      </c>
      <c r="O273" t="inlineStr">
        <is>
          <t>2005</t>
        </is>
      </c>
      <c r="Q273" t="inlineStr">
        <is>
          <t>eng</t>
        </is>
      </c>
      <c r="R273" t="inlineStr">
        <is>
          <t>nyu</t>
        </is>
      </c>
      <c r="S273" t="inlineStr">
        <is>
          <t>Policy, politics, health, and medicine series</t>
        </is>
      </c>
      <c r="T273" t="inlineStr">
        <is>
          <t xml:space="preserve">WA </t>
        </is>
      </c>
      <c r="U273" t="n">
        <v>0</v>
      </c>
      <c r="V273" t="n">
        <v>0</v>
      </c>
      <c r="W273" t="inlineStr">
        <is>
          <t>2007-01-29</t>
        </is>
      </c>
      <c r="X273" t="inlineStr">
        <is>
          <t>2007-01-29</t>
        </is>
      </c>
      <c r="Y273" t="inlineStr">
        <is>
          <t>2007-01-17</t>
        </is>
      </c>
      <c r="Z273" t="inlineStr">
        <is>
          <t>2007-01-17</t>
        </is>
      </c>
      <c r="AA273" t="n">
        <v>106</v>
      </c>
      <c r="AB273" t="n">
        <v>68</v>
      </c>
      <c r="AC273" t="n">
        <v>90</v>
      </c>
      <c r="AD273" t="n">
        <v>1</v>
      </c>
      <c r="AE273" t="n">
        <v>1</v>
      </c>
      <c r="AF273" t="n">
        <v>3</v>
      </c>
      <c r="AG273" t="n">
        <v>3</v>
      </c>
      <c r="AH273" t="n">
        <v>1</v>
      </c>
      <c r="AI273" t="n">
        <v>1</v>
      </c>
      <c r="AJ273" t="n">
        <v>1</v>
      </c>
      <c r="AK273" t="n">
        <v>1</v>
      </c>
      <c r="AL273" t="n">
        <v>2</v>
      </c>
      <c r="AM273" t="n">
        <v>2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HYPERLINK("https://creighton-primo.hosted.exlibrisgroup.com/primo-explore/search?tab=default_tab&amp;search_scope=EVERYTHING&amp;vid=01CRU&amp;lang=en_US&amp;offset=0&amp;query=any,contains,991000582249702656","Catalog Record")</f>
        <v/>
      </c>
      <c r="AV273">
        <f>HYPERLINK("http://www.worldcat.org/oclc/57452549","WorldCat Record")</f>
        <v/>
      </c>
      <c r="AW273" t="inlineStr">
        <is>
          <t>478721791:eng</t>
        </is>
      </c>
      <c r="AX273" t="inlineStr">
        <is>
          <t>57452549</t>
        </is>
      </c>
      <c r="AY273" t="inlineStr">
        <is>
          <t>991000582249702656</t>
        </is>
      </c>
      <c r="AZ273" t="inlineStr">
        <is>
          <t>991000582249702656</t>
        </is>
      </c>
      <c r="BA273" t="inlineStr">
        <is>
          <t>2262926380002656</t>
        </is>
      </c>
      <c r="BB273" t="inlineStr">
        <is>
          <t>BOOK</t>
        </is>
      </c>
      <c r="BD273" t="inlineStr">
        <is>
          <t>9780895033031</t>
        </is>
      </c>
      <c r="BE273" t="inlineStr">
        <is>
          <t>30001005170271</t>
        </is>
      </c>
      <c r="BF273" t="inlineStr">
        <is>
          <t>893641409</t>
        </is>
      </c>
    </row>
    <row r="274">
      <c r="A274" t="inlineStr">
        <is>
          <t>No</t>
        </is>
      </c>
      <c r="B274" t="inlineStr">
        <is>
          <t>CUHSL</t>
        </is>
      </c>
      <c r="C274" t="inlineStr">
        <is>
          <t>SHELVES</t>
        </is>
      </c>
      <c r="D274" t="inlineStr">
        <is>
          <t>WA400 O146 2003</t>
        </is>
      </c>
      <c r="E274" t="inlineStr">
        <is>
          <t>0                      WA 0400000O  146         2003</t>
        </is>
      </c>
      <c r="F274" t="inlineStr">
        <is>
          <t>Occupational, industrial, and environmental toxicology / editor-in-chief, Michael I. Greenberg ; editors, Richard J. Hamilton, Scott D. Phillips, Gayla J. McCluskey.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N274" t="inlineStr">
        <is>
          <t>[St. Louis, Mo.] : Mosby, c2003.</t>
        </is>
      </c>
      <c r="O274" t="inlineStr">
        <is>
          <t>2003</t>
        </is>
      </c>
      <c r="P274" t="inlineStr">
        <is>
          <t>2nd ed.</t>
        </is>
      </c>
      <c r="Q274" t="inlineStr">
        <is>
          <t>eng</t>
        </is>
      </c>
      <c r="R274" t="inlineStr">
        <is>
          <t>mou</t>
        </is>
      </c>
      <c r="T274" t="inlineStr">
        <is>
          <t xml:space="preserve">WA </t>
        </is>
      </c>
      <c r="U274" t="n">
        <v>2</v>
      </c>
      <c r="V274" t="n">
        <v>2</v>
      </c>
      <c r="W274" t="inlineStr">
        <is>
          <t>2008-05-20</t>
        </is>
      </c>
      <c r="X274" t="inlineStr">
        <is>
          <t>2008-05-20</t>
        </is>
      </c>
      <c r="Y274" t="inlineStr">
        <is>
          <t>2005-02-11</t>
        </is>
      </c>
      <c r="Z274" t="inlineStr">
        <is>
          <t>2005-02-11</t>
        </is>
      </c>
      <c r="AA274" t="n">
        <v>172</v>
      </c>
      <c r="AB274" t="n">
        <v>114</v>
      </c>
      <c r="AC274" t="n">
        <v>207</v>
      </c>
      <c r="AD274" t="n">
        <v>1</v>
      </c>
      <c r="AE274" t="n">
        <v>1</v>
      </c>
      <c r="AF274" t="n">
        <v>3</v>
      </c>
      <c r="AG274" t="n">
        <v>6</v>
      </c>
      <c r="AH274" t="n">
        <v>1</v>
      </c>
      <c r="AI274" t="n">
        <v>2</v>
      </c>
      <c r="AJ274" t="n">
        <v>2</v>
      </c>
      <c r="AK274" t="n">
        <v>2</v>
      </c>
      <c r="AL274" t="n">
        <v>0</v>
      </c>
      <c r="AM274" t="n">
        <v>2</v>
      </c>
      <c r="AN274" t="n">
        <v>0</v>
      </c>
      <c r="AO274" t="n">
        <v>0</v>
      </c>
      <c r="AP274" t="n">
        <v>0</v>
      </c>
      <c r="AQ274" t="n">
        <v>0</v>
      </c>
      <c r="AR274" t="inlineStr">
        <is>
          <t>No</t>
        </is>
      </c>
      <c r="AS274" t="inlineStr">
        <is>
          <t>No</t>
        </is>
      </c>
      <c r="AU274">
        <f>HYPERLINK("https://creighton-primo.hosted.exlibrisgroup.com/primo-explore/search?tab=default_tab&amp;search_scope=EVERYTHING&amp;vid=01CRU&amp;lang=en_US&amp;offset=0&amp;query=any,contains,991000427559702656","Catalog Record")</f>
        <v/>
      </c>
      <c r="AV274">
        <f>HYPERLINK("http://www.worldcat.org/oclc/50803959","WorldCat Record")</f>
        <v/>
      </c>
      <c r="AW274" t="inlineStr">
        <is>
          <t>350256300:eng</t>
        </is>
      </c>
      <c r="AX274" t="inlineStr">
        <is>
          <t>50803959</t>
        </is>
      </c>
      <c r="AY274" t="inlineStr">
        <is>
          <t>991000427559702656</t>
        </is>
      </c>
      <c r="AZ274" t="inlineStr">
        <is>
          <t>991000427559702656</t>
        </is>
      </c>
      <c r="BA274" t="inlineStr">
        <is>
          <t>2268987810002656</t>
        </is>
      </c>
      <c r="BB274" t="inlineStr">
        <is>
          <t>BOOK</t>
        </is>
      </c>
      <c r="BD274" t="inlineStr">
        <is>
          <t>9780323013406</t>
        </is>
      </c>
      <c r="BE274" t="inlineStr">
        <is>
          <t>30001004927432</t>
        </is>
      </c>
      <c r="BF274" t="inlineStr">
        <is>
          <t>893542309</t>
        </is>
      </c>
    </row>
    <row r="275">
      <c r="A275" t="inlineStr">
        <is>
          <t>No</t>
        </is>
      </c>
      <c r="B275" t="inlineStr">
        <is>
          <t>CUHSL</t>
        </is>
      </c>
      <c r="C275" t="inlineStr">
        <is>
          <t>SHELVES</t>
        </is>
      </c>
      <c r="D275" t="inlineStr">
        <is>
          <t>WA 400 O15 1983</t>
        </is>
      </c>
      <c r="E275" t="inlineStr">
        <is>
          <t>0                      WA 0400000O  15          1983</t>
        </is>
      </c>
      <c r="F275" t="inlineStr">
        <is>
          <t>Occupational health : recognizing and preventing work-related disease / edited by Barry S. Levy, David H. Wegman ; foreword by Anthony Robbins.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N275" t="inlineStr">
        <is>
          <t>Boston : Little, Brown, c1983.</t>
        </is>
      </c>
      <c r="O275" t="inlineStr">
        <is>
          <t>1983</t>
        </is>
      </c>
      <c r="P275" t="inlineStr">
        <is>
          <t>1st ed.</t>
        </is>
      </c>
      <c r="Q275" t="inlineStr">
        <is>
          <t>eng</t>
        </is>
      </c>
      <c r="R275" t="inlineStr">
        <is>
          <t>mau</t>
        </is>
      </c>
      <c r="T275" t="inlineStr">
        <is>
          <t xml:space="preserve">WA </t>
        </is>
      </c>
      <c r="U275" t="n">
        <v>9</v>
      </c>
      <c r="V275" t="n">
        <v>9</v>
      </c>
      <c r="W275" t="inlineStr">
        <is>
          <t>1993-10-02</t>
        </is>
      </c>
      <c r="X275" t="inlineStr">
        <is>
          <t>1993-10-02</t>
        </is>
      </c>
      <c r="Y275" t="inlineStr">
        <is>
          <t>1988-01-06</t>
        </is>
      </c>
      <c r="Z275" t="inlineStr">
        <is>
          <t>1988-01-06</t>
        </is>
      </c>
      <c r="AA275" t="n">
        <v>317</v>
      </c>
      <c r="AB275" t="n">
        <v>251</v>
      </c>
      <c r="AC275" t="n">
        <v>525</v>
      </c>
      <c r="AD275" t="n">
        <v>1</v>
      </c>
      <c r="AE275" t="n">
        <v>2</v>
      </c>
      <c r="AF275" t="n">
        <v>3</v>
      </c>
      <c r="AG275" t="n">
        <v>18</v>
      </c>
      <c r="AH275" t="n">
        <v>1</v>
      </c>
      <c r="AI275" t="n">
        <v>7</v>
      </c>
      <c r="AJ275" t="n">
        <v>1</v>
      </c>
      <c r="AK275" t="n">
        <v>5</v>
      </c>
      <c r="AL275" t="n">
        <v>0</v>
      </c>
      <c r="AM275" t="n">
        <v>5</v>
      </c>
      <c r="AN275" t="n">
        <v>0</v>
      </c>
      <c r="AO275" t="n">
        <v>1</v>
      </c>
      <c r="AP275" t="n">
        <v>1</v>
      </c>
      <c r="AQ275" t="n">
        <v>2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HYPERLINK("http://catalog.hathitrust.org/Record/000113829","HathiTrust Record")</f>
        <v/>
      </c>
      <c r="AU275">
        <f>HYPERLINK("https://creighton-primo.hosted.exlibrisgroup.com/primo-explore/search?tab=default_tab&amp;search_scope=EVERYTHING&amp;vid=01CRU&amp;lang=en_US&amp;offset=0&amp;query=any,contains,991000727009702656","Catalog Record")</f>
        <v/>
      </c>
      <c r="AV275">
        <f>HYPERLINK("http://www.worldcat.org/oclc/9270715","WorldCat Record")</f>
        <v/>
      </c>
      <c r="AW275" t="inlineStr">
        <is>
          <t>836888300:eng</t>
        </is>
      </c>
      <c r="AX275" t="inlineStr">
        <is>
          <t>9270715</t>
        </is>
      </c>
      <c r="AY275" t="inlineStr">
        <is>
          <t>991000727009702656</t>
        </is>
      </c>
      <c r="AZ275" t="inlineStr">
        <is>
          <t>991000727009702656</t>
        </is>
      </c>
      <c r="BA275" t="inlineStr">
        <is>
          <t>2264019100002656</t>
        </is>
      </c>
      <c r="BB275" t="inlineStr">
        <is>
          <t>BOOK</t>
        </is>
      </c>
      <c r="BD275" t="inlineStr">
        <is>
          <t>9780316522342</t>
        </is>
      </c>
      <c r="BE275" t="inlineStr">
        <is>
          <t>30001000707127</t>
        </is>
      </c>
      <c r="BF275" t="inlineStr">
        <is>
          <t>893545716</t>
        </is>
      </c>
    </row>
    <row r="276">
      <c r="A276" t="inlineStr">
        <is>
          <t>No</t>
        </is>
      </c>
      <c r="B276" t="inlineStr">
        <is>
          <t>CUHSL</t>
        </is>
      </c>
      <c r="C276" t="inlineStr">
        <is>
          <t>SHELVES</t>
        </is>
      </c>
      <c r="D276" t="inlineStr">
        <is>
          <t>WA 400 O15 1994</t>
        </is>
      </c>
      <c r="E276" t="inlineStr">
        <is>
          <t>0                      WA 0400000O  15          1994</t>
        </is>
      </c>
      <c r="F276" t="inlineStr">
        <is>
          <t>Occupational medicine / editor-in-chief, Carl Zenz ; editors, O. Bruce Dickerson, Edward P. Horvath, Jr.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N276" t="inlineStr">
        <is>
          <t>St. Louis : Mosby, c1994.</t>
        </is>
      </c>
      <c r="O276" t="inlineStr">
        <is>
          <t>1994</t>
        </is>
      </c>
      <c r="P276" t="inlineStr">
        <is>
          <t>3rd ed.</t>
        </is>
      </c>
      <c r="Q276" t="inlineStr">
        <is>
          <t>eng</t>
        </is>
      </c>
      <c r="R276" t="inlineStr">
        <is>
          <t>mou</t>
        </is>
      </c>
      <c r="T276" t="inlineStr">
        <is>
          <t xml:space="preserve">WA </t>
        </is>
      </c>
      <c r="U276" t="n">
        <v>18</v>
      </c>
      <c r="V276" t="n">
        <v>18</v>
      </c>
      <c r="W276" t="inlineStr">
        <is>
          <t>1999-12-03</t>
        </is>
      </c>
      <c r="X276" t="inlineStr">
        <is>
          <t>1999-12-03</t>
        </is>
      </c>
      <c r="Y276" t="inlineStr">
        <is>
          <t>1994-01-25</t>
        </is>
      </c>
      <c r="Z276" t="inlineStr">
        <is>
          <t>1994-01-25</t>
        </is>
      </c>
      <c r="AA276" t="n">
        <v>328</v>
      </c>
      <c r="AB276" t="n">
        <v>247</v>
      </c>
      <c r="AC276" t="n">
        <v>250</v>
      </c>
      <c r="AD276" t="n">
        <v>2</v>
      </c>
      <c r="AE276" t="n">
        <v>2</v>
      </c>
      <c r="AF276" t="n">
        <v>2</v>
      </c>
      <c r="AG276" t="n">
        <v>3</v>
      </c>
      <c r="AH276" t="n">
        <v>0</v>
      </c>
      <c r="AI276" t="n">
        <v>1</v>
      </c>
      <c r="AJ276" t="n">
        <v>1</v>
      </c>
      <c r="AK276" t="n">
        <v>1</v>
      </c>
      <c r="AL276" t="n">
        <v>2</v>
      </c>
      <c r="AM276" t="n">
        <v>3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U276">
        <f>HYPERLINK("https://creighton-primo.hosted.exlibrisgroup.com/primo-explore/search?tab=default_tab&amp;search_scope=EVERYTHING&amp;vid=01CRU&amp;lang=en_US&amp;offset=0&amp;query=any,contains,991000649539702656","Catalog Record")</f>
        <v/>
      </c>
      <c r="AV276">
        <f>HYPERLINK("http://www.worldcat.org/oclc/29314126","WorldCat Record")</f>
        <v/>
      </c>
      <c r="AW276" t="inlineStr">
        <is>
          <t>9322725831:eng</t>
        </is>
      </c>
      <c r="AX276" t="inlineStr">
        <is>
          <t>29314126</t>
        </is>
      </c>
      <c r="AY276" t="inlineStr">
        <is>
          <t>991000649539702656</t>
        </is>
      </c>
      <c r="AZ276" t="inlineStr">
        <is>
          <t>991000649539702656</t>
        </is>
      </c>
      <c r="BA276" t="inlineStr">
        <is>
          <t>2259944960002656</t>
        </is>
      </c>
      <c r="BB276" t="inlineStr">
        <is>
          <t>BOOK</t>
        </is>
      </c>
      <c r="BE276" t="inlineStr">
        <is>
          <t>30001002690891</t>
        </is>
      </c>
      <c r="BF276" t="inlineStr">
        <is>
          <t>893464410</t>
        </is>
      </c>
    </row>
    <row r="277">
      <c r="A277" t="inlineStr">
        <is>
          <t>No</t>
        </is>
      </c>
      <c r="B277" t="inlineStr">
        <is>
          <t>CUHSL</t>
        </is>
      </c>
      <c r="C277" t="inlineStr">
        <is>
          <t>SHELVES</t>
        </is>
      </c>
      <c r="D277" t="inlineStr">
        <is>
          <t>WA 400 O1574 1990</t>
        </is>
      </c>
      <c r="E277" t="inlineStr">
        <is>
          <t>0                      WA 0400000O  1574        1990</t>
        </is>
      </c>
      <c r="F277" t="inlineStr">
        <is>
          <t>Occupational medicine / edited by Joseph LaDou.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Norwalk, Conn. : Appleton &amp; Lange, c1990.</t>
        </is>
      </c>
      <c r="O277" t="inlineStr">
        <is>
          <t>1990</t>
        </is>
      </c>
      <c r="Q277" t="inlineStr">
        <is>
          <t>eng</t>
        </is>
      </c>
      <c r="R277" t="inlineStr">
        <is>
          <t>ctu</t>
        </is>
      </c>
      <c r="T277" t="inlineStr">
        <is>
          <t xml:space="preserve">WA </t>
        </is>
      </c>
      <c r="U277" t="n">
        <v>9</v>
      </c>
      <c r="V277" t="n">
        <v>9</v>
      </c>
      <c r="W277" t="inlineStr">
        <is>
          <t>1999-12-03</t>
        </is>
      </c>
      <c r="X277" t="inlineStr">
        <is>
          <t>1999-12-03</t>
        </is>
      </c>
      <c r="Y277" t="inlineStr">
        <is>
          <t>1993-01-18</t>
        </is>
      </c>
      <c r="Z277" t="inlineStr">
        <is>
          <t>1993-01-18</t>
        </is>
      </c>
      <c r="AA277" t="n">
        <v>179</v>
      </c>
      <c r="AB277" t="n">
        <v>128</v>
      </c>
      <c r="AC277" t="n">
        <v>224</v>
      </c>
      <c r="AD277" t="n">
        <v>1</v>
      </c>
      <c r="AE277" t="n">
        <v>2</v>
      </c>
      <c r="AF277" t="n">
        <v>5</v>
      </c>
      <c r="AG277" t="n">
        <v>6</v>
      </c>
      <c r="AH277" t="n">
        <v>0</v>
      </c>
      <c r="AI277" t="n">
        <v>0</v>
      </c>
      <c r="AJ277" t="n">
        <v>2</v>
      </c>
      <c r="AK277" t="n">
        <v>2</v>
      </c>
      <c r="AL277" t="n">
        <v>4</v>
      </c>
      <c r="AM277" t="n">
        <v>4</v>
      </c>
      <c r="AN277" t="n">
        <v>0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No</t>
        </is>
      </c>
      <c r="AU277">
        <f>HYPERLINK("https://creighton-primo.hosted.exlibrisgroup.com/primo-explore/search?tab=default_tab&amp;search_scope=EVERYTHING&amp;vid=01CRU&amp;lang=en_US&amp;offset=0&amp;query=any,contains,991001433909702656","Catalog Record")</f>
        <v/>
      </c>
      <c r="AV277">
        <f>HYPERLINK("http://www.worldcat.org/oclc/21402568","WorldCat Record")</f>
        <v/>
      </c>
      <c r="AW277" t="inlineStr">
        <is>
          <t>3901353242:eng</t>
        </is>
      </c>
      <c r="AX277" t="inlineStr">
        <is>
          <t>21402568</t>
        </is>
      </c>
      <c r="AY277" t="inlineStr">
        <is>
          <t>991001433909702656</t>
        </is>
      </c>
      <c r="AZ277" t="inlineStr">
        <is>
          <t>991001433909702656</t>
        </is>
      </c>
      <c r="BA277" t="inlineStr">
        <is>
          <t>2269304520002656</t>
        </is>
      </c>
      <c r="BB277" t="inlineStr">
        <is>
          <t>BOOK</t>
        </is>
      </c>
      <c r="BD277" t="inlineStr">
        <is>
          <t>9780838572078</t>
        </is>
      </c>
      <c r="BE277" t="inlineStr">
        <is>
          <t>30001002530410</t>
        </is>
      </c>
      <c r="BF277" t="inlineStr">
        <is>
          <t>893832177</t>
        </is>
      </c>
    </row>
    <row r="278">
      <c r="A278" t="inlineStr">
        <is>
          <t>No</t>
        </is>
      </c>
      <c r="B278" t="inlineStr">
        <is>
          <t>CUHSL</t>
        </is>
      </c>
      <c r="C278" t="inlineStr">
        <is>
          <t>SHELVES</t>
        </is>
      </c>
      <c r="D278" t="inlineStr">
        <is>
          <t>WA 400 P278r 1994</t>
        </is>
      </c>
      <c r="E278" t="inlineStr">
        <is>
          <t>0                      WA 0400000P  278r        1994</t>
        </is>
      </c>
      <c r="F278" t="inlineStr">
        <is>
          <t>Repetitive strain injury : a computer user's guide / Emil Pascarelli, Deborah Quilter ; foreword by Fred Hochberg.</t>
        </is>
      </c>
      <c r="H278" t="inlineStr">
        <is>
          <t>No</t>
        </is>
      </c>
      <c r="I278" t="inlineStr">
        <is>
          <t>1</t>
        </is>
      </c>
      <c r="J278" t="inlineStr">
        <is>
          <t>Yes</t>
        </is>
      </c>
      <c r="K278" t="inlineStr">
        <is>
          <t>No</t>
        </is>
      </c>
      <c r="L278" t="inlineStr">
        <is>
          <t>0</t>
        </is>
      </c>
      <c r="M278" t="inlineStr">
        <is>
          <t>Pascarelli, Emil F., 1930-</t>
        </is>
      </c>
      <c r="N278" t="inlineStr">
        <is>
          <t>New York : J. Wiley, c1994.</t>
        </is>
      </c>
      <c r="O278" t="inlineStr">
        <is>
          <t>1994</t>
        </is>
      </c>
      <c r="Q278" t="inlineStr">
        <is>
          <t>eng</t>
        </is>
      </c>
      <c r="R278" t="inlineStr">
        <is>
          <t>nyu</t>
        </is>
      </c>
      <c r="T278" t="inlineStr">
        <is>
          <t xml:space="preserve">WA </t>
        </is>
      </c>
      <c r="U278" t="n">
        <v>42</v>
      </c>
      <c r="V278" t="n">
        <v>44</v>
      </c>
      <c r="W278" t="inlineStr">
        <is>
          <t>2008-02-08</t>
        </is>
      </c>
      <c r="X278" t="inlineStr">
        <is>
          <t>2008-02-08</t>
        </is>
      </c>
      <c r="Y278" t="inlineStr">
        <is>
          <t>1994-03-30</t>
        </is>
      </c>
      <c r="Z278" t="inlineStr">
        <is>
          <t>1996-05-30</t>
        </is>
      </c>
      <c r="AA278" t="n">
        <v>953</v>
      </c>
      <c r="AB278" t="n">
        <v>827</v>
      </c>
      <c r="AC278" t="n">
        <v>834</v>
      </c>
      <c r="AD278" t="n">
        <v>6</v>
      </c>
      <c r="AE278" t="n">
        <v>6</v>
      </c>
      <c r="AF278" t="n">
        <v>16</v>
      </c>
      <c r="AG278" t="n">
        <v>16</v>
      </c>
      <c r="AH278" t="n">
        <v>4</v>
      </c>
      <c r="AI278" t="n">
        <v>4</v>
      </c>
      <c r="AJ278" t="n">
        <v>2</v>
      </c>
      <c r="AK278" t="n">
        <v>2</v>
      </c>
      <c r="AL278" t="n">
        <v>9</v>
      </c>
      <c r="AM278" t="n">
        <v>9</v>
      </c>
      <c r="AN278" t="n">
        <v>2</v>
      </c>
      <c r="AO278" t="n">
        <v>2</v>
      </c>
      <c r="AP278" t="n">
        <v>3</v>
      </c>
      <c r="AQ278" t="n">
        <v>3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HYPERLINK("http://catalog.hathitrust.org/Record/003099223","HathiTrust Record")</f>
        <v/>
      </c>
      <c r="AU278">
        <f>HYPERLINK("https://creighton-primo.hosted.exlibrisgroup.com/primo-explore/search?tab=default_tab&amp;search_scope=EVERYTHING&amp;vid=01CRU&amp;lang=en_US&amp;offset=0&amp;query=any,contains,991001659909702656","Catalog Record")</f>
        <v/>
      </c>
      <c r="AV278">
        <f>HYPERLINK("http://www.worldcat.org/oclc/28708764","WorldCat Record")</f>
        <v/>
      </c>
      <c r="AW278" t="inlineStr">
        <is>
          <t>30942750:eng</t>
        </is>
      </c>
      <c r="AX278" t="inlineStr">
        <is>
          <t>28708764</t>
        </is>
      </c>
      <c r="AY278" t="inlineStr">
        <is>
          <t>991001659909702656</t>
        </is>
      </c>
      <c r="AZ278" t="inlineStr">
        <is>
          <t>991001659909702656</t>
        </is>
      </c>
      <c r="BA278" t="inlineStr">
        <is>
          <t>2256834420002656</t>
        </is>
      </c>
      <c r="BB278" t="inlineStr">
        <is>
          <t>BOOK</t>
        </is>
      </c>
      <c r="BD278" t="inlineStr">
        <is>
          <t>9780471595328</t>
        </is>
      </c>
      <c r="BE278" t="inlineStr">
        <is>
          <t>30001002974238</t>
        </is>
      </c>
      <c r="BF278" t="inlineStr">
        <is>
          <t>893284928</t>
        </is>
      </c>
    </row>
    <row r="279">
      <c r="A279" t="inlineStr">
        <is>
          <t>No</t>
        </is>
      </c>
      <c r="B279" t="inlineStr">
        <is>
          <t>CUHSL</t>
        </is>
      </c>
      <c r="C279" t="inlineStr">
        <is>
          <t>SHELVES</t>
        </is>
      </c>
      <c r="D279" t="inlineStr">
        <is>
          <t>WA 400 P322i 1981 v.2A</t>
        </is>
      </c>
      <c r="E279" t="inlineStr">
        <is>
          <t>0                      WA 0400000P  322i        1981                                        v.2A</t>
        </is>
      </c>
      <c r="F279" t="inlineStr">
        <is>
          <t>Patty's Industrial hygiene and toxicology / George D. Clayton, Florence E. Clayton, editors ; contributors, M. C. Battigelli ... [et al.].</t>
        </is>
      </c>
      <c r="G279" t="inlineStr">
        <is>
          <t>V.2A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New York : Wiley, c1981.</t>
        </is>
      </c>
      <c r="O279" t="inlineStr">
        <is>
          <t>1981</t>
        </is>
      </c>
      <c r="P279" t="inlineStr">
        <is>
          <t>3d rev. ed.</t>
        </is>
      </c>
      <c r="Q279" t="inlineStr">
        <is>
          <t>eng</t>
        </is>
      </c>
      <c r="R279" t="inlineStr">
        <is>
          <t>nyu</t>
        </is>
      </c>
      <c r="T279" t="inlineStr">
        <is>
          <t xml:space="preserve">WA </t>
        </is>
      </c>
      <c r="U279" t="n">
        <v>2</v>
      </c>
      <c r="V279" t="n">
        <v>2</v>
      </c>
      <c r="W279" t="inlineStr">
        <is>
          <t>1997-04-24</t>
        </is>
      </c>
      <c r="X279" t="inlineStr">
        <is>
          <t>1997-04-24</t>
        </is>
      </c>
      <c r="Y279" t="inlineStr">
        <is>
          <t>1988-03-23</t>
        </is>
      </c>
      <c r="Z279" t="inlineStr">
        <is>
          <t>1988-03-23</t>
        </is>
      </c>
      <c r="AA279" t="n">
        <v>507</v>
      </c>
      <c r="AB279" t="n">
        <v>453</v>
      </c>
      <c r="AC279" t="n">
        <v>667</v>
      </c>
      <c r="AD279" t="n">
        <v>3</v>
      </c>
      <c r="AE279" t="n">
        <v>3</v>
      </c>
      <c r="AF279" t="n">
        <v>5</v>
      </c>
      <c r="AG279" t="n">
        <v>8</v>
      </c>
      <c r="AH279" t="n">
        <v>1</v>
      </c>
      <c r="AI279" t="n">
        <v>1</v>
      </c>
      <c r="AJ279" t="n">
        <v>0</v>
      </c>
      <c r="AK279" t="n">
        <v>2</v>
      </c>
      <c r="AL279" t="n">
        <v>3</v>
      </c>
      <c r="AM279" t="n">
        <v>5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HYPERLINK("http://catalog.hathitrust.org/Record/009149420","HathiTrust Record")</f>
        <v/>
      </c>
      <c r="AU279">
        <f>HYPERLINK("https://creighton-primo.hosted.exlibrisgroup.com/primo-explore/search?tab=default_tab&amp;search_scope=EVERYTHING&amp;vid=01CRU&amp;lang=en_US&amp;offset=0&amp;query=any,contains,991000727219702656","Catalog Record")</f>
        <v/>
      </c>
      <c r="AV279">
        <f>HYPERLINK("http://www.worldcat.org/oclc/3433278","WorldCat Record")</f>
        <v/>
      </c>
      <c r="AW279" t="inlineStr">
        <is>
          <t>4494928901:eng</t>
        </is>
      </c>
      <c r="AX279" t="inlineStr">
        <is>
          <t>3433278</t>
        </is>
      </c>
      <c r="AY279" t="inlineStr">
        <is>
          <t>991000727219702656</t>
        </is>
      </c>
      <c r="AZ279" t="inlineStr">
        <is>
          <t>991000727219702656</t>
        </is>
      </c>
      <c r="BA279" t="inlineStr">
        <is>
          <t>2267725780002656</t>
        </is>
      </c>
      <c r="BB279" t="inlineStr">
        <is>
          <t>BOOK</t>
        </is>
      </c>
      <c r="BD279" t="inlineStr">
        <is>
          <t>9780471160465</t>
        </is>
      </c>
      <c r="BE279" t="inlineStr">
        <is>
          <t>30001000707184</t>
        </is>
      </c>
      <c r="BF279" t="inlineStr">
        <is>
          <t>893545717</t>
        </is>
      </c>
    </row>
    <row r="280">
      <c r="A280" t="inlineStr">
        <is>
          <t>No</t>
        </is>
      </c>
      <c r="B280" t="inlineStr">
        <is>
          <t>CUHSL</t>
        </is>
      </c>
      <c r="C280" t="inlineStr">
        <is>
          <t>SHELVES</t>
        </is>
      </c>
      <c r="D280" t="inlineStr">
        <is>
          <t>WA400 P467 2003</t>
        </is>
      </c>
      <c r="E280" t="inlineStr">
        <is>
          <t>0                      WA 0400000P  467         2003</t>
        </is>
      </c>
      <c r="F280" t="inlineStr">
        <is>
          <t>Perspectives in human occupation : participation in life / editors, Paula Kramer, Jim Hinojosa, Charlotte Brasic Royeen.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Baltimore : Lippincott Williams &amp; Wilkins, c2003.</t>
        </is>
      </c>
      <c r="O280" t="inlineStr">
        <is>
          <t>2003</t>
        </is>
      </c>
      <c r="Q280" t="inlineStr">
        <is>
          <t>eng</t>
        </is>
      </c>
      <c r="R280" t="inlineStr">
        <is>
          <t>mdu</t>
        </is>
      </c>
      <c r="T280" t="inlineStr">
        <is>
          <t xml:space="preserve">WA </t>
        </is>
      </c>
      <c r="U280" t="n">
        <v>4</v>
      </c>
      <c r="V280" t="n">
        <v>4</v>
      </c>
      <c r="W280" t="inlineStr">
        <is>
          <t>2004-11-19</t>
        </is>
      </c>
      <c r="X280" t="inlineStr">
        <is>
          <t>2004-11-19</t>
        </is>
      </c>
      <c r="Y280" t="inlineStr">
        <is>
          <t>2003-04-24</t>
        </is>
      </c>
      <c r="Z280" t="inlineStr">
        <is>
          <t>2003-04-24</t>
        </is>
      </c>
      <c r="AA280" t="n">
        <v>209</v>
      </c>
      <c r="AB280" t="n">
        <v>130</v>
      </c>
      <c r="AC280" t="n">
        <v>136</v>
      </c>
      <c r="AD280" t="n">
        <v>2</v>
      </c>
      <c r="AE280" t="n">
        <v>2</v>
      </c>
      <c r="AF280" t="n">
        <v>8</v>
      </c>
      <c r="AG280" t="n">
        <v>8</v>
      </c>
      <c r="AH280" t="n">
        <v>3</v>
      </c>
      <c r="AI280" t="n">
        <v>3</v>
      </c>
      <c r="AJ280" t="n">
        <v>2</v>
      </c>
      <c r="AK280" t="n">
        <v>2</v>
      </c>
      <c r="AL280" t="n">
        <v>6</v>
      </c>
      <c r="AM280" t="n">
        <v>6</v>
      </c>
      <c r="AN280" t="n">
        <v>1</v>
      </c>
      <c r="AO280" t="n">
        <v>1</v>
      </c>
      <c r="AP280" t="n">
        <v>0</v>
      </c>
      <c r="AQ280" t="n">
        <v>0</v>
      </c>
      <c r="AR280" t="inlineStr">
        <is>
          <t>No</t>
        </is>
      </c>
      <c r="AS280" t="inlineStr">
        <is>
          <t>No</t>
        </is>
      </c>
      <c r="AU280">
        <f>HYPERLINK("https://creighton-primo.hosted.exlibrisgroup.com/primo-explore/search?tab=default_tab&amp;search_scope=EVERYTHING&amp;vid=01CRU&amp;lang=en_US&amp;offset=0&amp;query=any,contains,991000345619702656","Catalog Record")</f>
        <v/>
      </c>
      <c r="AV280">
        <f>HYPERLINK("http://www.worldcat.org/oclc/50803134","WorldCat Record")</f>
        <v/>
      </c>
      <c r="AW280" t="inlineStr">
        <is>
          <t>839089983:eng</t>
        </is>
      </c>
      <c r="AX280" t="inlineStr">
        <is>
          <t>50803134</t>
        </is>
      </c>
      <c r="AY280" t="inlineStr">
        <is>
          <t>991000345619702656</t>
        </is>
      </c>
      <c r="AZ280" t="inlineStr">
        <is>
          <t>991000345619702656</t>
        </is>
      </c>
      <c r="BA280" t="inlineStr">
        <is>
          <t>2270824890002656</t>
        </is>
      </c>
      <c r="BB280" t="inlineStr">
        <is>
          <t>BOOK</t>
        </is>
      </c>
      <c r="BD280" t="inlineStr">
        <is>
          <t>9780781731614</t>
        </is>
      </c>
      <c r="BE280" t="inlineStr">
        <is>
          <t>30001004504223</t>
        </is>
      </c>
      <c r="BF280" t="inlineStr">
        <is>
          <t>893822081</t>
        </is>
      </c>
    </row>
    <row r="281">
      <c r="A281" t="inlineStr">
        <is>
          <t>No</t>
        </is>
      </c>
      <c r="B281" t="inlineStr">
        <is>
          <t>CUHSL</t>
        </is>
      </c>
      <c r="C281" t="inlineStr">
        <is>
          <t>SHELVES</t>
        </is>
      </c>
      <c r="D281" t="inlineStr">
        <is>
          <t>WA400 P8948 2004</t>
        </is>
      </c>
      <c r="E281" t="inlineStr">
        <is>
          <t>0                      WA 0400000P  8948        2004</t>
        </is>
      </c>
      <c r="F281" t="inlineStr">
        <is>
          <t>Practical ethics in occupational health / edited by Peter Westerholm, Tore Nilstun, John Øvretveit ; [foreword by Ewan B. Macdonald].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Oxford ; San Francisco : Radclife Medical Press, c2004.</t>
        </is>
      </c>
      <c r="O281" t="inlineStr">
        <is>
          <t>2004</t>
        </is>
      </c>
      <c r="Q281" t="inlineStr">
        <is>
          <t>eng</t>
        </is>
      </c>
      <c r="R281" t="inlineStr">
        <is>
          <t>enk</t>
        </is>
      </c>
      <c r="T281" t="inlineStr">
        <is>
          <t xml:space="preserve">WA </t>
        </is>
      </c>
      <c r="U281" t="n">
        <v>0</v>
      </c>
      <c r="V281" t="n">
        <v>0</v>
      </c>
      <c r="W281" t="inlineStr">
        <is>
          <t>2004-10-31</t>
        </is>
      </c>
      <c r="X281" t="inlineStr">
        <is>
          <t>2004-10-31</t>
        </is>
      </c>
      <c r="Y281" t="inlineStr">
        <is>
          <t>2004-10-29</t>
        </is>
      </c>
      <c r="Z281" t="inlineStr">
        <is>
          <t>2004-10-29</t>
        </is>
      </c>
      <c r="AA281" t="n">
        <v>91</v>
      </c>
      <c r="AB281" t="n">
        <v>51</v>
      </c>
      <c r="AC281" t="n">
        <v>74</v>
      </c>
      <c r="AD281" t="n">
        <v>1</v>
      </c>
      <c r="AE281" t="n">
        <v>1</v>
      </c>
      <c r="AF281" t="n">
        <v>2</v>
      </c>
      <c r="AG281" t="n">
        <v>2</v>
      </c>
      <c r="AH281" t="n">
        <v>1</v>
      </c>
      <c r="AI281" t="n">
        <v>1</v>
      </c>
      <c r="AJ281" t="n">
        <v>1</v>
      </c>
      <c r="AK281" t="n">
        <v>1</v>
      </c>
      <c r="AL281" t="n">
        <v>2</v>
      </c>
      <c r="AM281" t="n">
        <v>2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HYPERLINK("https://creighton-primo.hosted.exlibrisgroup.com/primo-explore/search?tab=default_tab&amp;search_scope=EVERYTHING&amp;vid=01CRU&amp;lang=en_US&amp;offset=0&amp;query=any,contains,991000405509702656","Catalog Record")</f>
        <v/>
      </c>
      <c r="AV281">
        <f>HYPERLINK("http://www.worldcat.org/oclc/55989013","WorldCat Record")</f>
        <v/>
      </c>
      <c r="AW281" t="inlineStr">
        <is>
          <t>364538595:eng</t>
        </is>
      </c>
      <c r="AX281" t="inlineStr">
        <is>
          <t>55989013</t>
        </is>
      </c>
      <c r="AY281" t="inlineStr">
        <is>
          <t>991000405509702656</t>
        </is>
      </c>
      <c r="AZ281" t="inlineStr">
        <is>
          <t>991000405509702656</t>
        </is>
      </c>
      <c r="BA281" t="inlineStr">
        <is>
          <t>2268273700002656</t>
        </is>
      </c>
      <c r="BB281" t="inlineStr">
        <is>
          <t>BOOK</t>
        </is>
      </c>
      <c r="BD281" t="inlineStr">
        <is>
          <t>9781857756173</t>
        </is>
      </c>
      <c r="BE281" t="inlineStr">
        <is>
          <t>30001004924298</t>
        </is>
      </c>
      <c r="BF281" t="inlineStr">
        <is>
          <t>893827454</t>
        </is>
      </c>
    </row>
    <row r="282">
      <c r="A282" t="inlineStr">
        <is>
          <t>No</t>
        </is>
      </c>
      <c r="B282" t="inlineStr">
        <is>
          <t>CUHSL</t>
        </is>
      </c>
      <c r="C282" t="inlineStr">
        <is>
          <t>SHELVES</t>
        </is>
      </c>
      <c r="D282" t="inlineStr">
        <is>
          <t>WA 400 P957 1989</t>
        </is>
      </c>
      <c r="E282" t="inlineStr">
        <is>
          <t>0                      WA 0400000P  957         1989</t>
        </is>
      </c>
      <c r="F282" t="inlineStr">
        <is>
          <t>Principles of health and safety in agriculture / editors, James A. Dosman and Donald W. Cockcroft.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N282" t="inlineStr">
        <is>
          <t>Boca Raton, Fla. : CRC Press, c1989.</t>
        </is>
      </c>
      <c r="O282" t="inlineStr">
        <is>
          <t>1989</t>
        </is>
      </c>
      <c r="Q282" t="inlineStr">
        <is>
          <t>eng</t>
        </is>
      </c>
      <c r="R282" t="inlineStr">
        <is>
          <t>flu</t>
        </is>
      </c>
      <c r="T282" t="inlineStr">
        <is>
          <t xml:space="preserve">WA </t>
        </is>
      </c>
      <c r="U282" t="n">
        <v>3</v>
      </c>
      <c r="V282" t="n">
        <v>3</v>
      </c>
      <c r="W282" t="inlineStr">
        <is>
          <t>1998-06-04</t>
        </is>
      </c>
      <c r="X282" t="inlineStr">
        <is>
          <t>1998-06-04</t>
        </is>
      </c>
      <c r="Y282" t="inlineStr">
        <is>
          <t>1992-04-02</t>
        </is>
      </c>
      <c r="Z282" t="inlineStr">
        <is>
          <t>1992-04-02</t>
        </is>
      </c>
      <c r="AA282" t="n">
        <v>160</v>
      </c>
      <c r="AB282" t="n">
        <v>107</v>
      </c>
      <c r="AC282" t="n">
        <v>107</v>
      </c>
      <c r="AD282" t="n">
        <v>1</v>
      </c>
      <c r="AE282" t="n">
        <v>1</v>
      </c>
      <c r="AF282" t="n">
        <v>1</v>
      </c>
      <c r="AG282" t="n">
        <v>1</v>
      </c>
      <c r="AH282" t="n">
        <v>0</v>
      </c>
      <c r="AI282" t="n">
        <v>0</v>
      </c>
      <c r="AJ282" t="n">
        <v>1</v>
      </c>
      <c r="AK282" t="n">
        <v>1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inlineStr">
        <is>
          <t>No</t>
        </is>
      </c>
      <c r="AS282" t="inlineStr">
        <is>
          <t>No</t>
        </is>
      </c>
      <c r="AU282">
        <f>HYPERLINK("https://creighton-primo.hosted.exlibrisgroup.com/primo-explore/search?tab=default_tab&amp;search_scope=EVERYTHING&amp;vid=01CRU&amp;lang=en_US&amp;offset=0&amp;query=any,contains,991001299089702656","Catalog Record")</f>
        <v/>
      </c>
      <c r="AV282">
        <f>HYPERLINK("http://www.worldcat.org/oclc/19777258","WorldCat Record")</f>
        <v/>
      </c>
      <c r="AW282" t="inlineStr">
        <is>
          <t>355350489:eng</t>
        </is>
      </c>
      <c r="AX282" t="inlineStr">
        <is>
          <t>19777258</t>
        </is>
      </c>
      <c r="AY282" t="inlineStr">
        <is>
          <t>991001299089702656</t>
        </is>
      </c>
      <c r="AZ282" t="inlineStr">
        <is>
          <t>991001299089702656</t>
        </is>
      </c>
      <c r="BA282" t="inlineStr">
        <is>
          <t>2266249930002656</t>
        </is>
      </c>
      <c r="BB282" t="inlineStr">
        <is>
          <t>BOOK</t>
        </is>
      </c>
      <c r="BD282" t="inlineStr">
        <is>
          <t>9780849301605</t>
        </is>
      </c>
      <c r="BE282" t="inlineStr">
        <is>
          <t>30001002411173</t>
        </is>
      </c>
      <c r="BF282" t="inlineStr">
        <is>
          <t>893451061</t>
        </is>
      </c>
    </row>
    <row r="283">
      <c r="A283" t="inlineStr">
        <is>
          <t>No</t>
        </is>
      </c>
      <c r="B283" t="inlineStr">
        <is>
          <t>CUHSL</t>
        </is>
      </c>
      <c r="C283" t="inlineStr">
        <is>
          <t>SHELVES</t>
        </is>
      </c>
      <c r="D283" t="inlineStr">
        <is>
          <t>WA 400 P974 1988</t>
        </is>
      </c>
      <c r="E283" t="inlineStr">
        <is>
          <t>0                      WA 0400000P  974         1988</t>
        </is>
      </c>
      <c r="F283" t="inlineStr">
        <is>
          <t>Psychiatric injury in the workplace / guest editors, Robert C. Larsen, Jean S. Felton.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N283" t="inlineStr">
        <is>
          <t>Philadelphia : Hanley &amp; Belfus, c1988.</t>
        </is>
      </c>
      <c r="O283" t="inlineStr">
        <is>
          <t>1988</t>
        </is>
      </c>
      <c r="Q283" t="inlineStr">
        <is>
          <t>eng</t>
        </is>
      </c>
      <c r="R283" t="inlineStr">
        <is>
          <t>pau</t>
        </is>
      </c>
      <c r="S283" t="inlineStr">
        <is>
          <t>Occupational medicine, 0885-114X ; v. 3, no. 4 (Oct.-Dec. 1988)</t>
        </is>
      </c>
      <c r="T283" t="inlineStr">
        <is>
          <t xml:space="preserve">WA </t>
        </is>
      </c>
      <c r="U283" t="n">
        <v>5</v>
      </c>
      <c r="V283" t="n">
        <v>5</v>
      </c>
      <c r="W283" t="inlineStr">
        <is>
          <t>1993-01-30</t>
        </is>
      </c>
      <c r="X283" t="inlineStr">
        <is>
          <t>1993-01-30</t>
        </is>
      </c>
      <c r="Y283" t="inlineStr">
        <is>
          <t>1989-02-17</t>
        </is>
      </c>
      <c r="Z283" t="inlineStr">
        <is>
          <t>1989-02-17</t>
        </is>
      </c>
      <c r="AA283" t="n">
        <v>51</v>
      </c>
      <c r="AB283" t="n">
        <v>39</v>
      </c>
      <c r="AC283" t="n">
        <v>39</v>
      </c>
      <c r="AD283" t="n">
        <v>1</v>
      </c>
      <c r="AE283" t="n">
        <v>1</v>
      </c>
      <c r="AF283" t="n">
        <v>1</v>
      </c>
      <c r="AG283" t="n">
        <v>1</v>
      </c>
      <c r="AH283" t="n">
        <v>0</v>
      </c>
      <c r="AI283" t="n">
        <v>0</v>
      </c>
      <c r="AJ283" t="n">
        <v>1</v>
      </c>
      <c r="AK283" t="n">
        <v>1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HYPERLINK("https://creighton-primo.hosted.exlibrisgroup.com/primo-explore/search?tab=default_tab&amp;search_scope=EVERYTHING&amp;vid=01CRU&amp;lang=en_US&amp;offset=0&amp;query=any,contains,991001123869702656","Catalog Record")</f>
        <v/>
      </c>
      <c r="AV283">
        <f>HYPERLINK("http://www.worldcat.org/oclc/18667891","WorldCat Record")</f>
        <v/>
      </c>
      <c r="AW283" t="inlineStr">
        <is>
          <t>475767688:eng</t>
        </is>
      </c>
      <c r="AX283" t="inlineStr">
        <is>
          <t>18667891</t>
        </is>
      </c>
      <c r="AY283" t="inlineStr">
        <is>
          <t>991001123869702656</t>
        </is>
      </c>
      <c r="AZ283" t="inlineStr">
        <is>
          <t>991001123869702656</t>
        </is>
      </c>
      <c r="BA283" t="inlineStr">
        <is>
          <t>2260555440002656</t>
        </is>
      </c>
      <c r="BB283" t="inlineStr">
        <is>
          <t>BOOK</t>
        </is>
      </c>
      <c r="BD283" t="inlineStr">
        <is>
          <t>9780932883667</t>
        </is>
      </c>
      <c r="BE283" t="inlineStr">
        <is>
          <t>30001001614975</t>
        </is>
      </c>
      <c r="BF283" t="inlineStr">
        <is>
          <t>893278740</t>
        </is>
      </c>
    </row>
    <row r="284">
      <c r="A284" t="inlineStr">
        <is>
          <t>No</t>
        </is>
      </c>
      <c r="B284" t="inlineStr">
        <is>
          <t>CUHSL</t>
        </is>
      </c>
      <c r="C284" t="inlineStr">
        <is>
          <t>SHELVES</t>
        </is>
      </c>
      <c r="D284" t="inlineStr">
        <is>
          <t>WA 400 R425 1985a</t>
        </is>
      </c>
      <c r="E284" t="inlineStr">
        <is>
          <t>0                      WA 0400000R  425         1985a</t>
        </is>
      </c>
      <c r="F284" t="inlineStr">
        <is>
          <t>Reproductive health hazards in the workplace / Office of Technology Assessment task force ; Louise A. Williams ... [et al.]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Philadelphia, Pa. : Science Information Resource Center, c1988.</t>
        </is>
      </c>
      <c r="O284" t="inlineStr">
        <is>
          <t>1988</t>
        </is>
      </c>
      <c r="P284" t="inlineStr">
        <is>
          <t>Authorized hardbound ed.</t>
        </is>
      </c>
      <c r="Q284" t="inlineStr">
        <is>
          <t>eng</t>
        </is>
      </c>
      <c r="R284" t="inlineStr">
        <is>
          <t>xxu</t>
        </is>
      </c>
      <c r="T284" t="inlineStr">
        <is>
          <t xml:space="preserve">WA </t>
        </is>
      </c>
      <c r="U284" t="n">
        <v>4</v>
      </c>
      <c r="V284" t="n">
        <v>4</v>
      </c>
      <c r="W284" t="inlineStr">
        <is>
          <t>2010-11-28</t>
        </is>
      </c>
      <c r="X284" t="inlineStr">
        <is>
          <t>2010-11-28</t>
        </is>
      </c>
      <c r="Y284" t="inlineStr">
        <is>
          <t>1988-05-07</t>
        </is>
      </c>
      <c r="Z284" t="inlineStr">
        <is>
          <t>1988-05-07</t>
        </is>
      </c>
      <c r="AA284" t="n">
        <v>92</v>
      </c>
      <c r="AB284" t="n">
        <v>77</v>
      </c>
      <c r="AC284" t="n">
        <v>81</v>
      </c>
      <c r="AD284" t="n">
        <v>1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HYPERLINK("http://catalog.hathitrust.org/Record/009254944","HathiTrust Record")</f>
        <v/>
      </c>
      <c r="AU284">
        <f>HYPERLINK("https://creighton-primo.hosted.exlibrisgroup.com/primo-explore/search?tab=default_tab&amp;search_scope=EVERYTHING&amp;vid=01CRU&amp;lang=en_US&amp;offset=0&amp;query=any,contains,991001188709702656","Catalog Record")</f>
        <v/>
      </c>
      <c r="AV284">
        <f>HYPERLINK("http://www.worldcat.org/oclc/16755863","WorldCat Record")</f>
        <v/>
      </c>
      <c r="AW284" t="inlineStr">
        <is>
          <t>356159934:eng</t>
        </is>
      </c>
      <c r="AX284" t="inlineStr">
        <is>
          <t>16755863</t>
        </is>
      </c>
      <c r="AY284" t="inlineStr">
        <is>
          <t>991001188709702656</t>
        </is>
      </c>
      <c r="AZ284" t="inlineStr">
        <is>
          <t>991001188709702656</t>
        </is>
      </c>
      <c r="BA284" t="inlineStr">
        <is>
          <t>2262230390002656</t>
        </is>
      </c>
      <c r="BB284" t="inlineStr">
        <is>
          <t>BOOK</t>
        </is>
      </c>
      <c r="BD284" t="inlineStr">
        <is>
          <t>9780397530038</t>
        </is>
      </c>
      <c r="BE284" t="inlineStr">
        <is>
          <t>30001000978793</t>
        </is>
      </c>
      <c r="BF284" t="inlineStr">
        <is>
          <t>893287290</t>
        </is>
      </c>
    </row>
    <row r="285">
      <c r="A285" t="inlineStr">
        <is>
          <t>No</t>
        </is>
      </c>
      <c r="B285" t="inlineStr">
        <is>
          <t>CUHSL</t>
        </is>
      </c>
      <c r="C285" t="inlineStr">
        <is>
          <t>SHELVES</t>
        </is>
      </c>
      <c r="D285" t="inlineStr">
        <is>
          <t>WA 400 W182t 1993</t>
        </is>
      </c>
      <c r="E285" t="inlineStr">
        <is>
          <t>0                      WA 0400000W  182t        1993</t>
        </is>
      </c>
      <c r="F285" t="inlineStr">
        <is>
          <t>Teaching about job hazards : a guide for workers and their health providers / written by Nina Wallerstein and Harriet L. Rubenstein ; contributors, Robin Baker ... [et al.]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Wallerstein, Nina, 1953-</t>
        </is>
      </c>
      <c r="N285" t="inlineStr">
        <is>
          <t>Washington, D.C. : American Public Health Association, c1993.</t>
        </is>
      </c>
      <c r="O285" t="inlineStr">
        <is>
          <t>1993</t>
        </is>
      </c>
      <c r="Q285" t="inlineStr">
        <is>
          <t>eng</t>
        </is>
      </c>
      <c r="R285" t="inlineStr">
        <is>
          <t>dcu</t>
        </is>
      </c>
      <c r="T285" t="inlineStr">
        <is>
          <t xml:space="preserve">WA </t>
        </is>
      </c>
      <c r="U285" t="n">
        <v>9</v>
      </c>
      <c r="V285" t="n">
        <v>9</v>
      </c>
      <c r="W285" t="inlineStr">
        <is>
          <t>2002-03-21</t>
        </is>
      </c>
      <c r="X285" t="inlineStr">
        <is>
          <t>2002-03-21</t>
        </is>
      </c>
      <c r="Y285" t="inlineStr">
        <is>
          <t>1993-09-22</t>
        </is>
      </c>
      <c r="Z285" t="inlineStr">
        <is>
          <t>1993-09-22</t>
        </is>
      </c>
      <c r="AA285" t="n">
        <v>118</v>
      </c>
      <c r="AB285" t="n">
        <v>98</v>
      </c>
      <c r="AC285" t="n">
        <v>105</v>
      </c>
      <c r="AD285" t="n">
        <v>1</v>
      </c>
      <c r="AE285" t="n">
        <v>1</v>
      </c>
      <c r="AF285" t="n">
        <v>3</v>
      </c>
      <c r="AG285" t="n">
        <v>3</v>
      </c>
      <c r="AH285" t="n">
        <v>0</v>
      </c>
      <c r="AI285" t="n">
        <v>0</v>
      </c>
      <c r="AJ285" t="n">
        <v>1</v>
      </c>
      <c r="AK285" t="n">
        <v>1</v>
      </c>
      <c r="AL285" t="n">
        <v>3</v>
      </c>
      <c r="AM285" t="n">
        <v>3</v>
      </c>
      <c r="AN285" t="n">
        <v>0</v>
      </c>
      <c r="AO285" t="n">
        <v>0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HYPERLINK("http://catalog.hathitrust.org/Record/004524276","HathiTrust Record")</f>
        <v/>
      </c>
      <c r="AU285">
        <f>HYPERLINK("https://creighton-primo.hosted.exlibrisgroup.com/primo-explore/search?tab=default_tab&amp;search_scope=EVERYTHING&amp;vid=01CRU&amp;lang=en_US&amp;offset=0&amp;query=any,contains,991001486479702656","Catalog Record")</f>
        <v/>
      </c>
      <c r="AV285">
        <f>HYPERLINK("http://www.worldcat.org/oclc/28003313","WorldCat Record")</f>
        <v/>
      </c>
      <c r="AW285" t="inlineStr">
        <is>
          <t>1018465096:eng</t>
        </is>
      </c>
      <c r="AX285" t="inlineStr">
        <is>
          <t>28003313</t>
        </is>
      </c>
      <c r="AY285" t="inlineStr">
        <is>
          <t>991001486479702656</t>
        </is>
      </c>
      <c r="AZ285" t="inlineStr">
        <is>
          <t>991001486479702656</t>
        </is>
      </c>
      <c r="BA285" t="inlineStr">
        <is>
          <t>2256603790002656</t>
        </is>
      </c>
      <c r="BB285" t="inlineStr">
        <is>
          <t>BOOK</t>
        </is>
      </c>
      <c r="BD285" t="inlineStr">
        <is>
          <t>9780875532097</t>
        </is>
      </c>
      <c r="BE285" t="inlineStr">
        <is>
          <t>30001002579185</t>
        </is>
      </c>
      <c r="BF285" t="inlineStr">
        <is>
          <t>893374622</t>
        </is>
      </c>
    </row>
    <row r="286">
      <c r="A286" t="inlineStr">
        <is>
          <t>No</t>
        </is>
      </c>
      <c r="B286" t="inlineStr">
        <is>
          <t>CUHSL</t>
        </is>
      </c>
      <c r="C286" t="inlineStr">
        <is>
          <t>SHELVES</t>
        </is>
      </c>
      <c r="D286" t="inlineStr">
        <is>
          <t>WA400 W725a 2004</t>
        </is>
      </c>
      <c r="E286" t="inlineStr">
        <is>
          <t>0                      WA 0400000W  725a        2004</t>
        </is>
      </c>
      <c r="F286" t="inlineStr">
        <is>
          <t>Atlas of occupational health and disease / Nerys R. Williams, John Harrison.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Williams, Nerys R.</t>
        </is>
      </c>
      <c r="N286" t="inlineStr">
        <is>
          <t>London : Arnold ; New York, NY : Distributed in the US by Oxford University Press, 2004.</t>
        </is>
      </c>
      <c r="O286" t="inlineStr">
        <is>
          <t>2004</t>
        </is>
      </c>
      <c r="Q286" t="inlineStr">
        <is>
          <t>eng</t>
        </is>
      </c>
      <c r="R286" t="inlineStr">
        <is>
          <t>enk</t>
        </is>
      </c>
      <c r="T286" t="inlineStr">
        <is>
          <t xml:space="preserve">WA </t>
        </is>
      </c>
      <c r="U286" t="n">
        <v>0</v>
      </c>
      <c r="V286" t="n">
        <v>0</v>
      </c>
      <c r="W286" t="inlineStr">
        <is>
          <t>2005-12-08</t>
        </is>
      </c>
      <c r="X286" t="inlineStr">
        <is>
          <t>2005-12-08</t>
        </is>
      </c>
      <c r="Y286" t="inlineStr">
        <is>
          <t>2005-12-07</t>
        </is>
      </c>
      <c r="Z286" t="inlineStr">
        <is>
          <t>2005-12-07</t>
        </is>
      </c>
      <c r="AA286" t="n">
        <v>164</v>
      </c>
      <c r="AB286" t="n">
        <v>98</v>
      </c>
      <c r="AC286" t="n">
        <v>98</v>
      </c>
      <c r="AD286" t="n">
        <v>1</v>
      </c>
      <c r="AE286" t="n">
        <v>1</v>
      </c>
      <c r="AF286" t="n">
        <v>1</v>
      </c>
      <c r="AG286" t="n">
        <v>1</v>
      </c>
      <c r="AH286" t="n">
        <v>0</v>
      </c>
      <c r="AI286" t="n">
        <v>0</v>
      </c>
      <c r="AJ286" t="n">
        <v>1</v>
      </c>
      <c r="AK286" t="n">
        <v>1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HYPERLINK("https://creighton-primo.hosted.exlibrisgroup.com/primo-explore/search?tab=default_tab&amp;search_scope=EVERYTHING&amp;vid=01CRU&amp;lang=en_US&amp;offset=0&amp;query=any,contains,991000453149702656","Catalog Record")</f>
        <v/>
      </c>
      <c r="AV286">
        <f>HYPERLINK("http://www.worldcat.org/oclc/55892746","WorldCat Record")</f>
        <v/>
      </c>
      <c r="AW286" t="inlineStr">
        <is>
          <t>682506:eng</t>
        </is>
      </c>
      <c r="AX286" t="inlineStr">
        <is>
          <t>55892746</t>
        </is>
      </c>
      <c r="AY286" t="inlineStr">
        <is>
          <t>991000453149702656</t>
        </is>
      </c>
      <c r="AZ286" t="inlineStr">
        <is>
          <t>991000453149702656</t>
        </is>
      </c>
      <c r="BA286" t="inlineStr">
        <is>
          <t>2261194010002656</t>
        </is>
      </c>
      <c r="BB286" t="inlineStr">
        <is>
          <t>BOOK</t>
        </is>
      </c>
      <c r="BD286" t="inlineStr">
        <is>
          <t>9780340740699</t>
        </is>
      </c>
      <c r="BE286" t="inlineStr">
        <is>
          <t>30001004910941</t>
        </is>
      </c>
      <c r="BF286" t="inlineStr">
        <is>
          <t>893633910</t>
        </is>
      </c>
    </row>
    <row r="287">
      <c r="A287" t="inlineStr">
        <is>
          <t>No</t>
        </is>
      </c>
      <c r="B287" t="inlineStr">
        <is>
          <t>CUHSL</t>
        </is>
      </c>
      <c r="C287" t="inlineStr">
        <is>
          <t>SHELVES</t>
        </is>
      </c>
      <c r="D287" t="inlineStr">
        <is>
          <t>WA 412 H4339 1986</t>
        </is>
      </c>
      <c r="E287" t="inlineStr">
        <is>
          <t>0                      WA 0412000H  4339        1986</t>
        </is>
      </c>
      <c r="F287" t="inlineStr">
        <is>
          <t>Health in industry : a behavioral medicine perspective / Michael F. Cataldo, Thomas J. Coates, editors.</t>
        </is>
      </c>
      <c r="H287" t="inlineStr">
        <is>
          <t>No</t>
        </is>
      </c>
      <c r="I287" t="inlineStr">
        <is>
          <t>1</t>
        </is>
      </c>
      <c r="J287" t="inlineStr">
        <is>
          <t>Yes</t>
        </is>
      </c>
      <c r="K287" t="inlineStr">
        <is>
          <t>No</t>
        </is>
      </c>
      <c r="L287" t="inlineStr">
        <is>
          <t>0</t>
        </is>
      </c>
      <c r="N287" t="inlineStr">
        <is>
          <t>New York : Wiley, c1986.</t>
        </is>
      </c>
      <c r="O287" t="inlineStr">
        <is>
          <t>1986</t>
        </is>
      </c>
      <c r="Q287" t="inlineStr">
        <is>
          <t>eng</t>
        </is>
      </c>
      <c r="R287" t="inlineStr">
        <is>
          <t>xxu</t>
        </is>
      </c>
      <c r="S287" t="inlineStr">
        <is>
          <t>Wiley series on health psychology/behavioral medicine</t>
        </is>
      </c>
      <c r="T287" t="inlineStr">
        <is>
          <t xml:space="preserve">WA </t>
        </is>
      </c>
      <c r="U287" t="n">
        <v>11</v>
      </c>
      <c r="V287" t="n">
        <v>11</v>
      </c>
      <c r="W287" t="inlineStr">
        <is>
          <t>2002-02-26</t>
        </is>
      </c>
      <c r="X287" t="inlineStr">
        <is>
          <t>2002-02-26</t>
        </is>
      </c>
      <c r="Y287" t="inlineStr">
        <is>
          <t>1988-01-06</t>
        </is>
      </c>
      <c r="Z287" t="inlineStr">
        <is>
          <t>1988-01-06</t>
        </is>
      </c>
      <c r="AA287" t="n">
        <v>405</v>
      </c>
      <c r="AB287" t="n">
        <v>333</v>
      </c>
      <c r="AC287" t="n">
        <v>335</v>
      </c>
      <c r="AD287" t="n">
        <v>5</v>
      </c>
      <c r="AE287" t="n">
        <v>5</v>
      </c>
      <c r="AF287" t="n">
        <v>17</v>
      </c>
      <c r="AG287" t="n">
        <v>17</v>
      </c>
      <c r="AH287" t="n">
        <v>3</v>
      </c>
      <c r="AI287" t="n">
        <v>3</v>
      </c>
      <c r="AJ287" t="n">
        <v>6</v>
      </c>
      <c r="AK287" t="n">
        <v>6</v>
      </c>
      <c r="AL287" t="n">
        <v>9</v>
      </c>
      <c r="AM287" t="n">
        <v>9</v>
      </c>
      <c r="AN287" t="n">
        <v>3</v>
      </c>
      <c r="AO287" t="n">
        <v>3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HYPERLINK("http://catalog.hathitrust.org/Record/000477004","HathiTrust Record")</f>
        <v/>
      </c>
      <c r="AU287">
        <f>HYPERLINK("https://creighton-primo.hosted.exlibrisgroup.com/primo-explore/search?tab=default_tab&amp;search_scope=EVERYTHING&amp;vid=01CRU&amp;lang=en_US&amp;offset=0&amp;query=any,contains,991000729689702656","Catalog Record")</f>
        <v/>
      </c>
      <c r="AV287">
        <f>HYPERLINK("http://www.worldcat.org/oclc/12422136","WorldCat Record")</f>
        <v/>
      </c>
      <c r="AW287" t="inlineStr">
        <is>
          <t>836726653:eng</t>
        </is>
      </c>
      <c r="AX287" t="inlineStr">
        <is>
          <t>12422136</t>
        </is>
      </c>
      <c r="AY287" t="inlineStr">
        <is>
          <t>991000729689702656</t>
        </is>
      </c>
      <c r="AZ287" t="inlineStr">
        <is>
          <t>991000729689702656</t>
        </is>
      </c>
      <c r="BA287" t="inlineStr">
        <is>
          <t>2261352500002656</t>
        </is>
      </c>
      <c r="BB287" t="inlineStr">
        <is>
          <t>BOOK</t>
        </is>
      </c>
      <c r="BD287" t="inlineStr">
        <is>
          <t>9780471809210</t>
        </is>
      </c>
      <c r="BE287" t="inlineStr">
        <is>
          <t>30001000707796</t>
        </is>
      </c>
      <c r="BF287" t="inlineStr">
        <is>
          <t>893551390</t>
        </is>
      </c>
    </row>
    <row r="288">
      <c r="A288" t="inlineStr">
        <is>
          <t>No</t>
        </is>
      </c>
      <c r="B288" t="inlineStr">
        <is>
          <t>CUHSL</t>
        </is>
      </c>
      <c r="C288" t="inlineStr">
        <is>
          <t>SHELVES</t>
        </is>
      </c>
      <c r="D288" t="inlineStr">
        <is>
          <t>WA 412 K62h 1987</t>
        </is>
      </c>
      <c r="E288" t="inlineStr">
        <is>
          <t>0                      WA 0412000K  62h         1987</t>
        </is>
      </c>
      <c r="F288" t="inlineStr">
        <is>
          <t>The healthy workplace : a blueprint for corporate action / William M. Kizer.</t>
        </is>
      </c>
      <c r="H288" t="inlineStr">
        <is>
          <t>No</t>
        </is>
      </c>
      <c r="I288" t="inlineStr">
        <is>
          <t>1</t>
        </is>
      </c>
      <c r="J288" t="inlineStr">
        <is>
          <t>Yes</t>
        </is>
      </c>
      <c r="K288" t="inlineStr">
        <is>
          <t>No</t>
        </is>
      </c>
      <c r="L288" t="inlineStr">
        <is>
          <t>0</t>
        </is>
      </c>
      <c r="M288" t="inlineStr">
        <is>
          <t>Kizer, William M.</t>
        </is>
      </c>
      <c r="N288" t="inlineStr">
        <is>
          <t>New York : Wiley, c1987.</t>
        </is>
      </c>
      <c r="O288" t="inlineStr">
        <is>
          <t>1987</t>
        </is>
      </c>
      <c r="Q288" t="inlineStr">
        <is>
          <t>eng</t>
        </is>
      </c>
      <c r="R288" t="inlineStr">
        <is>
          <t>xxu</t>
        </is>
      </c>
      <c r="T288" t="inlineStr">
        <is>
          <t xml:space="preserve">WA </t>
        </is>
      </c>
      <c r="U288" t="n">
        <v>21</v>
      </c>
      <c r="V288" t="n">
        <v>21</v>
      </c>
      <c r="W288" t="inlineStr">
        <is>
          <t>2006-02-12</t>
        </is>
      </c>
      <c r="X288" t="inlineStr">
        <is>
          <t>2006-02-12</t>
        </is>
      </c>
      <c r="Y288" t="inlineStr">
        <is>
          <t>1988-01-06</t>
        </is>
      </c>
      <c r="Z288" t="inlineStr">
        <is>
          <t>1988-01-06</t>
        </is>
      </c>
      <c r="AA288" t="n">
        <v>420</v>
      </c>
      <c r="AB288" t="n">
        <v>345</v>
      </c>
      <c r="AC288" t="n">
        <v>347</v>
      </c>
      <c r="AD288" t="n">
        <v>5</v>
      </c>
      <c r="AE288" t="n">
        <v>5</v>
      </c>
      <c r="AF288" t="n">
        <v>16</v>
      </c>
      <c r="AG288" t="n">
        <v>16</v>
      </c>
      <c r="AH288" t="n">
        <v>3</v>
      </c>
      <c r="AI288" t="n">
        <v>3</v>
      </c>
      <c r="AJ288" t="n">
        <v>4</v>
      </c>
      <c r="AK288" t="n">
        <v>4</v>
      </c>
      <c r="AL288" t="n">
        <v>8</v>
      </c>
      <c r="AM288" t="n">
        <v>8</v>
      </c>
      <c r="AN288" t="n">
        <v>3</v>
      </c>
      <c r="AO288" t="n">
        <v>3</v>
      </c>
      <c r="AP288" t="n">
        <v>0</v>
      </c>
      <c r="AQ288" t="n">
        <v>0</v>
      </c>
      <c r="AR288" t="inlineStr">
        <is>
          <t>No</t>
        </is>
      </c>
      <c r="AS288" t="inlineStr">
        <is>
          <t>Yes</t>
        </is>
      </c>
      <c r="AT288">
        <f>HYPERLINK("http://catalog.hathitrust.org/Record/000595453","HathiTrust Record")</f>
        <v/>
      </c>
      <c r="AU288">
        <f>HYPERLINK("https://creighton-primo.hosted.exlibrisgroup.com/primo-explore/search?tab=default_tab&amp;search_scope=EVERYTHING&amp;vid=01CRU&amp;lang=en_US&amp;offset=0&amp;query=any,contains,991001266849702656","Catalog Record")</f>
        <v/>
      </c>
      <c r="AV288">
        <f>HYPERLINK("http://www.worldcat.org/oclc/14098310","WorldCat Record")</f>
        <v/>
      </c>
      <c r="AW288" t="inlineStr">
        <is>
          <t>836664617:eng</t>
        </is>
      </c>
      <c r="AX288" t="inlineStr">
        <is>
          <t>14098310</t>
        </is>
      </c>
      <c r="AY288" t="inlineStr">
        <is>
          <t>991001266849702656</t>
        </is>
      </c>
      <c r="AZ288" t="inlineStr">
        <is>
          <t>991001266849702656</t>
        </is>
      </c>
      <c r="BA288" t="inlineStr">
        <is>
          <t>2266931200002656</t>
        </is>
      </c>
      <c r="BB288" t="inlineStr">
        <is>
          <t>BOOK</t>
        </is>
      </c>
      <c r="BD288" t="inlineStr">
        <is>
          <t>9780471845317</t>
        </is>
      </c>
      <c r="BE288" t="inlineStr">
        <is>
          <t>30001000353609</t>
        </is>
      </c>
      <c r="BF288" t="inlineStr">
        <is>
          <t>893643376</t>
        </is>
      </c>
    </row>
    <row r="289">
      <c r="A289" t="inlineStr">
        <is>
          <t>No</t>
        </is>
      </c>
      <c r="B289" t="inlineStr">
        <is>
          <t>CUHSL</t>
        </is>
      </c>
      <c r="C289" t="inlineStr">
        <is>
          <t>SHELVES</t>
        </is>
      </c>
      <c r="D289" t="inlineStr">
        <is>
          <t>WA 412 P578 1994</t>
        </is>
      </c>
      <c r="E289" t="inlineStr">
        <is>
          <t>0                      WA 0412000P  578         1994</t>
        </is>
      </c>
      <c r="F289" t="inlineStr">
        <is>
          <t>Physiotherapy in occupational health : management, prevention, and health promotion in the work place / edited by Barbara Richardson and Alfreda Eastlake ; with a foreword by J.D.G. Troup.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N289" t="inlineStr">
        <is>
          <t>Oxford ; Boston : Butterworth-Heinemann, c1994.</t>
        </is>
      </c>
      <c r="O289" t="inlineStr">
        <is>
          <t>1994</t>
        </is>
      </c>
      <c r="Q289" t="inlineStr">
        <is>
          <t>eng</t>
        </is>
      </c>
      <c r="R289" t="inlineStr">
        <is>
          <t>enk</t>
        </is>
      </c>
      <c r="T289" t="inlineStr">
        <is>
          <t xml:space="preserve">WA </t>
        </is>
      </c>
      <c r="U289" t="n">
        <v>8</v>
      </c>
      <c r="V289" t="n">
        <v>8</v>
      </c>
      <c r="W289" t="inlineStr">
        <is>
          <t>1998-09-15</t>
        </is>
      </c>
      <c r="X289" t="inlineStr">
        <is>
          <t>1998-09-15</t>
        </is>
      </c>
      <c r="Y289" t="inlineStr">
        <is>
          <t>1995-01-18</t>
        </is>
      </c>
      <c r="Z289" t="inlineStr">
        <is>
          <t>1995-01-18</t>
        </is>
      </c>
      <c r="AA289" t="n">
        <v>113</v>
      </c>
      <c r="AB289" t="n">
        <v>60</v>
      </c>
      <c r="AC289" t="n">
        <v>60</v>
      </c>
      <c r="AD289" t="n">
        <v>1</v>
      </c>
      <c r="AE289" t="n">
        <v>1</v>
      </c>
      <c r="AF289" t="n">
        <v>2</v>
      </c>
      <c r="AG289" t="n">
        <v>2</v>
      </c>
      <c r="AH289" t="n">
        <v>1</v>
      </c>
      <c r="AI289" t="n">
        <v>1</v>
      </c>
      <c r="AJ289" t="n">
        <v>1</v>
      </c>
      <c r="AK289" t="n">
        <v>1</v>
      </c>
      <c r="AL289" t="n">
        <v>1</v>
      </c>
      <c r="AM289" t="n">
        <v>1</v>
      </c>
      <c r="AN289" t="n">
        <v>0</v>
      </c>
      <c r="AO289" t="n">
        <v>0</v>
      </c>
      <c r="AP289" t="n">
        <v>0</v>
      </c>
      <c r="AQ289" t="n">
        <v>0</v>
      </c>
      <c r="AR289" t="inlineStr">
        <is>
          <t>No</t>
        </is>
      </c>
      <c r="AS289" t="inlineStr">
        <is>
          <t>No</t>
        </is>
      </c>
      <c r="AU289">
        <f>HYPERLINK("https://creighton-primo.hosted.exlibrisgroup.com/primo-explore/search?tab=default_tab&amp;search_scope=EVERYTHING&amp;vid=01CRU&amp;lang=en_US&amp;offset=0&amp;query=any,contains,991001393309702656","Catalog Record")</f>
        <v/>
      </c>
      <c r="AV289">
        <f>HYPERLINK("http://www.worldcat.org/oclc/30157559","WorldCat Record")</f>
        <v/>
      </c>
      <c r="AW289" t="inlineStr">
        <is>
          <t>836840519:eng</t>
        </is>
      </c>
      <c r="AX289" t="inlineStr">
        <is>
          <t>30157559</t>
        </is>
      </c>
      <c r="AY289" t="inlineStr">
        <is>
          <t>991001393309702656</t>
        </is>
      </c>
      <c r="AZ289" t="inlineStr">
        <is>
          <t>991001393309702656</t>
        </is>
      </c>
      <c r="BA289" t="inlineStr">
        <is>
          <t>2264357680002656</t>
        </is>
      </c>
      <c r="BB289" t="inlineStr">
        <is>
          <t>BOOK</t>
        </is>
      </c>
      <c r="BD289" t="inlineStr">
        <is>
          <t>9780750609654</t>
        </is>
      </c>
      <c r="BE289" t="inlineStr">
        <is>
          <t>30001003145291</t>
        </is>
      </c>
      <c r="BF289" t="inlineStr">
        <is>
          <t>893134516</t>
        </is>
      </c>
    </row>
    <row r="290">
      <c r="A290" t="inlineStr">
        <is>
          <t>No</t>
        </is>
      </c>
      <c r="B290" t="inlineStr">
        <is>
          <t>CUHSL</t>
        </is>
      </c>
      <c r="C290" t="inlineStr">
        <is>
          <t>SHELVES</t>
        </is>
      </c>
      <c r="D290" t="inlineStr">
        <is>
          <t>WA 412 S587b 1991</t>
        </is>
      </c>
      <c r="E290" t="inlineStr">
        <is>
          <t>0                      WA 0412000S  587b        1991</t>
        </is>
      </c>
      <c r="F290" t="inlineStr">
        <is>
          <t>Basic occupational medicine : a guide to developing delivery systems / author, Robert R. Silver.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Silver, Robert R.</t>
        </is>
      </c>
      <c r="N290" t="inlineStr">
        <is>
          <t>Boca Raton : CRC Press, c1991.</t>
        </is>
      </c>
      <c r="O290" t="inlineStr">
        <is>
          <t>1991</t>
        </is>
      </c>
      <c r="Q290" t="inlineStr">
        <is>
          <t>eng</t>
        </is>
      </c>
      <c r="R290" t="inlineStr">
        <is>
          <t>flu</t>
        </is>
      </c>
      <c r="T290" t="inlineStr">
        <is>
          <t xml:space="preserve">WA </t>
        </is>
      </c>
      <c r="U290" t="n">
        <v>6</v>
      </c>
      <c r="V290" t="n">
        <v>6</v>
      </c>
      <c r="W290" t="inlineStr">
        <is>
          <t>1993-05-17</t>
        </is>
      </c>
      <c r="X290" t="inlineStr">
        <is>
          <t>1993-05-17</t>
        </is>
      </c>
      <c r="Y290" t="inlineStr">
        <is>
          <t>1991-09-17</t>
        </is>
      </c>
      <c r="Z290" t="inlineStr">
        <is>
          <t>1991-09-17</t>
        </is>
      </c>
      <c r="AA290" t="n">
        <v>76</v>
      </c>
      <c r="AB290" t="n">
        <v>51</v>
      </c>
      <c r="AC290" t="n">
        <v>51</v>
      </c>
      <c r="AD290" t="n">
        <v>1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inlineStr">
        <is>
          <t>No</t>
        </is>
      </c>
      <c r="AS290" t="inlineStr">
        <is>
          <t>No</t>
        </is>
      </c>
      <c r="AU290">
        <f>HYPERLINK("https://creighton-primo.hosted.exlibrisgroup.com/primo-explore/search?tab=default_tab&amp;search_scope=EVERYTHING&amp;vid=01CRU&amp;lang=en_US&amp;offset=0&amp;query=any,contains,991001015269702656","Catalog Record")</f>
        <v/>
      </c>
      <c r="AV290">
        <f>HYPERLINK("http://www.worldcat.org/oclc/22733451","WorldCat Record")</f>
        <v/>
      </c>
      <c r="AW290" t="inlineStr">
        <is>
          <t>1780178697:eng</t>
        </is>
      </c>
      <c r="AX290" t="inlineStr">
        <is>
          <t>22733451</t>
        </is>
      </c>
      <c r="AY290" t="inlineStr">
        <is>
          <t>991001015269702656</t>
        </is>
      </c>
      <c r="AZ290" t="inlineStr">
        <is>
          <t>991001015269702656</t>
        </is>
      </c>
      <c r="BA290" t="inlineStr">
        <is>
          <t>2267391410002656</t>
        </is>
      </c>
      <c r="BB290" t="inlineStr">
        <is>
          <t>BOOK</t>
        </is>
      </c>
      <c r="BD290" t="inlineStr">
        <is>
          <t>9780849342905</t>
        </is>
      </c>
      <c r="BE290" t="inlineStr">
        <is>
          <t>30001002240572</t>
        </is>
      </c>
      <c r="BF290" t="inlineStr">
        <is>
          <t>893284318</t>
        </is>
      </c>
    </row>
    <row r="291">
      <c r="A291" t="inlineStr">
        <is>
          <t>No</t>
        </is>
      </c>
      <c r="B291" t="inlineStr">
        <is>
          <t>CUHSL</t>
        </is>
      </c>
      <c r="C291" t="inlineStr">
        <is>
          <t>SHELVES</t>
        </is>
      </c>
      <c r="D291" t="inlineStr">
        <is>
          <t>WA 412 W926 1988</t>
        </is>
      </c>
      <c r="E291" t="inlineStr">
        <is>
          <t>0                      WA 0412000W  926         1988</t>
        </is>
      </c>
      <c r="F291" t="inlineStr">
        <is>
          <t>Worker fitness and risk evaluations / Jay S. Himmelstein and Glenn S. Pransky, guest editors.</t>
        </is>
      </c>
      <c r="G291" t="inlineStr">
        <is>
          <t>V. 3 NO. 2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N291" t="inlineStr">
        <is>
          <t>Philadelphia : Hanley &amp; Belfus, c1988.</t>
        </is>
      </c>
      <c r="O291" t="inlineStr">
        <is>
          <t>1988</t>
        </is>
      </c>
      <c r="Q291" t="inlineStr">
        <is>
          <t>eng</t>
        </is>
      </c>
      <c r="R291" t="inlineStr">
        <is>
          <t>pau</t>
        </is>
      </c>
      <c r="S291" t="inlineStr">
        <is>
          <t>Occupational medicine: state of the art reviews, 0885-114X ; v. 3, no. 2 (April-June 1988).</t>
        </is>
      </c>
      <c r="T291" t="inlineStr">
        <is>
          <t xml:space="preserve">WA </t>
        </is>
      </c>
      <c r="U291" t="n">
        <v>13</v>
      </c>
      <c r="V291" t="n">
        <v>13</v>
      </c>
      <c r="W291" t="inlineStr">
        <is>
          <t>2002-02-26</t>
        </is>
      </c>
      <c r="X291" t="inlineStr">
        <is>
          <t>2002-02-26</t>
        </is>
      </c>
      <c r="Y291" t="inlineStr">
        <is>
          <t>1989-02-17</t>
        </is>
      </c>
      <c r="Z291" t="inlineStr">
        <is>
          <t>1989-02-17</t>
        </is>
      </c>
      <c r="AA291" t="n">
        <v>65</v>
      </c>
      <c r="AB291" t="n">
        <v>53</v>
      </c>
      <c r="AC291" t="n">
        <v>58</v>
      </c>
      <c r="AD291" t="n">
        <v>1</v>
      </c>
      <c r="AE291" t="n">
        <v>1</v>
      </c>
      <c r="AF291" t="n">
        <v>1</v>
      </c>
      <c r="AG291" t="n">
        <v>1</v>
      </c>
      <c r="AH291" t="n">
        <v>0</v>
      </c>
      <c r="AI291" t="n">
        <v>0</v>
      </c>
      <c r="AJ291" t="n">
        <v>1</v>
      </c>
      <c r="AK291" t="n">
        <v>1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HYPERLINK("https://creighton-primo.hosted.exlibrisgroup.com/primo-explore/search?tab=default_tab&amp;search_scope=EVERYTHING&amp;vid=01CRU&amp;lang=en_US&amp;offset=0&amp;query=any,contains,991001118939702656","Catalog Record")</f>
        <v/>
      </c>
      <c r="AV291">
        <f>HYPERLINK("http://www.worldcat.org/oclc/17868574","WorldCat Record")</f>
        <v/>
      </c>
      <c r="AW291" t="inlineStr">
        <is>
          <t>16579234:eng</t>
        </is>
      </c>
      <c r="AX291" t="inlineStr">
        <is>
          <t>17868574</t>
        </is>
      </c>
      <c r="AY291" t="inlineStr">
        <is>
          <t>991001118939702656</t>
        </is>
      </c>
      <c r="AZ291" t="inlineStr">
        <is>
          <t>991001118939702656</t>
        </is>
      </c>
      <c r="BA291" t="inlineStr">
        <is>
          <t>2268235550002656</t>
        </is>
      </c>
      <c r="BB291" t="inlineStr">
        <is>
          <t>BOOK</t>
        </is>
      </c>
      <c r="BD291" t="inlineStr">
        <is>
          <t>9780932883544</t>
        </is>
      </c>
      <c r="BE291" t="inlineStr">
        <is>
          <t>30001001614033</t>
        </is>
      </c>
      <c r="BF291" t="inlineStr">
        <is>
          <t>893121180</t>
        </is>
      </c>
    </row>
    <row r="292">
      <c r="A292" t="inlineStr">
        <is>
          <t>No</t>
        </is>
      </c>
      <c r="B292" t="inlineStr">
        <is>
          <t>CUHSL</t>
        </is>
      </c>
      <c r="C292" t="inlineStr">
        <is>
          <t>SHELVES</t>
        </is>
      </c>
      <c r="D292" t="inlineStr">
        <is>
          <t>WA 440 D684s 1989</t>
        </is>
      </c>
      <c r="E292" t="inlineStr">
        <is>
          <t>0                      WA 0440000D  684s        1989</t>
        </is>
      </c>
      <c r="F292" t="inlineStr">
        <is>
          <t>Sitting on the job : how to survive the stresses of sitting down to work : a practical handbook / Scott W. Donkin ; Joseph J. Sweere, contributing editor ; Jan Kelley Weinberg, illustration and design.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Donkin, Scott W.</t>
        </is>
      </c>
      <c r="N292" t="inlineStr">
        <is>
          <t>Boston : Houghton Mifflin, c1989.</t>
        </is>
      </c>
      <c r="O292" t="inlineStr">
        <is>
          <t>1989</t>
        </is>
      </c>
      <c r="P292" t="inlineStr">
        <is>
          <t>1st ed.</t>
        </is>
      </c>
      <c r="Q292" t="inlineStr">
        <is>
          <t>eng</t>
        </is>
      </c>
      <c r="R292" t="inlineStr">
        <is>
          <t>mau</t>
        </is>
      </c>
      <c r="T292" t="inlineStr">
        <is>
          <t xml:space="preserve">WA </t>
        </is>
      </c>
      <c r="U292" t="n">
        <v>29</v>
      </c>
      <c r="V292" t="n">
        <v>29</v>
      </c>
      <c r="W292" t="inlineStr">
        <is>
          <t>2003-04-04</t>
        </is>
      </c>
      <c r="X292" t="inlineStr">
        <is>
          <t>2003-04-04</t>
        </is>
      </c>
      <c r="Y292" t="inlineStr">
        <is>
          <t>1989-02-23</t>
        </is>
      </c>
      <c r="Z292" t="inlineStr">
        <is>
          <t>1989-02-23</t>
        </is>
      </c>
      <c r="AA292" t="n">
        <v>420</v>
      </c>
      <c r="AB292" t="n">
        <v>395</v>
      </c>
      <c r="AC292" t="n">
        <v>402</v>
      </c>
      <c r="AD292" t="n">
        <v>2</v>
      </c>
      <c r="AE292" t="n">
        <v>2</v>
      </c>
      <c r="AF292" t="n">
        <v>1</v>
      </c>
      <c r="AG292" t="n">
        <v>1</v>
      </c>
      <c r="AH292" t="n">
        <v>1</v>
      </c>
      <c r="AI292" t="n">
        <v>1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HYPERLINK("http://catalog.hathitrust.org/Record/001301973","HathiTrust Record")</f>
        <v/>
      </c>
      <c r="AU292">
        <f>HYPERLINK("https://creighton-primo.hosted.exlibrisgroup.com/primo-explore/search?tab=default_tab&amp;search_scope=EVERYTHING&amp;vid=01CRU&amp;lang=en_US&amp;offset=0&amp;query=any,contains,991001239309702656","Catalog Record")</f>
        <v/>
      </c>
      <c r="AV292">
        <f>HYPERLINK("http://www.worldcat.org/oclc/18682628","WorldCat Record")</f>
        <v/>
      </c>
      <c r="AW292" t="inlineStr">
        <is>
          <t>17913420:eng</t>
        </is>
      </c>
      <c r="AX292" t="inlineStr">
        <is>
          <t>18682628</t>
        </is>
      </c>
      <c r="AY292" t="inlineStr">
        <is>
          <t>991001239309702656</t>
        </is>
      </c>
      <c r="AZ292" t="inlineStr">
        <is>
          <t>991001239309702656</t>
        </is>
      </c>
      <c r="BA292" t="inlineStr">
        <is>
          <t>2264542220002656</t>
        </is>
      </c>
      <c r="BB292" t="inlineStr">
        <is>
          <t>BOOK</t>
        </is>
      </c>
      <c r="BD292" t="inlineStr">
        <is>
          <t>9780395500897</t>
        </is>
      </c>
      <c r="BE292" t="inlineStr">
        <is>
          <t>30001001675240</t>
        </is>
      </c>
      <c r="BF292" t="inlineStr">
        <is>
          <t>893460381</t>
        </is>
      </c>
    </row>
    <row r="293">
      <c r="A293" t="inlineStr">
        <is>
          <t>No</t>
        </is>
      </c>
      <c r="B293" t="inlineStr">
        <is>
          <t>CUHSL</t>
        </is>
      </c>
      <c r="C293" t="inlineStr">
        <is>
          <t>SHELVES</t>
        </is>
      </c>
      <c r="D293" t="inlineStr">
        <is>
          <t>WA 440 G761w 1992</t>
        </is>
      </c>
      <c r="E293" t="inlineStr">
        <is>
          <t>0                      WA 0440000G  761w        1992</t>
        </is>
      </c>
      <c r="F293" t="inlineStr">
        <is>
          <t>Workplace wellness : the key to higher productivity and lower health costs / Carol Bayley [sic] Grant, Robert E. Brisbin.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Grant, Carol Bayly.</t>
        </is>
      </c>
      <c r="N293" t="inlineStr">
        <is>
          <t>New York : Van Nostrand Reinhold, c1992.</t>
        </is>
      </c>
      <c r="O293" t="inlineStr">
        <is>
          <t>1992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WA </t>
        </is>
      </c>
      <c r="U293" t="n">
        <v>28</v>
      </c>
      <c r="V293" t="n">
        <v>28</v>
      </c>
      <c r="W293" t="inlineStr">
        <is>
          <t>2008-06-20</t>
        </is>
      </c>
      <c r="X293" t="inlineStr">
        <is>
          <t>2008-06-20</t>
        </is>
      </c>
      <c r="Y293" t="inlineStr">
        <is>
          <t>1992-10-07</t>
        </is>
      </c>
      <c r="Z293" t="inlineStr">
        <is>
          <t>1992-10-07</t>
        </is>
      </c>
      <c r="AA293" t="n">
        <v>187</v>
      </c>
      <c r="AB293" t="n">
        <v>148</v>
      </c>
      <c r="AC293" t="n">
        <v>154</v>
      </c>
      <c r="AD293" t="n">
        <v>1</v>
      </c>
      <c r="AE293" t="n">
        <v>1</v>
      </c>
      <c r="AF293" t="n">
        <v>2</v>
      </c>
      <c r="AG293" t="n">
        <v>2</v>
      </c>
      <c r="AH293" t="n">
        <v>0</v>
      </c>
      <c r="AI293" t="n">
        <v>0</v>
      </c>
      <c r="AJ293" t="n">
        <v>2</v>
      </c>
      <c r="AK293" t="n">
        <v>2</v>
      </c>
      <c r="AL293" t="n">
        <v>1</v>
      </c>
      <c r="AM293" t="n">
        <v>1</v>
      </c>
      <c r="AN293" t="n">
        <v>0</v>
      </c>
      <c r="AO293" t="n">
        <v>0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HYPERLINK("https://creighton-primo.hosted.exlibrisgroup.com/primo-explore/search?tab=default_tab&amp;search_scope=EVERYTHING&amp;vid=01CRU&amp;lang=en_US&amp;offset=0&amp;query=any,contains,991001344689702656","Catalog Record")</f>
        <v/>
      </c>
      <c r="AV293">
        <f>HYPERLINK("http://www.worldcat.org/oclc/25372115","WorldCat Record")</f>
        <v/>
      </c>
      <c r="AW293" t="inlineStr">
        <is>
          <t>836875927:eng</t>
        </is>
      </c>
      <c r="AX293" t="inlineStr">
        <is>
          <t>25372115</t>
        </is>
      </c>
      <c r="AY293" t="inlineStr">
        <is>
          <t>991001344689702656</t>
        </is>
      </c>
      <c r="AZ293" t="inlineStr">
        <is>
          <t>991001344689702656</t>
        </is>
      </c>
      <c r="BA293" t="inlineStr">
        <is>
          <t>2269305940002656</t>
        </is>
      </c>
      <c r="BB293" t="inlineStr">
        <is>
          <t>BOOK</t>
        </is>
      </c>
      <c r="BD293" t="inlineStr">
        <is>
          <t>9780442006990</t>
        </is>
      </c>
      <c r="BE293" t="inlineStr">
        <is>
          <t>30001002456814</t>
        </is>
      </c>
      <c r="BF293" t="inlineStr">
        <is>
          <t>893451096</t>
        </is>
      </c>
    </row>
    <row r="294">
      <c r="A294" t="inlineStr">
        <is>
          <t>No</t>
        </is>
      </c>
      <c r="B294" t="inlineStr">
        <is>
          <t>CUHSL</t>
        </is>
      </c>
      <c r="C294" t="inlineStr">
        <is>
          <t>SHELVES</t>
        </is>
      </c>
      <c r="D294" t="inlineStr">
        <is>
          <t>WA 440 H4347 1988</t>
        </is>
      </c>
      <c r="E294" t="inlineStr">
        <is>
          <t>0                      WA 0440000H  4347        1988</t>
        </is>
      </c>
      <c r="F294" t="inlineStr">
        <is>
          <t>The Health and safety of workers : case studies in the politics of professional responsibility / edited by Ronald Bayer.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N294" t="inlineStr">
        <is>
          <t>New York : Oxford University Press, c1988.</t>
        </is>
      </c>
      <c r="O294" t="inlineStr">
        <is>
          <t>1988</t>
        </is>
      </c>
      <c r="Q294" t="inlineStr">
        <is>
          <t>eng</t>
        </is>
      </c>
      <c r="R294" t="inlineStr">
        <is>
          <t>xxu</t>
        </is>
      </c>
      <c r="T294" t="inlineStr">
        <is>
          <t xml:space="preserve">WA </t>
        </is>
      </c>
      <c r="U294" t="n">
        <v>7</v>
      </c>
      <c r="V294" t="n">
        <v>7</v>
      </c>
      <c r="W294" t="inlineStr">
        <is>
          <t>1992-03-25</t>
        </is>
      </c>
      <c r="X294" t="inlineStr">
        <is>
          <t>1992-03-25</t>
        </is>
      </c>
      <c r="Y294" t="inlineStr">
        <is>
          <t>1989-07-11</t>
        </is>
      </c>
      <c r="Z294" t="inlineStr">
        <is>
          <t>1989-07-11</t>
        </is>
      </c>
      <c r="AA294" t="n">
        <v>430</v>
      </c>
      <c r="AB294" t="n">
        <v>352</v>
      </c>
      <c r="AC294" t="n">
        <v>357</v>
      </c>
      <c r="AD294" t="n">
        <v>1</v>
      </c>
      <c r="AE294" t="n">
        <v>1</v>
      </c>
      <c r="AF294" t="n">
        <v>10</v>
      </c>
      <c r="AG294" t="n">
        <v>10</v>
      </c>
      <c r="AH294" t="n">
        <v>5</v>
      </c>
      <c r="AI294" t="n">
        <v>5</v>
      </c>
      <c r="AJ294" t="n">
        <v>2</v>
      </c>
      <c r="AK294" t="n">
        <v>2</v>
      </c>
      <c r="AL294" t="n">
        <v>4</v>
      </c>
      <c r="AM294" t="n">
        <v>4</v>
      </c>
      <c r="AN294" t="n">
        <v>0</v>
      </c>
      <c r="AO294" t="n">
        <v>0</v>
      </c>
      <c r="AP294" t="n">
        <v>1</v>
      </c>
      <c r="AQ294" t="n">
        <v>1</v>
      </c>
      <c r="AR294" t="inlineStr">
        <is>
          <t>No</t>
        </is>
      </c>
      <c r="AS294" t="inlineStr">
        <is>
          <t>No</t>
        </is>
      </c>
      <c r="AU294">
        <f>HYPERLINK("https://creighton-primo.hosted.exlibrisgroup.com/primo-explore/search?tab=default_tab&amp;search_scope=EVERYTHING&amp;vid=01CRU&amp;lang=en_US&amp;offset=0&amp;query=any,contains,991001253219702656","Catalog Record")</f>
        <v/>
      </c>
      <c r="AV294">
        <f>HYPERLINK("http://www.worldcat.org/oclc/16801285","WorldCat Record")</f>
        <v/>
      </c>
      <c r="AW294" t="inlineStr">
        <is>
          <t>836725451:eng</t>
        </is>
      </c>
      <c r="AX294" t="inlineStr">
        <is>
          <t>16801285</t>
        </is>
      </c>
      <c r="AY294" t="inlineStr">
        <is>
          <t>991001253219702656</t>
        </is>
      </c>
      <c r="AZ294" t="inlineStr">
        <is>
          <t>991001253219702656</t>
        </is>
      </c>
      <c r="BA294" t="inlineStr">
        <is>
          <t>2262086810002656</t>
        </is>
      </c>
      <c r="BB294" t="inlineStr">
        <is>
          <t>BOOK</t>
        </is>
      </c>
      <c r="BD294" t="inlineStr">
        <is>
          <t>9780195053654</t>
        </is>
      </c>
      <c r="BE294" t="inlineStr">
        <is>
          <t>30001001679531</t>
        </is>
      </c>
      <c r="BF294" t="inlineStr">
        <is>
          <t>893374397</t>
        </is>
      </c>
    </row>
    <row r="295">
      <c r="A295" t="inlineStr">
        <is>
          <t>No</t>
        </is>
      </c>
      <c r="B295" t="inlineStr">
        <is>
          <t>CUHSL</t>
        </is>
      </c>
      <c r="C295" t="inlineStr">
        <is>
          <t>SHELVES</t>
        </is>
      </c>
      <c r="D295" t="inlineStr">
        <is>
          <t>WA440 O145 2001</t>
        </is>
      </c>
      <c r="E295" t="inlineStr">
        <is>
          <t>0                      WA 0440000O  145         2001</t>
        </is>
      </c>
      <c r="F295" t="inlineStr">
        <is>
          <t>Occupational ergonomics : work related musculoskeletal disorders of the upper limb and back / [edited by] Francesco Violante, Åsa Kilbom, and Thomas Armstrong.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1</t>
        </is>
      </c>
      <c r="N295" t="inlineStr">
        <is>
          <t>London ; New York : Taylor &amp; Francis, 2001.</t>
        </is>
      </c>
      <c r="O295" t="inlineStr">
        <is>
          <t>2001</t>
        </is>
      </c>
      <c r="Q295" t="inlineStr">
        <is>
          <t>eng</t>
        </is>
      </c>
      <c r="R295" t="inlineStr">
        <is>
          <t>enk</t>
        </is>
      </c>
      <c r="T295" t="inlineStr">
        <is>
          <t xml:space="preserve">WA </t>
        </is>
      </c>
      <c r="U295" t="n">
        <v>7</v>
      </c>
      <c r="V295" t="n">
        <v>7</v>
      </c>
      <c r="W295" t="inlineStr">
        <is>
          <t>2008-04-08</t>
        </is>
      </c>
      <c r="X295" t="inlineStr">
        <is>
          <t>2008-04-08</t>
        </is>
      </c>
      <c r="Y295" t="inlineStr">
        <is>
          <t>2002-07-01</t>
        </is>
      </c>
      <c r="Z295" t="inlineStr">
        <is>
          <t>2002-07-01</t>
        </is>
      </c>
      <c r="AA295" t="n">
        <v>95</v>
      </c>
      <c r="AB295" t="n">
        <v>66</v>
      </c>
      <c r="AC295" t="n">
        <v>1050</v>
      </c>
      <c r="AD295" t="n">
        <v>1</v>
      </c>
      <c r="AE295" t="n">
        <v>14</v>
      </c>
      <c r="AF295" t="n">
        <v>3</v>
      </c>
      <c r="AG295" t="n">
        <v>43</v>
      </c>
      <c r="AH295" t="n">
        <v>0</v>
      </c>
      <c r="AI295" t="n">
        <v>12</v>
      </c>
      <c r="AJ295" t="n">
        <v>2</v>
      </c>
      <c r="AK295" t="n">
        <v>11</v>
      </c>
      <c r="AL295" t="n">
        <v>2</v>
      </c>
      <c r="AM295" t="n">
        <v>13</v>
      </c>
      <c r="AN295" t="n">
        <v>0</v>
      </c>
      <c r="AO295" t="n">
        <v>12</v>
      </c>
      <c r="AP295" t="n">
        <v>0</v>
      </c>
      <c r="AQ295" t="n">
        <v>2</v>
      </c>
      <c r="AR295" t="inlineStr">
        <is>
          <t>No</t>
        </is>
      </c>
      <c r="AS295" t="inlineStr">
        <is>
          <t>No</t>
        </is>
      </c>
      <c r="AU295">
        <f>HYPERLINK("https://creighton-primo.hosted.exlibrisgroup.com/primo-explore/search?tab=default_tab&amp;search_scope=EVERYTHING&amp;vid=01CRU&amp;lang=en_US&amp;offset=0&amp;query=any,contains,991000320549702656","Catalog Record")</f>
        <v/>
      </c>
      <c r="AV295">
        <f>HYPERLINK("http://www.worldcat.org/oclc/166887293","WorldCat Record")</f>
        <v/>
      </c>
      <c r="AW295" t="inlineStr">
        <is>
          <t>793912512:eng</t>
        </is>
      </c>
      <c r="AX295" t="inlineStr">
        <is>
          <t>166887293</t>
        </is>
      </c>
      <c r="AY295" t="inlineStr">
        <is>
          <t>991000320549702656</t>
        </is>
      </c>
      <c r="AZ295" t="inlineStr">
        <is>
          <t>991000320549702656</t>
        </is>
      </c>
      <c r="BA295" t="inlineStr">
        <is>
          <t>2271208630002656</t>
        </is>
      </c>
      <c r="BB295" t="inlineStr">
        <is>
          <t>BOOK</t>
        </is>
      </c>
      <c r="BD295" t="inlineStr">
        <is>
          <t>9780748409334</t>
        </is>
      </c>
      <c r="BE295" t="inlineStr">
        <is>
          <t>30001004238137</t>
        </is>
      </c>
      <c r="BF295" t="inlineStr">
        <is>
          <t>893354200</t>
        </is>
      </c>
    </row>
    <row r="296">
      <c r="A296" t="inlineStr">
        <is>
          <t>No</t>
        </is>
      </c>
      <c r="B296" t="inlineStr">
        <is>
          <t>CUHSL</t>
        </is>
      </c>
      <c r="C296" t="inlineStr">
        <is>
          <t>SHELVES</t>
        </is>
      </c>
      <c r="D296" t="inlineStr">
        <is>
          <t>WA 440 O1475 1989</t>
        </is>
      </c>
      <c r="E296" t="inlineStr">
        <is>
          <t>0                      WA 0440000O  1475        1989</t>
        </is>
      </c>
      <c r="F296" t="inlineStr">
        <is>
          <t>Occupational hazards in the health professions / editors, Dag K. Brune, Christer Edling.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N296" t="inlineStr">
        <is>
          <t>Boca Raton, Fla. : CRC Press, c1989.</t>
        </is>
      </c>
      <c r="O296" t="inlineStr">
        <is>
          <t>1989</t>
        </is>
      </c>
      <c r="Q296" t="inlineStr">
        <is>
          <t>eng</t>
        </is>
      </c>
      <c r="R296" t="inlineStr">
        <is>
          <t>xxu</t>
        </is>
      </c>
      <c r="T296" t="inlineStr">
        <is>
          <t xml:space="preserve">WA </t>
        </is>
      </c>
      <c r="U296" t="n">
        <v>5</v>
      </c>
      <c r="V296" t="n">
        <v>5</v>
      </c>
      <c r="W296" t="inlineStr">
        <is>
          <t>1991-05-15</t>
        </is>
      </c>
      <c r="X296" t="inlineStr">
        <is>
          <t>1991-05-15</t>
        </is>
      </c>
      <c r="Y296" t="inlineStr">
        <is>
          <t>1990-07-25</t>
        </is>
      </c>
      <c r="Z296" t="inlineStr">
        <is>
          <t>1990-07-25</t>
        </is>
      </c>
      <c r="AA296" t="n">
        <v>197</v>
      </c>
      <c r="AB296" t="n">
        <v>145</v>
      </c>
      <c r="AC296" t="n">
        <v>158</v>
      </c>
      <c r="AD296" t="n">
        <v>1</v>
      </c>
      <c r="AE296" t="n">
        <v>1</v>
      </c>
      <c r="AF296" t="n">
        <v>5</v>
      </c>
      <c r="AG296" t="n">
        <v>5</v>
      </c>
      <c r="AH296" t="n">
        <v>0</v>
      </c>
      <c r="AI296" t="n">
        <v>0</v>
      </c>
      <c r="AJ296" t="n">
        <v>2</v>
      </c>
      <c r="AK296" t="n">
        <v>2</v>
      </c>
      <c r="AL296" t="n">
        <v>3</v>
      </c>
      <c r="AM296" t="n">
        <v>3</v>
      </c>
      <c r="AN296" t="n">
        <v>0</v>
      </c>
      <c r="AO296" t="n">
        <v>0</v>
      </c>
      <c r="AP296" t="n">
        <v>0</v>
      </c>
      <c r="AQ296" t="n">
        <v>0</v>
      </c>
      <c r="AR296" t="inlineStr">
        <is>
          <t>No</t>
        </is>
      </c>
      <c r="AS296" t="inlineStr">
        <is>
          <t>No</t>
        </is>
      </c>
      <c r="AU296">
        <f>HYPERLINK("https://creighton-primo.hosted.exlibrisgroup.com/primo-explore/search?tab=default_tab&amp;search_scope=EVERYTHING&amp;vid=01CRU&amp;lang=en_US&amp;offset=0&amp;query=any,contains,991001449709702656","Catalog Record")</f>
        <v/>
      </c>
      <c r="AV296">
        <f>HYPERLINK("http://www.worldcat.org/oclc/18290039","WorldCat Record")</f>
        <v/>
      </c>
      <c r="AW296" t="inlineStr">
        <is>
          <t>365978289:eng</t>
        </is>
      </c>
      <c r="AX296" t="inlineStr">
        <is>
          <t>18290039</t>
        </is>
      </c>
      <c r="AY296" t="inlineStr">
        <is>
          <t>991001449709702656</t>
        </is>
      </c>
      <c r="AZ296" t="inlineStr">
        <is>
          <t>991001449709702656</t>
        </is>
      </c>
      <c r="BA296" t="inlineStr">
        <is>
          <t>2272538270002656</t>
        </is>
      </c>
      <c r="BB296" t="inlineStr">
        <is>
          <t>BOOK</t>
        </is>
      </c>
      <c r="BD296" t="inlineStr">
        <is>
          <t>9780849369315</t>
        </is>
      </c>
      <c r="BE296" t="inlineStr">
        <is>
          <t>30001001882556</t>
        </is>
      </c>
      <c r="BF296" t="inlineStr">
        <is>
          <t>893162017</t>
        </is>
      </c>
    </row>
    <row r="297">
      <c r="A297" t="inlineStr">
        <is>
          <t>No</t>
        </is>
      </c>
      <c r="B297" t="inlineStr">
        <is>
          <t>CUHSL</t>
        </is>
      </c>
      <c r="C297" t="inlineStr">
        <is>
          <t>SHELVES</t>
        </is>
      </c>
      <c r="D297" t="inlineStr">
        <is>
          <t>WA440 O149 2006</t>
        </is>
      </c>
      <c r="E297" t="inlineStr">
        <is>
          <t>0                      WA 0440000O  149         2006</t>
        </is>
      </c>
      <c r="F297" t="inlineStr">
        <is>
          <t>Occupational and environmental health : recognizing and preventing disease and injury / [edited by] Barry S. Levy ... [et al.].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N297" t="inlineStr">
        <is>
          <t>Philadelphia : Lippincott Williams &amp; Wilkins, c2006.</t>
        </is>
      </c>
      <c r="O297" t="inlineStr">
        <is>
          <t>2006</t>
        </is>
      </c>
      <c r="P297" t="inlineStr">
        <is>
          <t>5th ed.</t>
        </is>
      </c>
      <c r="Q297" t="inlineStr">
        <is>
          <t>eng</t>
        </is>
      </c>
      <c r="R297" t="inlineStr">
        <is>
          <t>pau</t>
        </is>
      </c>
      <c r="T297" t="inlineStr">
        <is>
          <t xml:space="preserve">WA </t>
        </is>
      </c>
      <c r="U297" t="n">
        <v>1</v>
      </c>
      <c r="V297" t="n">
        <v>1</v>
      </c>
      <c r="W297" t="inlineStr">
        <is>
          <t>2009-08-14</t>
        </is>
      </c>
      <c r="X297" t="inlineStr">
        <is>
          <t>2009-08-14</t>
        </is>
      </c>
      <c r="Y297" t="inlineStr">
        <is>
          <t>2006-10-26</t>
        </is>
      </c>
      <c r="Z297" t="inlineStr">
        <is>
          <t>2006-10-26</t>
        </is>
      </c>
      <c r="AA297" t="n">
        <v>281</v>
      </c>
      <c r="AB297" t="n">
        <v>188</v>
      </c>
      <c r="AC297" t="n">
        <v>237</v>
      </c>
      <c r="AD297" t="n">
        <v>1</v>
      </c>
      <c r="AE297" t="n">
        <v>1</v>
      </c>
      <c r="AF297" t="n">
        <v>4</v>
      </c>
      <c r="AG297" t="n">
        <v>8</v>
      </c>
      <c r="AH297" t="n">
        <v>1</v>
      </c>
      <c r="AI297" t="n">
        <v>1</v>
      </c>
      <c r="AJ297" t="n">
        <v>1</v>
      </c>
      <c r="AK297" t="n">
        <v>4</v>
      </c>
      <c r="AL297" t="n">
        <v>2</v>
      </c>
      <c r="AM297" t="n">
        <v>4</v>
      </c>
      <c r="AN297" t="n">
        <v>0</v>
      </c>
      <c r="AO297" t="n">
        <v>0</v>
      </c>
      <c r="AP297" t="n">
        <v>0</v>
      </c>
      <c r="AQ297" t="n">
        <v>0</v>
      </c>
      <c r="AR297" t="inlineStr">
        <is>
          <t>No</t>
        </is>
      </c>
      <c r="AS297" t="inlineStr">
        <is>
          <t>No</t>
        </is>
      </c>
      <c r="AU297">
        <f>HYPERLINK("https://creighton-primo.hosted.exlibrisgroup.com/primo-explore/search?tab=default_tab&amp;search_scope=EVERYTHING&amp;vid=01CRU&amp;lang=en_US&amp;offset=0&amp;query=any,contains,991000561099702656","Catalog Record")</f>
        <v/>
      </c>
      <c r="AV297">
        <f>HYPERLINK("http://www.worldcat.org/oclc/61262344","WorldCat Record")</f>
        <v/>
      </c>
      <c r="AW297" t="inlineStr">
        <is>
          <t>8960947711:eng</t>
        </is>
      </c>
      <c r="AX297" t="inlineStr">
        <is>
          <t>61262344</t>
        </is>
      </c>
      <c r="AY297" t="inlineStr">
        <is>
          <t>991000561099702656</t>
        </is>
      </c>
      <c r="AZ297" t="inlineStr">
        <is>
          <t>991000561099702656</t>
        </is>
      </c>
      <c r="BA297" t="inlineStr">
        <is>
          <t>2268821470002656</t>
        </is>
      </c>
      <c r="BB297" t="inlineStr">
        <is>
          <t>BOOK</t>
        </is>
      </c>
      <c r="BD297" t="inlineStr">
        <is>
          <t>9780781755511</t>
        </is>
      </c>
      <c r="BE297" t="inlineStr">
        <is>
          <t>30001005176161</t>
        </is>
      </c>
      <c r="BF297" t="inlineStr">
        <is>
          <t>893742650</t>
        </is>
      </c>
    </row>
    <row r="298">
      <c r="A298" t="inlineStr">
        <is>
          <t>No</t>
        </is>
      </c>
      <c r="B298" t="inlineStr">
        <is>
          <t>CUHSL</t>
        </is>
      </c>
      <c r="C298" t="inlineStr">
        <is>
          <t>SHELVES</t>
        </is>
      </c>
      <c r="D298" t="inlineStr">
        <is>
          <t>WA 465 B258r 1982</t>
        </is>
      </c>
      <c r="E298" t="inlineStr">
        <is>
          <t>0                      WA 0465000B  258r        1982</t>
        </is>
      </c>
      <c r="F298" t="inlineStr">
        <is>
          <t>Reproductive hazards of industrial chemicals : an evaluation of animal and human data / Susan M. Barlow and Frank M. Sullivan.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Barlow, Susan M.</t>
        </is>
      </c>
      <c r="N298" t="inlineStr">
        <is>
          <t>London ; New York : Academic Press, 1982.</t>
        </is>
      </c>
      <c r="O298" t="inlineStr">
        <is>
          <t>1982</t>
        </is>
      </c>
      <c r="Q298" t="inlineStr">
        <is>
          <t>eng</t>
        </is>
      </c>
      <c r="R298" t="inlineStr">
        <is>
          <t>enk</t>
        </is>
      </c>
      <c r="T298" t="inlineStr">
        <is>
          <t xml:space="preserve">WA </t>
        </is>
      </c>
      <c r="U298" t="n">
        <v>4</v>
      </c>
      <c r="V298" t="n">
        <v>4</v>
      </c>
      <c r="W298" t="inlineStr">
        <is>
          <t>1992-12-11</t>
        </is>
      </c>
      <c r="X298" t="inlineStr">
        <is>
          <t>1992-12-11</t>
        </is>
      </c>
      <c r="Y298" t="inlineStr">
        <is>
          <t>1988-01-06</t>
        </is>
      </c>
      <c r="Z298" t="inlineStr">
        <is>
          <t>1988-01-06</t>
        </is>
      </c>
      <c r="AA298" t="n">
        <v>272</v>
      </c>
      <c r="AB298" t="n">
        <v>202</v>
      </c>
      <c r="AC298" t="n">
        <v>204</v>
      </c>
      <c r="AD298" t="n">
        <v>1</v>
      </c>
      <c r="AE298" t="n">
        <v>1</v>
      </c>
      <c r="AF298" t="n">
        <v>2</v>
      </c>
      <c r="AG298" t="n">
        <v>2</v>
      </c>
      <c r="AH298" t="n">
        <v>0</v>
      </c>
      <c r="AI298" t="n">
        <v>0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HYPERLINK("http://catalog.hathitrust.org/Record/000109024","HathiTrust Record")</f>
        <v/>
      </c>
      <c r="AU298">
        <f>HYPERLINK("https://creighton-primo.hosted.exlibrisgroup.com/primo-explore/search?tab=default_tab&amp;search_scope=EVERYTHING&amp;vid=01CRU&amp;lang=en_US&amp;offset=0&amp;query=any,contains,991000729779702656","Catalog Record")</f>
        <v/>
      </c>
      <c r="AV298">
        <f>HYPERLINK("http://www.worldcat.org/oclc/9002760","WorldCat Record")</f>
        <v/>
      </c>
      <c r="AW298" t="inlineStr">
        <is>
          <t>836669712:eng</t>
        </is>
      </c>
      <c r="AX298" t="inlineStr">
        <is>
          <t>9002760</t>
        </is>
      </c>
      <c r="AY298" t="inlineStr">
        <is>
          <t>991000729779702656</t>
        </is>
      </c>
      <c r="AZ298" t="inlineStr">
        <is>
          <t>991000729779702656</t>
        </is>
      </c>
      <c r="BA298" t="inlineStr">
        <is>
          <t>2256427820002656</t>
        </is>
      </c>
      <c r="BB298" t="inlineStr">
        <is>
          <t>BOOK</t>
        </is>
      </c>
      <c r="BD298" t="inlineStr">
        <is>
          <t>9780120789603</t>
        </is>
      </c>
      <c r="BE298" t="inlineStr">
        <is>
          <t>30001000707820</t>
        </is>
      </c>
      <c r="BF298" t="inlineStr">
        <is>
          <t>893735446</t>
        </is>
      </c>
    </row>
    <row r="299">
      <c r="A299" t="inlineStr">
        <is>
          <t>No</t>
        </is>
      </c>
      <c r="B299" t="inlineStr">
        <is>
          <t>CUHSL</t>
        </is>
      </c>
      <c r="C299" t="inlineStr">
        <is>
          <t>SHELVES</t>
        </is>
      </c>
      <c r="D299" t="inlineStr">
        <is>
          <t>WA 465 H217h 1983</t>
        </is>
      </c>
      <c r="E299" t="inlineStr">
        <is>
          <t>0                      WA 0465000H  217h        1983</t>
        </is>
      </c>
      <c r="F299" t="inlineStr">
        <is>
          <t>Hamilton and Hardy's Industrial toxicology.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Hamilton, Alice, 1869-1970.</t>
        </is>
      </c>
      <c r="N299" t="inlineStr">
        <is>
          <t>Boston : Wright-PSG, c1983.</t>
        </is>
      </c>
      <c r="O299" t="inlineStr">
        <is>
          <t>1983</t>
        </is>
      </c>
      <c r="P299" t="inlineStr">
        <is>
          <t>4th ed. / revised by Asher J. Finkel.</t>
        </is>
      </c>
      <c r="Q299" t="inlineStr">
        <is>
          <t>eng</t>
        </is>
      </c>
      <c r="R299" t="inlineStr">
        <is>
          <t>xxu</t>
        </is>
      </c>
      <c r="T299" t="inlineStr">
        <is>
          <t xml:space="preserve">WA </t>
        </is>
      </c>
      <c r="U299" t="n">
        <v>1</v>
      </c>
      <c r="V299" t="n">
        <v>1</v>
      </c>
      <c r="W299" t="inlineStr">
        <is>
          <t>1993-01-20</t>
        </is>
      </c>
      <c r="X299" t="inlineStr">
        <is>
          <t>1993-01-20</t>
        </is>
      </c>
      <c r="Y299" t="inlineStr">
        <is>
          <t>1988-02-29</t>
        </is>
      </c>
      <c r="Z299" t="inlineStr">
        <is>
          <t>1988-02-29</t>
        </is>
      </c>
      <c r="AA299" t="n">
        <v>345</v>
      </c>
      <c r="AB299" t="n">
        <v>279</v>
      </c>
      <c r="AC299" t="n">
        <v>816</v>
      </c>
      <c r="AD299" t="n">
        <v>1</v>
      </c>
      <c r="AE299" t="n">
        <v>7</v>
      </c>
      <c r="AF299" t="n">
        <v>2</v>
      </c>
      <c r="AG299" t="n">
        <v>27</v>
      </c>
      <c r="AH299" t="n">
        <v>0</v>
      </c>
      <c r="AI299" t="n">
        <v>9</v>
      </c>
      <c r="AJ299" t="n">
        <v>2</v>
      </c>
      <c r="AK299" t="n">
        <v>9</v>
      </c>
      <c r="AL299" t="n">
        <v>1</v>
      </c>
      <c r="AM299" t="n">
        <v>8</v>
      </c>
      <c r="AN299" t="n">
        <v>0</v>
      </c>
      <c r="AO299" t="n">
        <v>5</v>
      </c>
      <c r="AP299" t="n">
        <v>0</v>
      </c>
      <c r="AQ299" t="n">
        <v>1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HYPERLINK("http://catalog.hathitrust.org/Record/000106349","HathiTrust Record")</f>
        <v/>
      </c>
      <c r="AU299">
        <f>HYPERLINK("https://creighton-primo.hosted.exlibrisgroup.com/primo-explore/search?tab=default_tab&amp;search_scope=EVERYTHING&amp;vid=01CRU&amp;lang=en_US&amp;offset=0&amp;query=any,contains,991000729969702656","Catalog Record")</f>
        <v/>
      </c>
      <c r="AV299">
        <f>HYPERLINK("http://www.worldcat.org/oclc/8475977","WorldCat Record")</f>
        <v/>
      </c>
      <c r="AW299" t="inlineStr">
        <is>
          <t>3855438801:eng</t>
        </is>
      </c>
      <c r="AX299" t="inlineStr">
        <is>
          <t>8475977</t>
        </is>
      </c>
      <c r="AY299" t="inlineStr">
        <is>
          <t>991000729969702656</t>
        </is>
      </c>
      <c r="AZ299" t="inlineStr">
        <is>
          <t>991000729969702656</t>
        </is>
      </c>
      <c r="BA299" t="inlineStr">
        <is>
          <t>2271499630002656</t>
        </is>
      </c>
      <c r="BB299" t="inlineStr">
        <is>
          <t>BOOK</t>
        </is>
      </c>
      <c r="BD299" t="inlineStr">
        <is>
          <t>9780723670278</t>
        </is>
      </c>
      <c r="BE299" t="inlineStr">
        <is>
          <t>30001000707853</t>
        </is>
      </c>
      <c r="BF299" t="inlineStr">
        <is>
          <t>893167639</t>
        </is>
      </c>
    </row>
    <row r="300">
      <c r="A300" t="inlineStr">
        <is>
          <t>No</t>
        </is>
      </c>
      <c r="B300" t="inlineStr">
        <is>
          <t>CUHSL</t>
        </is>
      </c>
      <c r="C300" t="inlineStr">
        <is>
          <t>SHELVES</t>
        </is>
      </c>
      <c r="D300" t="inlineStr">
        <is>
          <t>WA 465 I437 1985</t>
        </is>
      </c>
      <c r="E300" t="inlineStr">
        <is>
          <t>0                      WA 0465000I  437         1985</t>
        </is>
      </c>
      <c r="F300" t="inlineStr">
        <is>
          <t>Industrial toxicology, safety and health applications in the workplace / editors, James L. Burson, Phillip L. Williams.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N300" t="inlineStr">
        <is>
          <t>Belmont, Ca. : Lifetime Learning Publications, c1985.</t>
        </is>
      </c>
      <c r="O300" t="inlineStr">
        <is>
          <t>1985</t>
        </is>
      </c>
      <c r="Q300" t="inlineStr">
        <is>
          <t>eng</t>
        </is>
      </c>
      <c r="R300" t="inlineStr">
        <is>
          <t xml:space="preserve">xx </t>
        </is>
      </c>
      <c r="T300" t="inlineStr">
        <is>
          <t xml:space="preserve">WA </t>
        </is>
      </c>
      <c r="U300" t="n">
        <v>3</v>
      </c>
      <c r="V300" t="n">
        <v>3</v>
      </c>
      <c r="W300" t="inlineStr">
        <is>
          <t>1994-08-30</t>
        </is>
      </c>
      <c r="X300" t="inlineStr">
        <is>
          <t>1994-08-30</t>
        </is>
      </c>
      <c r="Y300" t="inlineStr">
        <is>
          <t>1988-01-07</t>
        </is>
      </c>
      <c r="Z300" t="inlineStr">
        <is>
          <t>1988-01-07</t>
        </is>
      </c>
      <c r="AA300" t="n">
        <v>229</v>
      </c>
      <c r="AB300" t="n">
        <v>198</v>
      </c>
      <c r="AC300" t="n">
        <v>281</v>
      </c>
      <c r="AD300" t="n">
        <v>1</v>
      </c>
      <c r="AE300" t="n">
        <v>1</v>
      </c>
      <c r="AF300" t="n">
        <v>3</v>
      </c>
      <c r="AG300" t="n">
        <v>6</v>
      </c>
      <c r="AH300" t="n">
        <v>0</v>
      </c>
      <c r="AI300" t="n">
        <v>1</v>
      </c>
      <c r="AJ300" t="n">
        <v>2</v>
      </c>
      <c r="AK300" t="n">
        <v>2</v>
      </c>
      <c r="AL300" t="n">
        <v>2</v>
      </c>
      <c r="AM300" t="n">
        <v>2</v>
      </c>
      <c r="AN300" t="n">
        <v>0</v>
      </c>
      <c r="AO300" t="n">
        <v>0</v>
      </c>
      <c r="AP300" t="n">
        <v>0</v>
      </c>
      <c r="AQ300" t="n">
        <v>2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HYPERLINK("https://creighton-primo.hosted.exlibrisgroup.com/primo-explore/search?tab=default_tab&amp;search_scope=EVERYTHING&amp;vid=01CRU&amp;lang=en_US&amp;offset=0&amp;query=any,contains,991000729929702656","Catalog Record")</f>
        <v/>
      </c>
      <c r="AV300">
        <f>HYPERLINK("http://www.worldcat.org/oclc/10606041","WorldCat Record")</f>
        <v/>
      </c>
      <c r="AW300" t="inlineStr">
        <is>
          <t>836712451:eng</t>
        </is>
      </c>
      <c r="AX300" t="inlineStr">
        <is>
          <t>10606041</t>
        </is>
      </c>
      <c r="AY300" t="inlineStr">
        <is>
          <t>991000729929702656</t>
        </is>
      </c>
      <c r="AZ300" t="inlineStr">
        <is>
          <t>991000729929702656</t>
        </is>
      </c>
      <c r="BA300" t="inlineStr">
        <is>
          <t>2259058100002656</t>
        </is>
      </c>
      <c r="BB300" t="inlineStr">
        <is>
          <t>BOOK</t>
        </is>
      </c>
      <c r="BD300" t="inlineStr">
        <is>
          <t>9780534027070</t>
        </is>
      </c>
      <c r="BE300" t="inlineStr">
        <is>
          <t>30001000707861</t>
        </is>
      </c>
      <c r="BF300" t="inlineStr">
        <is>
          <t>893731005</t>
        </is>
      </c>
    </row>
    <row r="301">
      <c r="A301" t="inlineStr">
        <is>
          <t>No</t>
        </is>
      </c>
      <c r="B301" t="inlineStr">
        <is>
          <t>CUHSL</t>
        </is>
      </c>
      <c r="C301" t="inlineStr">
        <is>
          <t>SHELVES</t>
        </is>
      </c>
      <c r="D301" t="inlineStr">
        <is>
          <t>WA 475 N273f 1998</t>
        </is>
      </c>
      <c r="E301" t="inlineStr">
        <is>
          <t>0                      WA 0475000N  273f        1998</t>
        </is>
      </c>
      <c r="F301" t="inlineStr">
        <is>
          <t>Facing and fighting fatigue : a practical approach / Benjamin H. Natelson.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1</t>
        </is>
      </c>
      <c r="M301" t="inlineStr">
        <is>
          <t>Natelson, Benjamin H.</t>
        </is>
      </c>
      <c r="N301" t="inlineStr">
        <is>
          <t>New Haven : Yale University Press, c1998.</t>
        </is>
      </c>
      <c r="O301" t="inlineStr">
        <is>
          <t>1998</t>
        </is>
      </c>
      <c r="Q301" t="inlineStr">
        <is>
          <t>eng</t>
        </is>
      </c>
      <c r="R301" t="inlineStr">
        <is>
          <t>ctu</t>
        </is>
      </c>
      <c r="T301" t="inlineStr">
        <is>
          <t xml:space="preserve">WA </t>
        </is>
      </c>
      <c r="U301" t="n">
        <v>1</v>
      </c>
      <c r="V301" t="n">
        <v>1</v>
      </c>
      <c r="W301" t="inlineStr">
        <is>
          <t>2000-03-06</t>
        </is>
      </c>
      <c r="X301" t="inlineStr">
        <is>
          <t>2000-03-06</t>
        </is>
      </c>
      <c r="Y301" t="inlineStr">
        <is>
          <t>2000-03-03</t>
        </is>
      </c>
      <c r="Z301" t="inlineStr">
        <is>
          <t>2000-03-03</t>
        </is>
      </c>
      <c r="AA301" t="n">
        <v>541</v>
      </c>
      <c r="AB301" t="n">
        <v>485</v>
      </c>
      <c r="AC301" t="n">
        <v>1598</v>
      </c>
      <c r="AD301" t="n">
        <v>3</v>
      </c>
      <c r="AE301" t="n">
        <v>15</v>
      </c>
      <c r="AF301" t="n">
        <v>7</v>
      </c>
      <c r="AG301" t="n">
        <v>35</v>
      </c>
      <c r="AH301" t="n">
        <v>3</v>
      </c>
      <c r="AI301" t="n">
        <v>12</v>
      </c>
      <c r="AJ301" t="n">
        <v>0</v>
      </c>
      <c r="AK301" t="n">
        <v>6</v>
      </c>
      <c r="AL301" t="n">
        <v>3</v>
      </c>
      <c r="AM301" t="n">
        <v>9</v>
      </c>
      <c r="AN301" t="n">
        <v>2</v>
      </c>
      <c r="AO301" t="n">
        <v>13</v>
      </c>
      <c r="AP301" t="n">
        <v>0</v>
      </c>
      <c r="AQ301" t="n">
        <v>1</v>
      </c>
      <c r="AR301" t="inlineStr">
        <is>
          <t>No</t>
        </is>
      </c>
      <c r="AS301" t="inlineStr">
        <is>
          <t>No</t>
        </is>
      </c>
      <c r="AU301">
        <f>HYPERLINK("https://creighton-primo.hosted.exlibrisgroup.com/primo-explore/search?tab=default_tab&amp;search_scope=EVERYTHING&amp;vid=01CRU&amp;lang=en_US&amp;offset=0&amp;query=any,contains,991001441369702656","Catalog Record")</f>
        <v/>
      </c>
      <c r="AV301">
        <f>HYPERLINK("http://www.worldcat.org/oclc/37341468","WorldCat Record")</f>
        <v/>
      </c>
      <c r="AW301" t="inlineStr">
        <is>
          <t>799974085:eng</t>
        </is>
      </c>
      <c r="AX301" t="inlineStr">
        <is>
          <t>37341468</t>
        </is>
      </c>
      <c r="AY301" t="inlineStr">
        <is>
          <t>991001441369702656</t>
        </is>
      </c>
      <c r="AZ301" t="inlineStr">
        <is>
          <t>991001441369702656</t>
        </is>
      </c>
      <c r="BA301" t="inlineStr">
        <is>
          <t>2262627940002656</t>
        </is>
      </c>
      <c r="BB301" t="inlineStr">
        <is>
          <t>BOOK</t>
        </is>
      </c>
      <c r="BD301" t="inlineStr">
        <is>
          <t>9780300068481</t>
        </is>
      </c>
      <c r="BE301" t="inlineStr">
        <is>
          <t>30001003882380</t>
        </is>
      </c>
      <c r="BF301" t="inlineStr">
        <is>
          <t>893546719</t>
        </is>
      </c>
    </row>
    <row r="302">
      <c r="A302" t="inlineStr">
        <is>
          <t>No</t>
        </is>
      </c>
      <c r="B302" t="inlineStr">
        <is>
          <t>CUHSL</t>
        </is>
      </c>
      <c r="C302" t="inlineStr">
        <is>
          <t>SHELVES</t>
        </is>
      </c>
      <c r="D302" t="inlineStr">
        <is>
          <t>WA 475 P537 1991</t>
        </is>
      </c>
      <c r="E302" t="inlineStr">
        <is>
          <t>0                      WA 0475000P  537         1991</t>
        </is>
      </c>
      <c r="F302" t="inlineStr">
        <is>
          <t>Ergonomics, work, and health / Stephen Pheasant.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Pheasant, Stephen.</t>
        </is>
      </c>
      <c r="N302" t="inlineStr">
        <is>
          <t>Gaithersburg, Md. : Aspen Publishers, c1991.</t>
        </is>
      </c>
      <c r="O302" t="inlineStr">
        <is>
          <t>1991</t>
        </is>
      </c>
      <c r="Q302" t="inlineStr">
        <is>
          <t>eng</t>
        </is>
      </c>
      <c r="R302" t="inlineStr">
        <is>
          <t>mdu</t>
        </is>
      </c>
      <c r="T302" t="inlineStr">
        <is>
          <t xml:space="preserve">WA </t>
        </is>
      </c>
      <c r="U302" t="n">
        <v>37</v>
      </c>
      <c r="V302" t="n">
        <v>37</v>
      </c>
      <c r="W302" t="inlineStr">
        <is>
          <t>2005-04-02</t>
        </is>
      </c>
      <c r="X302" t="inlineStr">
        <is>
          <t>2005-04-02</t>
        </is>
      </c>
      <c r="Y302" t="inlineStr">
        <is>
          <t>1992-11-20</t>
        </is>
      </c>
      <c r="Z302" t="inlineStr">
        <is>
          <t>1992-11-20</t>
        </is>
      </c>
      <c r="AA302" t="n">
        <v>267</v>
      </c>
      <c r="AB302" t="n">
        <v>233</v>
      </c>
      <c r="AC302" t="n">
        <v>262</v>
      </c>
      <c r="AD302" t="n">
        <v>2</v>
      </c>
      <c r="AE302" t="n">
        <v>2</v>
      </c>
      <c r="AF302" t="n">
        <v>8</v>
      </c>
      <c r="AG302" t="n">
        <v>8</v>
      </c>
      <c r="AH302" t="n">
        <v>4</v>
      </c>
      <c r="AI302" t="n">
        <v>4</v>
      </c>
      <c r="AJ302" t="n">
        <v>2</v>
      </c>
      <c r="AK302" t="n">
        <v>2</v>
      </c>
      <c r="AL302" t="n">
        <v>5</v>
      </c>
      <c r="AM302" t="n">
        <v>5</v>
      </c>
      <c r="AN302" t="n">
        <v>1</v>
      </c>
      <c r="AO302" t="n">
        <v>1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HYPERLINK("https://creighton-primo.hosted.exlibrisgroup.com/primo-explore/search?tab=default_tab&amp;search_scope=EVERYTHING&amp;vid=01CRU&amp;lang=en_US&amp;offset=0&amp;query=any,contains,991001345059702656","Catalog Record")</f>
        <v/>
      </c>
      <c r="AV302">
        <f>HYPERLINK("http://www.worldcat.org/oclc/23383915","WorldCat Record")</f>
        <v/>
      </c>
      <c r="AW302" t="inlineStr">
        <is>
          <t>24615716:eng</t>
        </is>
      </c>
      <c r="AX302" t="inlineStr">
        <is>
          <t>23383915</t>
        </is>
      </c>
      <c r="AY302" t="inlineStr">
        <is>
          <t>991001345059702656</t>
        </is>
      </c>
      <c r="AZ302" t="inlineStr">
        <is>
          <t>991001345059702656</t>
        </is>
      </c>
      <c r="BA302" t="inlineStr">
        <is>
          <t>2268187410002656</t>
        </is>
      </c>
      <c r="BB302" t="inlineStr">
        <is>
          <t>BOOK</t>
        </is>
      </c>
      <c r="BD302" t="inlineStr">
        <is>
          <t>9780871893208</t>
        </is>
      </c>
      <c r="BE302" t="inlineStr">
        <is>
          <t>30001002456913</t>
        </is>
      </c>
      <c r="BF302" t="inlineStr">
        <is>
          <t>893541272</t>
        </is>
      </c>
    </row>
    <row r="303">
      <c r="A303" t="inlineStr">
        <is>
          <t>No</t>
        </is>
      </c>
      <c r="B303" t="inlineStr">
        <is>
          <t>CUHSL</t>
        </is>
      </c>
      <c r="C303" t="inlineStr">
        <is>
          <t>SHELVES</t>
        </is>
      </c>
      <c r="D303" t="inlineStr">
        <is>
          <t>WA 485 C737 1995</t>
        </is>
      </c>
      <c r="E303" t="inlineStr">
        <is>
          <t>0                      WA 0485000C  737         1995</t>
        </is>
      </c>
      <c r="F303" t="inlineStr">
        <is>
          <t>The comprehensive guide to work injury management / edited by Susan J. Isernhagen.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Gaithersburg, Md. : Aspen Publishers, c1995.</t>
        </is>
      </c>
      <c r="O303" t="inlineStr">
        <is>
          <t>1995</t>
        </is>
      </c>
      <c r="Q303" t="inlineStr">
        <is>
          <t>eng</t>
        </is>
      </c>
      <c r="R303" t="inlineStr">
        <is>
          <t>mdu</t>
        </is>
      </c>
      <c r="T303" t="inlineStr">
        <is>
          <t xml:space="preserve">WA </t>
        </is>
      </c>
      <c r="U303" t="n">
        <v>19</v>
      </c>
      <c r="V303" t="n">
        <v>19</v>
      </c>
      <c r="W303" t="inlineStr">
        <is>
          <t>2004-10-14</t>
        </is>
      </c>
      <c r="X303" t="inlineStr">
        <is>
          <t>2004-10-14</t>
        </is>
      </c>
      <c r="Y303" t="inlineStr">
        <is>
          <t>1996-10-22</t>
        </is>
      </c>
      <c r="Z303" t="inlineStr">
        <is>
          <t>1996-10-22</t>
        </is>
      </c>
      <c r="AA303" t="n">
        <v>233</v>
      </c>
      <c r="AB303" t="n">
        <v>193</v>
      </c>
      <c r="AC303" t="n">
        <v>202</v>
      </c>
      <c r="AD303" t="n">
        <v>1</v>
      </c>
      <c r="AE303" t="n">
        <v>1</v>
      </c>
      <c r="AF303" t="n">
        <v>7</v>
      </c>
      <c r="AG303" t="n">
        <v>7</v>
      </c>
      <c r="AH303" t="n">
        <v>4</v>
      </c>
      <c r="AI303" t="n">
        <v>4</v>
      </c>
      <c r="AJ303" t="n">
        <v>2</v>
      </c>
      <c r="AK303" t="n">
        <v>2</v>
      </c>
      <c r="AL303" t="n">
        <v>3</v>
      </c>
      <c r="AM303" t="n">
        <v>3</v>
      </c>
      <c r="AN303" t="n">
        <v>0</v>
      </c>
      <c r="AO303" t="n">
        <v>0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HYPERLINK("http://catalog.hathitrust.org/Record/002896377","HathiTrust Record")</f>
        <v/>
      </c>
      <c r="AU303">
        <f>HYPERLINK("https://creighton-primo.hosted.exlibrisgroup.com/primo-explore/search?tab=default_tab&amp;search_scope=EVERYTHING&amp;vid=01CRU&amp;lang=en_US&amp;offset=0&amp;query=any,contains,991000849139702656","Catalog Record")</f>
        <v/>
      </c>
      <c r="AV303">
        <f>HYPERLINK("http://www.worldcat.org/oclc/30508806","WorldCat Record")</f>
        <v/>
      </c>
      <c r="AW303" t="inlineStr">
        <is>
          <t>55822299:eng</t>
        </is>
      </c>
      <c r="AX303" t="inlineStr">
        <is>
          <t>30508806</t>
        </is>
      </c>
      <c r="AY303" t="inlineStr">
        <is>
          <t>991000849139702656</t>
        </is>
      </c>
      <c r="AZ303" t="inlineStr">
        <is>
          <t>991000849139702656</t>
        </is>
      </c>
      <c r="BA303" t="inlineStr">
        <is>
          <t>2272569700002656</t>
        </is>
      </c>
      <c r="BB303" t="inlineStr">
        <is>
          <t>BOOK</t>
        </is>
      </c>
      <c r="BD303" t="inlineStr">
        <is>
          <t>9780834205581</t>
        </is>
      </c>
      <c r="BE303" t="inlineStr">
        <is>
          <t>30001003473073</t>
        </is>
      </c>
      <c r="BF303" t="inlineStr">
        <is>
          <t>893120582</t>
        </is>
      </c>
    </row>
    <row r="304">
      <c r="A304" t="inlineStr">
        <is>
          <t>No</t>
        </is>
      </c>
      <c r="B304" t="inlineStr">
        <is>
          <t>CUHSL</t>
        </is>
      </c>
      <c r="C304" t="inlineStr">
        <is>
          <t>SHELVES</t>
        </is>
      </c>
      <c r="D304" t="inlineStr">
        <is>
          <t>WA 485 M165e 1990</t>
        </is>
      </c>
      <c r="E304" t="inlineStr">
        <is>
          <t>0                      WA 0485000M  165e        1990</t>
        </is>
      </c>
      <c r="F304" t="inlineStr">
        <is>
          <t>The ergonomics manual : guidebook for managers, supervisors, and ergonomic team members / [written by Dan MacLeod, Philip Jacobs, Nancy Larson ; assistance, Michelle Jacobs ; contributing editors, Richard A. Pollock, H. Duane Saunders ; illustrations, Mary Albury-Noyes].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MacLeod, Dan.</t>
        </is>
      </c>
      <c r="N304" t="inlineStr">
        <is>
          <t>Minneapolis, Minn. : ErgoTech : Comprehensive Loss Management, c1990.</t>
        </is>
      </c>
      <c r="O304" t="inlineStr">
        <is>
          <t>1990</t>
        </is>
      </c>
      <c r="Q304" t="inlineStr">
        <is>
          <t>eng</t>
        </is>
      </c>
      <c r="R304" t="inlineStr">
        <is>
          <t>mnu</t>
        </is>
      </c>
      <c r="T304" t="inlineStr">
        <is>
          <t xml:space="preserve">WA </t>
        </is>
      </c>
      <c r="U304" t="n">
        <v>28</v>
      </c>
      <c r="V304" t="n">
        <v>28</v>
      </c>
      <c r="W304" t="inlineStr">
        <is>
          <t>2007-10-11</t>
        </is>
      </c>
      <c r="X304" t="inlineStr">
        <is>
          <t>2007-10-11</t>
        </is>
      </c>
      <c r="Y304" t="inlineStr">
        <is>
          <t>1993-06-18</t>
        </is>
      </c>
      <c r="Z304" t="inlineStr">
        <is>
          <t>1993-06-18</t>
        </is>
      </c>
      <c r="AA304" t="n">
        <v>27</v>
      </c>
      <c r="AB304" t="n">
        <v>20</v>
      </c>
      <c r="AC304" t="n">
        <v>20</v>
      </c>
      <c r="AD304" t="n">
        <v>1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No</t>
        </is>
      </c>
      <c r="AU304">
        <f>HYPERLINK("https://creighton-primo.hosted.exlibrisgroup.com/primo-explore/search?tab=default_tab&amp;search_scope=EVERYTHING&amp;vid=01CRU&amp;lang=en_US&amp;offset=0&amp;query=any,contains,991001509439702656","Catalog Record")</f>
        <v/>
      </c>
      <c r="AV304">
        <f>HYPERLINK("http://www.worldcat.org/oclc/26910047","WorldCat Record")</f>
        <v/>
      </c>
      <c r="AW304" t="inlineStr">
        <is>
          <t>4193858438:eng</t>
        </is>
      </c>
      <c r="AX304" t="inlineStr">
        <is>
          <t>26910047</t>
        </is>
      </c>
      <c r="AY304" t="inlineStr">
        <is>
          <t>991001509439702656</t>
        </is>
      </c>
      <c r="AZ304" t="inlineStr">
        <is>
          <t>991001509439702656</t>
        </is>
      </c>
      <c r="BA304" t="inlineStr">
        <is>
          <t>2258690840002656</t>
        </is>
      </c>
      <c r="BB304" t="inlineStr">
        <is>
          <t>BOOK</t>
        </is>
      </c>
      <c r="BD304" t="inlineStr">
        <is>
          <t>9780961646196</t>
        </is>
      </c>
      <c r="BE304" t="inlineStr">
        <is>
          <t>30001002600502</t>
        </is>
      </c>
      <c r="BF304" t="inlineStr">
        <is>
          <t>893455863</t>
        </is>
      </c>
    </row>
    <row r="305">
      <c r="A305" t="inlineStr">
        <is>
          <t>No</t>
        </is>
      </c>
      <c r="B305" t="inlineStr">
        <is>
          <t>CUHSL</t>
        </is>
      </c>
      <c r="C305" t="inlineStr">
        <is>
          <t>SHELVES</t>
        </is>
      </c>
      <c r="D305" t="inlineStr">
        <is>
          <t>WA485 P9443 2003</t>
        </is>
      </c>
      <c r="E305" t="inlineStr">
        <is>
          <t>0                      WA 0485000P  9443        2003</t>
        </is>
      </c>
      <c r="F305" t="inlineStr">
        <is>
          <t>Preventing and managing disabling injury at work / edited by Terrence Sullivan and John Frank.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N305" t="inlineStr">
        <is>
          <t>London ; New York : Taylor &amp; Francis, 2003.</t>
        </is>
      </c>
      <c r="O305" t="inlineStr">
        <is>
          <t>2016</t>
        </is>
      </c>
      <c r="Q305" t="inlineStr">
        <is>
          <t>eng</t>
        </is>
      </c>
      <c r="R305" t="inlineStr">
        <is>
          <t xml:space="preserve">xx </t>
        </is>
      </c>
      <c r="T305" t="inlineStr">
        <is>
          <t xml:space="preserve">WA </t>
        </is>
      </c>
      <c r="U305" t="n">
        <v>0</v>
      </c>
      <c r="V305" t="n">
        <v>0</v>
      </c>
      <c r="W305" t="inlineStr">
        <is>
          <t>2004-02-10</t>
        </is>
      </c>
      <c r="X305" t="inlineStr">
        <is>
          <t>2004-02-10</t>
        </is>
      </c>
      <c r="Y305" t="inlineStr">
        <is>
          <t>2004-02-06</t>
        </is>
      </c>
      <c r="Z305" t="inlineStr">
        <is>
          <t>2004-02-06</t>
        </is>
      </c>
      <c r="AA305" t="n">
        <v>136</v>
      </c>
      <c r="AB305" t="n">
        <v>86</v>
      </c>
      <c r="AC305" t="n">
        <v>110</v>
      </c>
      <c r="AD305" t="n">
        <v>2</v>
      </c>
      <c r="AE305" t="n">
        <v>2</v>
      </c>
      <c r="AF305" t="n">
        <v>2</v>
      </c>
      <c r="AG305" t="n">
        <v>2</v>
      </c>
      <c r="AH305" t="n">
        <v>1</v>
      </c>
      <c r="AI305" t="n">
        <v>1</v>
      </c>
      <c r="AJ305" t="n">
        <v>0</v>
      </c>
      <c r="AK305" t="n">
        <v>0</v>
      </c>
      <c r="AL305" t="n">
        <v>1</v>
      </c>
      <c r="AM305" t="n">
        <v>1</v>
      </c>
      <c r="AN305" t="n">
        <v>1</v>
      </c>
      <c r="AO305" t="n">
        <v>1</v>
      </c>
      <c r="AP305" t="n">
        <v>0</v>
      </c>
      <c r="AQ305" t="n">
        <v>0</v>
      </c>
      <c r="AR305" t="inlineStr">
        <is>
          <t>No</t>
        </is>
      </c>
      <c r="AS305" t="inlineStr">
        <is>
          <t>No</t>
        </is>
      </c>
      <c r="AU305">
        <f>HYPERLINK("https://creighton-primo.hosted.exlibrisgroup.com/primo-explore/search?tab=default_tab&amp;search_scope=EVERYTHING&amp;vid=01CRU&amp;lang=en_US&amp;offset=0&amp;query=any,contains,991000365929702656","Catalog Record")</f>
        <v/>
      </c>
      <c r="AV305">
        <f>HYPERLINK("http://www.worldcat.org/oclc/50479303","WorldCat Record")</f>
        <v/>
      </c>
      <c r="AW305" t="inlineStr">
        <is>
          <t>353521130:eng</t>
        </is>
      </c>
      <c r="AX305" t="inlineStr">
        <is>
          <t>50479303</t>
        </is>
      </c>
      <c r="AY305" t="inlineStr">
        <is>
          <t>991000365929702656</t>
        </is>
      </c>
      <c r="AZ305" t="inlineStr">
        <is>
          <t>991000365929702656</t>
        </is>
      </c>
      <c r="BA305" t="inlineStr">
        <is>
          <t>2258110890002656</t>
        </is>
      </c>
      <c r="BB305" t="inlineStr">
        <is>
          <t>BOOK</t>
        </is>
      </c>
      <c r="BD305" t="inlineStr">
        <is>
          <t>9780415274913</t>
        </is>
      </c>
      <c r="BE305" t="inlineStr">
        <is>
          <t>30001004508943</t>
        </is>
      </c>
      <c r="BF305" t="inlineStr">
        <is>
          <t>893737268</t>
        </is>
      </c>
    </row>
    <row r="306">
      <c r="A306" t="inlineStr">
        <is>
          <t>No</t>
        </is>
      </c>
      <c r="B306" t="inlineStr">
        <is>
          <t>CUHSL</t>
        </is>
      </c>
      <c r="C306" t="inlineStr">
        <is>
          <t>SHELVES</t>
        </is>
      </c>
      <c r="D306" t="inlineStr">
        <is>
          <t>WA 485 W926 1988</t>
        </is>
      </c>
      <c r="E306" t="inlineStr">
        <is>
          <t>0                      WA 0485000W  926         1988</t>
        </is>
      </c>
      <c r="F306" t="inlineStr">
        <is>
          <t>Work injury : management and prevention / edited by Susan J. Isernhagen.</t>
        </is>
      </c>
      <c r="H306" t="inlineStr">
        <is>
          <t>No</t>
        </is>
      </c>
      <c r="I306" t="inlineStr">
        <is>
          <t>1</t>
        </is>
      </c>
      <c r="J306" t="inlineStr">
        <is>
          <t>Yes</t>
        </is>
      </c>
      <c r="K306" t="inlineStr">
        <is>
          <t>No</t>
        </is>
      </c>
      <c r="L306" t="inlineStr">
        <is>
          <t>0</t>
        </is>
      </c>
      <c r="N306" t="inlineStr">
        <is>
          <t>Rockville, Md. : Aspen Publishers, c1988.</t>
        </is>
      </c>
      <c r="O306" t="inlineStr">
        <is>
          <t>1988</t>
        </is>
      </c>
      <c r="Q306" t="inlineStr">
        <is>
          <t>eng</t>
        </is>
      </c>
      <c r="R306" t="inlineStr">
        <is>
          <t>xxu</t>
        </is>
      </c>
      <c r="T306" t="inlineStr">
        <is>
          <t xml:space="preserve">WA </t>
        </is>
      </c>
      <c r="U306" t="n">
        <v>31</v>
      </c>
      <c r="V306" t="n">
        <v>31</v>
      </c>
      <c r="W306" t="inlineStr">
        <is>
          <t>1997-03-25</t>
        </is>
      </c>
      <c r="X306" t="inlineStr">
        <is>
          <t>1997-03-25</t>
        </is>
      </c>
      <c r="Y306" t="inlineStr">
        <is>
          <t>1989-02-17</t>
        </is>
      </c>
      <c r="Z306" t="inlineStr">
        <is>
          <t>1989-02-17</t>
        </is>
      </c>
      <c r="AA306" t="n">
        <v>221</v>
      </c>
      <c r="AB306" t="n">
        <v>183</v>
      </c>
      <c r="AC306" t="n">
        <v>191</v>
      </c>
      <c r="AD306" t="n">
        <v>2</v>
      </c>
      <c r="AE306" t="n">
        <v>2</v>
      </c>
      <c r="AF306" t="n">
        <v>4</v>
      </c>
      <c r="AG306" t="n">
        <v>4</v>
      </c>
      <c r="AH306" t="n">
        <v>3</v>
      </c>
      <c r="AI306" t="n">
        <v>3</v>
      </c>
      <c r="AJ306" t="n">
        <v>1</v>
      </c>
      <c r="AK306" t="n">
        <v>1</v>
      </c>
      <c r="AL306" t="n">
        <v>3</v>
      </c>
      <c r="AM306" t="n">
        <v>3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HYPERLINK("http://catalog.hathitrust.org/Record/000941601","HathiTrust Record")</f>
        <v/>
      </c>
      <c r="AU306">
        <f>HYPERLINK("https://creighton-primo.hosted.exlibrisgroup.com/primo-explore/search?tab=default_tab&amp;search_scope=EVERYTHING&amp;vid=01CRU&amp;lang=en_US&amp;offset=0&amp;query=any,contains,991001118979702656","Catalog Record")</f>
        <v/>
      </c>
      <c r="AV306">
        <f>HYPERLINK("http://www.worldcat.org/oclc/18134221","WorldCat Record")</f>
        <v/>
      </c>
      <c r="AW306" t="inlineStr">
        <is>
          <t>16905789:eng</t>
        </is>
      </c>
      <c r="AX306" t="inlineStr">
        <is>
          <t>18134221</t>
        </is>
      </c>
      <c r="AY306" t="inlineStr">
        <is>
          <t>991001118979702656</t>
        </is>
      </c>
      <c r="AZ306" t="inlineStr">
        <is>
          <t>991001118979702656</t>
        </is>
      </c>
      <c r="BA306" t="inlineStr">
        <is>
          <t>2265146910002656</t>
        </is>
      </c>
      <c r="BB306" t="inlineStr">
        <is>
          <t>BOOK</t>
        </is>
      </c>
      <c r="BD306" t="inlineStr">
        <is>
          <t>9780871897886</t>
        </is>
      </c>
      <c r="BE306" t="inlineStr">
        <is>
          <t>30001001614058</t>
        </is>
      </c>
      <c r="BF306" t="inlineStr">
        <is>
          <t>893161692</t>
        </is>
      </c>
    </row>
    <row r="307">
      <c r="A307" t="inlineStr">
        <is>
          <t>No</t>
        </is>
      </c>
      <c r="B307" t="inlineStr">
        <is>
          <t>CUHSL</t>
        </is>
      </c>
      <c r="C307" t="inlineStr">
        <is>
          <t>SHELVES</t>
        </is>
      </c>
      <c r="D307" t="inlineStr">
        <is>
          <t>WA 495 O155 1986</t>
        </is>
      </c>
      <c r="E307" t="inlineStr">
        <is>
          <t>0                      WA 0495000O  155         1986</t>
        </is>
      </c>
      <c r="F307" t="inlineStr">
        <is>
          <t>Occupational stress : health and performance at work / edited by Stewart Wolf, Albert J. Finestone.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N307" t="inlineStr">
        <is>
          <t>Littleton, Mass. : PSG Pub. Co., c1986.</t>
        </is>
      </c>
      <c r="O307" t="inlineStr">
        <is>
          <t>1986</t>
        </is>
      </c>
      <c r="Q307" t="inlineStr">
        <is>
          <t>eng</t>
        </is>
      </c>
      <c r="R307" t="inlineStr">
        <is>
          <t>xxu</t>
        </is>
      </c>
      <c r="T307" t="inlineStr">
        <is>
          <t xml:space="preserve">WA </t>
        </is>
      </c>
      <c r="U307" t="n">
        <v>11</v>
      </c>
      <c r="V307" t="n">
        <v>11</v>
      </c>
      <c r="W307" t="inlineStr">
        <is>
          <t>1997-03-24</t>
        </is>
      </c>
      <c r="X307" t="inlineStr">
        <is>
          <t>1997-03-24</t>
        </is>
      </c>
      <c r="Y307" t="inlineStr">
        <is>
          <t>1988-02-22</t>
        </is>
      </c>
      <c r="Z307" t="inlineStr">
        <is>
          <t>1988-02-22</t>
        </is>
      </c>
      <c r="AA307" t="n">
        <v>521</v>
      </c>
      <c r="AB307" t="n">
        <v>443</v>
      </c>
      <c r="AC307" t="n">
        <v>449</v>
      </c>
      <c r="AD307" t="n">
        <v>5</v>
      </c>
      <c r="AE307" t="n">
        <v>5</v>
      </c>
      <c r="AF307" t="n">
        <v>17</v>
      </c>
      <c r="AG307" t="n">
        <v>17</v>
      </c>
      <c r="AH307" t="n">
        <v>4</v>
      </c>
      <c r="AI307" t="n">
        <v>4</v>
      </c>
      <c r="AJ307" t="n">
        <v>4</v>
      </c>
      <c r="AK307" t="n">
        <v>4</v>
      </c>
      <c r="AL307" t="n">
        <v>8</v>
      </c>
      <c r="AM307" t="n">
        <v>8</v>
      </c>
      <c r="AN307" t="n">
        <v>4</v>
      </c>
      <c r="AO307" t="n">
        <v>4</v>
      </c>
      <c r="AP307" t="n">
        <v>1</v>
      </c>
      <c r="AQ307" t="n">
        <v>1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HYPERLINK("https://creighton-primo.hosted.exlibrisgroup.com/primo-explore/search?tab=default_tab&amp;search_scope=EVERYTHING&amp;vid=01CRU&amp;lang=en_US&amp;offset=0&amp;query=any,contains,991000730189702656","Catalog Record")</f>
        <v/>
      </c>
      <c r="AV307">
        <f>HYPERLINK("http://www.worldcat.org/oclc/13010066","WorldCat Record")</f>
        <v/>
      </c>
      <c r="AW307" t="inlineStr">
        <is>
          <t>894520568:eng</t>
        </is>
      </c>
      <c r="AX307" t="inlineStr">
        <is>
          <t>13010066</t>
        </is>
      </c>
      <c r="AY307" t="inlineStr">
        <is>
          <t>991000730189702656</t>
        </is>
      </c>
      <c r="AZ307" t="inlineStr">
        <is>
          <t>991000730189702656</t>
        </is>
      </c>
      <c r="BA307" t="inlineStr">
        <is>
          <t>2265436430002656</t>
        </is>
      </c>
      <c r="BB307" t="inlineStr">
        <is>
          <t>BOOK</t>
        </is>
      </c>
      <c r="BD307" t="inlineStr">
        <is>
          <t>9780884164845</t>
        </is>
      </c>
      <c r="BE307" t="inlineStr">
        <is>
          <t>30001000707929</t>
        </is>
      </c>
      <c r="BF307" t="inlineStr">
        <is>
          <t>893357446</t>
        </is>
      </c>
    </row>
    <row r="308">
      <c r="A308" t="inlineStr">
        <is>
          <t>No</t>
        </is>
      </c>
      <c r="B308" t="inlineStr">
        <is>
          <t>CUHSL</t>
        </is>
      </c>
      <c r="C308" t="inlineStr">
        <is>
          <t>SHELVES</t>
        </is>
      </c>
      <c r="D308" t="inlineStr">
        <is>
          <t>WA 525 A172 2004</t>
        </is>
      </c>
      <c r="E308" t="inlineStr">
        <is>
          <t>0                      WA 0525000A  172         2004</t>
        </is>
      </c>
      <c r="F308" t="inlineStr">
        <is>
          <t>Accountability : patient safety and policy reform / Virginia A. Sharpe, editor.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1</t>
        </is>
      </c>
      <c r="N308" t="inlineStr">
        <is>
          <t>Washington, D.C. : Georgetown University Press, c2004.</t>
        </is>
      </c>
      <c r="O308" t="inlineStr">
        <is>
          <t>2004</t>
        </is>
      </c>
      <c r="Q308" t="inlineStr">
        <is>
          <t>eng</t>
        </is>
      </c>
      <c r="R308" t="inlineStr">
        <is>
          <t>dcu</t>
        </is>
      </c>
      <c r="S308" t="inlineStr">
        <is>
          <t>Hastings Center studies in ethics</t>
        </is>
      </c>
      <c r="T308" t="inlineStr">
        <is>
          <t xml:space="preserve">WA </t>
        </is>
      </c>
      <c r="U308" t="n">
        <v>2</v>
      </c>
      <c r="V308" t="n">
        <v>2</v>
      </c>
      <c r="W308" t="inlineStr">
        <is>
          <t>2005-09-12</t>
        </is>
      </c>
      <c r="X308" t="inlineStr">
        <is>
          <t>2005-09-12</t>
        </is>
      </c>
      <c r="Y308" t="inlineStr">
        <is>
          <t>2005-01-27</t>
        </is>
      </c>
      <c r="Z308" t="inlineStr">
        <is>
          <t>2005-01-27</t>
        </is>
      </c>
      <c r="AA308" t="n">
        <v>376</v>
      </c>
      <c r="AB308" t="n">
        <v>331</v>
      </c>
      <c r="AC308" t="n">
        <v>1287</v>
      </c>
      <c r="AD308" t="n">
        <v>2</v>
      </c>
      <c r="AE308" t="n">
        <v>14</v>
      </c>
      <c r="AF308" t="n">
        <v>18</v>
      </c>
      <c r="AG308" t="n">
        <v>54</v>
      </c>
      <c r="AH308" t="n">
        <v>4</v>
      </c>
      <c r="AI308" t="n">
        <v>16</v>
      </c>
      <c r="AJ308" t="n">
        <v>6</v>
      </c>
      <c r="AK308" t="n">
        <v>11</v>
      </c>
      <c r="AL308" t="n">
        <v>7</v>
      </c>
      <c r="AM308" t="n">
        <v>19</v>
      </c>
      <c r="AN308" t="n">
        <v>1</v>
      </c>
      <c r="AO308" t="n">
        <v>12</v>
      </c>
      <c r="AP308" t="n">
        <v>5</v>
      </c>
      <c r="AQ308" t="n">
        <v>6</v>
      </c>
      <c r="AR308" t="inlineStr">
        <is>
          <t>No</t>
        </is>
      </c>
      <c r="AS308" t="inlineStr">
        <is>
          <t>No</t>
        </is>
      </c>
      <c r="AU308">
        <f>HYPERLINK("https://creighton-primo.hosted.exlibrisgroup.com/primo-explore/search?tab=default_tab&amp;search_scope=EVERYTHING&amp;vid=01CRU&amp;lang=en_US&amp;offset=0&amp;query=any,contains,991000642239702656","Catalog Record")</f>
        <v/>
      </c>
      <c r="AV308">
        <f>HYPERLINK("http://www.worldcat.org/oclc/54778429","WorldCat Record")</f>
        <v/>
      </c>
      <c r="AW308" t="inlineStr">
        <is>
          <t>1076489997:eng</t>
        </is>
      </c>
      <c r="AX308" t="inlineStr">
        <is>
          <t>54778429</t>
        </is>
      </c>
      <c r="AY308" t="inlineStr">
        <is>
          <t>991000642239702656</t>
        </is>
      </c>
      <c r="AZ308" t="inlineStr">
        <is>
          <t>991000642239702656</t>
        </is>
      </c>
      <c r="BA308" t="inlineStr">
        <is>
          <t>2259003910002656</t>
        </is>
      </c>
      <c r="BB308" t="inlineStr">
        <is>
          <t>BOOK</t>
        </is>
      </c>
      <c r="BD308" t="inlineStr">
        <is>
          <t>9781589010239</t>
        </is>
      </c>
      <c r="BE308" t="inlineStr">
        <is>
          <t>30001004926830</t>
        </is>
      </c>
      <c r="BF308" t="inlineStr">
        <is>
          <t>893556702</t>
        </is>
      </c>
    </row>
    <row r="309">
      <c r="A309" t="inlineStr">
        <is>
          <t>No</t>
        </is>
      </c>
      <c r="B309" t="inlineStr">
        <is>
          <t>CUHSL</t>
        </is>
      </c>
      <c r="C309" t="inlineStr">
        <is>
          <t>SHELVES</t>
        </is>
      </c>
      <c r="D309" t="inlineStr">
        <is>
          <t>WA 525 A846 1983</t>
        </is>
      </c>
      <c r="E309" t="inlineStr">
        <is>
          <t>0                      WA 0525000A  846         1983</t>
        </is>
      </c>
      <c r="F309" t="inlineStr">
        <is>
          <t>Assessing health and human service needs : concepts, methods, and applications / edited by Roger A. Bell ... [et al.].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New York, N.Y. : Human Sciences Press, c1983.</t>
        </is>
      </c>
      <c r="O309" t="inlineStr">
        <is>
          <t>1983</t>
        </is>
      </c>
      <c r="Q309" t="inlineStr">
        <is>
          <t>eng</t>
        </is>
      </c>
      <c r="R309" t="inlineStr">
        <is>
          <t>xxu</t>
        </is>
      </c>
      <c r="S309" t="inlineStr">
        <is>
          <t>The community psychology series, ISSN 0731-0471 ; v. 8</t>
        </is>
      </c>
      <c r="T309" t="inlineStr">
        <is>
          <t xml:space="preserve">WA </t>
        </is>
      </c>
      <c r="U309" t="n">
        <v>4</v>
      </c>
      <c r="V309" t="n">
        <v>4</v>
      </c>
      <c r="W309" t="inlineStr">
        <is>
          <t>1992-03-16</t>
        </is>
      </c>
      <c r="X309" t="inlineStr">
        <is>
          <t>1992-03-16</t>
        </is>
      </c>
      <c r="Y309" t="inlineStr">
        <is>
          <t>1988-01-07</t>
        </is>
      </c>
      <c r="Z309" t="inlineStr">
        <is>
          <t>1988-01-07</t>
        </is>
      </c>
      <c r="AA309" t="n">
        <v>320</v>
      </c>
      <c r="AB309" t="n">
        <v>276</v>
      </c>
      <c r="AC309" t="n">
        <v>289</v>
      </c>
      <c r="AD309" t="n">
        <v>1</v>
      </c>
      <c r="AE309" t="n">
        <v>1</v>
      </c>
      <c r="AF309" t="n">
        <v>8</v>
      </c>
      <c r="AG309" t="n">
        <v>8</v>
      </c>
      <c r="AH309" t="n">
        <v>5</v>
      </c>
      <c r="AI309" t="n">
        <v>5</v>
      </c>
      <c r="AJ309" t="n">
        <v>2</v>
      </c>
      <c r="AK309" t="n">
        <v>2</v>
      </c>
      <c r="AL309" t="n">
        <v>3</v>
      </c>
      <c r="AM309" t="n">
        <v>3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HYPERLINK("http://catalog.hathitrust.org/Record/000114817","HathiTrust Record")</f>
        <v/>
      </c>
      <c r="AU309">
        <f>HYPERLINK("https://creighton-primo.hosted.exlibrisgroup.com/primo-explore/search?tab=default_tab&amp;search_scope=EVERYTHING&amp;vid=01CRU&amp;lang=en_US&amp;offset=0&amp;query=any,contains,991000730509702656","Catalog Record")</f>
        <v/>
      </c>
      <c r="AV309">
        <f>HYPERLINK("http://www.worldcat.org/oclc/8051405","WorldCat Record")</f>
        <v/>
      </c>
      <c r="AW309" t="inlineStr">
        <is>
          <t>908893978:eng</t>
        </is>
      </c>
      <c r="AX309" t="inlineStr">
        <is>
          <t>8051405</t>
        </is>
      </c>
      <c r="AY309" t="inlineStr">
        <is>
          <t>991000730509702656</t>
        </is>
      </c>
      <c r="AZ309" t="inlineStr">
        <is>
          <t>991000730509702656</t>
        </is>
      </c>
      <c r="BA309" t="inlineStr">
        <is>
          <t>2259519250002656</t>
        </is>
      </c>
      <c r="BB309" t="inlineStr">
        <is>
          <t>BOOK</t>
        </is>
      </c>
      <c r="BD309" t="inlineStr">
        <is>
          <t>9780898850574</t>
        </is>
      </c>
      <c r="BE309" t="inlineStr">
        <is>
          <t>30001000707960</t>
        </is>
      </c>
      <c r="BF309" t="inlineStr">
        <is>
          <t>893368389</t>
        </is>
      </c>
    </row>
    <row r="310">
      <c r="A310" t="inlineStr">
        <is>
          <t>No</t>
        </is>
      </c>
      <c r="B310" t="inlineStr">
        <is>
          <t>CUHSL</t>
        </is>
      </c>
      <c r="C310" t="inlineStr">
        <is>
          <t>SHELVES</t>
        </is>
      </c>
      <c r="D310" t="inlineStr">
        <is>
          <t>WA 525 B878h 1988</t>
        </is>
      </c>
      <c r="E310" t="inlineStr">
        <is>
          <t>0                      WA 0525000B  878h        1988</t>
        </is>
      </c>
      <c r="F310" t="inlineStr">
        <is>
          <t>Health policy in the United States : issues and options / by Lawrence D. Brown.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Brown, Lawrence D. (Lawrence David), 1947-</t>
        </is>
      </c>
      <c r="N310" t="inlineStr">
        <is>
          <t>New York, N.Y. : Ford Foundation, c1988.</t>
        </is>
      </c>
      <c r="O310" t="inlineStr">
        <is>
          <t>1988</t>
        </is>
      </c>
      <c r="Q310" t="inlineStr">
        <is>
          <t>eng</t>
        </is>
      </c>
      <c r="R310" t="inlineStr">
        <is>
          <t>nyu</t>
        </is>
      </c>
      <c r="S310" t="inlineStr">
        <is>
          <t>Occasional paper (Ford Foundation. Project on Social Welfare and the American Future) ; no. 4</t>
        </is>
      </c>
      <c r="T310" t="inlineStr">
        <is>
          <t xml:space="preserve">WA </t>
        </is>
      </c>
      <c r="U310" t="n">
        <v>4</v>
      </c>
      <c r="V310" t="n">
        <v>4</v>
      </c>
      <c r="W310" t="inlineStr">
        <is>
          <t>1998-01-16</t>
        </is>
      </c>
      <c r="X310" t="inlineStr">
        <is>
          <t>1998-01-16</t>
        </is>
      </c>
      <c r="Y310" t="inlineStr">
        <is>
          <t>1992-03-13</t>
        </is>
      </c>
      <c r="Z310" t="inlineStr">
        <is>
          <t>1992-03-13</t>
        </is>
      </c>
      <c r="AA310" t="n">
        <v>535</v>
      </c>
      <c r="AB310" t="n">
        <v>516</v>
      </c>
      <c r="AC310" t="n">
        <v>518</v>
      </c>
      <c r="AD310" t="n">
        <v>3</v>
      </c>
      <c r="AE310" t="n">
        <v>3</v>
      </c>
      <c r="AF310" t="n">
        <v>35</v>
      </c>
      <c r="AG310" t="n">
        <v>35</v>
      </c>
      <c r="AH310" t="n">
        <v>6</v>
      </c>
      <c r="AI310" t="n">
        <v>6</v>
      </c>
      <c r="AJ310" t="n">
        <v>4</v>
      </c>
      <c r="AK310" t="n">
        <v>4</v>
      </c>
      <c r="AL310" t="n">
        <v>14</v>
      </c>
      <c r="AM310" t="n">
        <v>14</v>
      </c>
      <c r="AN310" t="n">
        <v>2</v>
      </c>
      <c r="AO310" t="n">
        <v>2</v>
      </c>
      <c r="AP310" t="n">
        <v>15</v>
      </c>
      <c r="AQ310" t="n">
        <v>15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HYPERLINK("http://catalog.hathitrust.org/Record/001086278","HathiTrust Record")</f>
        <v/>
      </c>
      <c r="AU310">
        <f>HYPERLINK("https://creighton-primo.hosted.exlibrisgroup.com/primo-explore/search?tab=default_tab&amp;search_scope=EVERYTHING&amp;vid=01CRU&amp;lang=en_US&amp;offset=0&amp;query=any,contains,991001298449702656","Catalog Record")</f>
        <v/>
      </c>
      <c r="AV310">
        <f>HYPERLINK("http://www.worldcat.org/oclc/18522786","WorldCat Record")</f>
        <v/>
      </c>
      <c r="AW310" t="inlineStr">
        <is>
          <t>253150874:eng</t>
        </is>
      </c>
      <c r="AX310" t="inlineStr">
        <is>
          <t>18522786</t>
        </is>
      </c>
      <c r="AY310" t="inlineStr">
        <is>
          <t>991001298449702656</t>
        </is>
      </c>
      <c r="AZ310" t="inlineStr">
        <is>
          <t>991001298449702656</t>
        </is>
      </c>
      <c r="BA310" t="inlineStr">
        <is>
          <t>2267723580002656</t>
        </is>
      </c>
      <c r="BB310" t="inlineStr">
        <is>
          <t>BOOK</t>
        </is>
      </c>
      <c r="BD310" t="inlineStr">
        <is>
          <t>9780916584344</t>
        </is>
      </c>
      <c r="BE310" t="inlineStr">
        <is>
          <t>30001002410720</t>
        </is>
      </c>
      <c r="BF310" t="inlineStr">
        <is>
          <t>893557807</t>
        </is>
      </c>
    </row>
    <row r="311">
      <c r="A311" t="inlineStr">
        <is>
          <t>No</t>
        </is>
      </c>
      <c r="B311" t="inlineStr">
        <is>
          <t>CUHSL</t>
        </is>
      </c>
      <c r="C311" t="inlineStr">
        <is>
          <t>SHELVES</t>
        </is>
      </c>
      <c r="D311" t="inlineStr">
        <is>
          <t>WA 525 D286n 1986</t>
        </is>
      </c>
      <c r="E311" t="inlineStr">
        <is>
          <t>0                      WA 0525000D  286n        1986</t>
        </is>
      </c>
      <c r="F311" t="inlineStr">
        <is>
          <t>Nurses' role in health care planning / Sandra DeBella, Leonide Martin, Sandra Siddall ; contributors, Jean A. Harlow, Patricia Jakobi, Marylou McAthie.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DeBella, Sandra.</t>
        </is>
      </c>
      <c r="N311" t="inlineStr">
        <is>
          <t>Norwalk, Conn. : Appleton-Century-Crofts, c1986.</t>
        </is>
      </c>
      <c r="O311" t="inlineStr">
        <is>
          <t>1986</t>
        </is>
      </c>
      <c r="Q311" t="inlineStr">
        <is>
          <t>eng</t>
        </is>
      </c>
      <c r="R311" t="inlineStr">
        <is>
          <t>xxu</t>
        </is>
      </c>
      <c r="T311" t="inlineStr">
        <is>
          <t xml:space="preserve">WA </t>
        </is>
      </c>
      <c r="U311" t="n">
        <v>6</v>
      </c>
      <c r="V311" t="n">
        <v>6</v>
      </c>
      <c r="W311" t="inlineStr">
        <is>
          <t>2002-09-05</t>
        </is>
      </c>
      <c r="X311" t="inlineStr">
        <is>
          <t>2002-09-05</t>
        </is>
      </c>
      <c r="Y311" t="inlineStr">
        <is>
          <t>1989-11-06</t>
        </is>
      </c>
      <c r="Z311" t="inlineStr">
        <is>
          <t>1989-11-06</t>
        </is>
      </c>
      <c r="AA311" t="n">
        <v>241</v>
      </c>
      <c r="AB311" t="n">
        <v>190</v>
      </c>
      <c r="AC311" t="n">
        <v>192</v>
      </c>
      <c r="AD311" t="n">
        <v>1</v>
      </c>
      <c r="AE311" t="n">
        <v>1</v>
      </c>
      <c r="AF311" t="n">
        <v>12</v>
      </c>
      <c r="AG311" t="n">
        <v>12</v>
      </c>
      <c r="AH311" t="n">
        <v>7</v>
      </c>
      <c r="AI311" t="n">
        <v>7</v>
      </c>
      <c r="AJ311" t="n">
        <v>1</v>
      </c>
      <c r="AK311" t="n">
        <v>1</v>
      </c>
      <c r="AL311" t="n">
        <v>6</v>
      </c>
      <c r="AM311" t="n">
        <v>6</v>
      </c>
      <c r="AN311" t="n">
        <v>0</v>
      </c>
      <c r="AO311" t="n">
        <v>0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HYPERLINK("http://catalog.hathitrust.org/Record/000835998","HathiTrust Record")</f>
        <v/>
      </c>
      <c r="AU311">
        <f>HYPERLINK("https://creighton-primo.hosted.exlibrisgroup.com/primo-explore/search?tab=default_tab&amp;search_scope=EVERYTHING&amp;vid=01CRU&amp;lang=en_US&amp;offset=0&amp;query=any,contains,991001315549702656","Catalog Record")</f>
        <v/>
      </c>
      <c r="AV311">
        <f>HYPERLINK("http://www.worldcat.org/oclc/13903222","WorldCat Record")</f>
        <v/>
      </c>
      <c r="AW311" t="inlineStr">
        <is>
          <t>6867002:eng</t>
        </is>
      </c>
      <c r="AX311" t="inlineStr">
        <is>
          <t>13903222</t>
        </is>
      </c>
      <c r="AY311" t="inlineStr">
        <is>
          <t>991001315549702656</t>
        </is>
      </c>
      <c r="AZ311" t="inlineStr">
        <is>
          <t>991001315549702656</t>
        </is>
      </c>
      <c r="BA311" t="inlineStr">
        <is>
          <t>2270093950002656</t>
        </is>
      </c>
      <c r="BB311" t="inlineStr">
        <is>
          <t>BOOK</t>
        </is>
      </c>
      <c r="BD311" t="inlineStr">
        <is>
          <t>9780838569948</t>
        </is>
      </c>
      <c r="BE311" t="inlineStr">
        <is>
          <t>30001001752684</t>
        </is>
      </c>
      <c r="BF311" t="inlineStr">
        <is>
          <t>893816293</t>
        </is>
      </c>
    </row>
    <row r="312">
      <c r="A312" t="inlineStr">
        <is>
          <t>No</t>
        </is>
      </c>
      <c r="B312" t="inlineStr">
        <is>
          <t>CUHSL</t>
        </is>
      </c>
      <c r="C312" t="inlineStr">
        <is>
          <t>SHELVES</t>
        </is>
      </c>
      <c r="D312" t="inlineStr">
        <is>
          <t>WA 525 D491i 1997</t>
        </is>
      </c>
      <c r="E312" t="inlineStr">
        <is>
          <t>0                      WA 0525000D  491i        1997</t>
        </is>
      </c>
      <c r="F312" t="inlineStr">
        <is>
          <t>Improving outcomes in public health practice : strategy and methods / G.E. Alan Dever.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Dever, G. E. Alan.</t>
        </is>
      </c>
      <c r="N312" t="inlineStr">
        <is>
          <t>Gaithersburg, Md. : Aspen Publishers, 1997.</t>
        </is>
      </c>
      <c r="O312" t="inlineStr">
        <is>
          <t>1997</t>
        </is>
      </c>
      <c r="Q312" t="inlineStr">
        <is>
          <t>eng</t>
        </is>
      </c>
      <c r="R312" t="inlineStr">
        <is>
          <t>mdu</t>
        </is>
      </c>
      <c r="T312" t="inlineStr">
        <is>
          <t xml:space="preserve">WA </t>
        </is>
      </c>
      <c r="U312" t="n">
        <v>2</v>
      </c>
      <c r="V312" t="n">
        <v>2</v>
      </c>
      <c r="W312" t="inlineStr">
        <is>
          <t>1999-02-10</t>
        </is>
      </c>
      <c r="X312" t="inlineStr">
        <is>
          <t>1999-02-10</t>
        </is>
      </c>
      <c r="Y312" t="inlineStr">
        <is>
          <t>1997-06-25</t>
        </is>
      </c>
      <c r="Z312" t="inlineStr">
        <is>
          <t>1997-06-25</t>
        </is>
      </c>
      <c r="AA312" t="n">
        <v>279</v>
      </c>
      <c r="AB312" t="n">
        <v>233</v>
      </c>
      <c r="AC312" t="n">
        <v>240</v>
      </c>
      <c r="AD312" t="n">
        <v>3</v>
      </c>
      <c r="AE312" t="n">
        <v>3</v>
      </c>
      <c r="AF312" t="n">
        <v>15</v>
      </c>
      <c r="AG312" t="n">
        <v>15</v>
      </c>
      <c r="AH312" t="n">
        <v>5</v>
      </c>
      <c r="AI312" t="n">
        <v>5</v>
      </c>
      <c r="AJ312" t="n">
        <v>5</v>
      </c>
      <c r="AK312" t="n">
        <v>5</v>
      </c>
      <c r="AL312" t="n">
        <v>9</v>
      </c>
      <c r="AM312" t="n">
        <v>9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HYPERLINK("http://catalog.hathitrust.org/Record/003163702","HathiTrust Record")</f>
        <v/>
      </c>
      <c r="AU312">
        <f>HYPERLINK("https://creighton-primo.hosted.exlibrisgroup.com/primo-explore/search?tab=default_tab&amp;search_scope=EVERYTHING&amp;vid=01CRU&amp;lang=en_US&amp;offset=0&amp;query=any,contains,991001255719702656","Catalog Record")</f>
        <v/>
      </c>
      <c r="AV312">
        <f>HYPERLINK("http://www.worldcat.org/oclc/35925630","WorldCat Record")</f>
        <v/>
      </c>
      <c r="AW312" t="inlineStr">
        <is>
          <t>41115370:eng</t>
        </is>
      </c>
      <c r="AX312" t="inlineStr">
        <is>
          <t>35925630</t>
        </is>
      </c>
      <c r="AY312" t="inlineStr">
        <is>
          <t>991001255719702656</t>
        </is>
      </c>
      <c r="AZ312" t="inlineStr">
        <is>
          <t>991001255719702656</t>
        </is>
      </c>
      <c r="BA312" t="inlineStr">
        <is>
          <t>2263684610002656</t>
        </is>
      </c>
      <c r="BB312" t="inlineStr">
        <is>
          <t>BOOK</t>
        </is>
      </c>
      <c r="BD312" t="inlineStr">
        <is>
          <t>9780834206373</t>
        </is>
      </c>
      <c r="BE312" t="inlineStr">
        <is>
          <t>30001003684745</t>
        </is>
      </c>
      <c r="BF312" t="inlineStr">
        <is>
          <t>893467874</t>
        </is>
      </c>
    </row>
    <row r="313">
      <c r="A313" t="inlineStr">
        <is>
          <t>No</t>
        </is>
      </c>
      <c r="B313" t="inlineStr">
        <is>
          <t>CUHSL</t>
        </is>
      </c>
      <c r="C313" t="inlineStr">
        <is>
          <t>SHELVES</t>
        </is>
      </c>
      <c r="D313" t="inlineStr">
        <is>
          <t>WA 525 G848h 1997</t>
        </is>
      </c>
      <c r="E313" t="inlineStr">
        <is>
          <t>0                      WA 0525000G  848h        1997</t>
        </is>
      </c>
      <c r="F313" t="inlineStr">
        <is>
          <t>The healthcare practitioner's handbook of management / Larry D. Grieshaber.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Grieshaber, Larry D.</t>
        </is>
      </c>
      <c r="N313" t="inlineStr">
        <is>
          <t>Boca Raton, Fla. : St. Lucie Press, c1997.</t>
        </is>
      </c>
      <c r="O313" t="inlineStr">
        <is>
          <t>1997</t>
        </is>
      </c>
      <c r="Q313" t="inlineStr">
        <is>
          <t>eng</t>
        </is>
      </c>
      <c r="R313" t="inlineStr">
        <is>
          <t>flu</t>
        </is>
      </c>
      <c r="T313" t="inlineStr">
        <is>
          <t xml:space="preserve">WA </t>
        </is>
      </c>
      <c r="U313" t="n">
        <v>1</v>
      </c>
      <c r="V313" t="n">
        <v>1</v>
      </c>
      <c r="W313" t="inlineStr">
        <is>
          <t>2000-01-18</t>
        </is>
      </c>
      <c r="X313" t="inlineStr">
        <is>
          <t>2000-01-18</t>
        </is>
      </c>
      <c r="Y313" t="inlineStr">
        <is>
          <t>1999-01-19</t>
        </is>
      </c>
      <c r="Z313" t="inlineStr">
        <is>
          <t>1999-01-19</t>
        </is>
      </c>
      <c r="AA313" t="n">
        <v>130</v>
      </c>
      <c r="AB313" t="n">
        <v>111</v>
      </c>
      <c r="AC313" t="n">
        <v>111</v>
      </c>
      <c r="AD313" t="n">
        <v>2</v>
      </c>
      <c r="AE313" t="n">
        <v>2</v>
      </c>
      <c r="AF313" t="n">
        <v>5</v>
      </c>
      <c r="AG313" t="n">
        <v>5</v>
      </c>
      <c r="AH313" t="n">
        <v>3</v>
      </c>
      <c r="AI313" t="n">
        <v>3</v>
      </c>
      <c r="AJ313" t="n">
        <v>0</v>
      </c>
      <c r="AK313" t="n">
        <v>0</v>
      </c>
      <c r="AL313" t="n">
        <v>2</v>
      </c>
      <c r="AM313" t="n">
        <v>2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No</t>
        </is>
      </c>
      <c r="AU313">
        <f>HYPERLINK("https://creighton-primo.hosted.exlibrisgroup.com/primo-explore/search?tab=default_tab&amp;search_scope=EVERYTHING&amp;vid=01CRU&amp;lang=en_US&amp;offset=0&amp;query=any,contains,991001530269702656","Catalog Record")</f>
        <v/>
      </c>
      <c r="AV313">
        <f>HYPERLINK("http://www.worldcat.org/oclc/37476849","WorldCat Record")</f>
        <v/>
      </c>
      <c r="AW313" t="inlineStr">
        <is>
          <t>686751:eng</t>
        </is>
      </c>
      <c r="AX313" t="inlineStr">
        <is>
          <t>37476849</t>
        </is>
      </c>
      <c r="AY313" t="inlineStr">
        <is>
          <t>991001530269702656</t>
        </is>
      </c>
      <c r="AZ313" t="inlineStr">
        <is>
          <t>991001530269702656</t>
        </is>
      </c>
      <c r="BA313" t="inlineStr">
        <is>
          <t>22136059520002656</t>
        </is>
      </c>
      <c r="BB313" t="inlineStr">
        <is>
          <t>BOOK</t>
        </is>
      </c>
      <c r="BD313" t="inlineStr">
        <is>
          <t>9781574440966</t>
        </is>
      </c>
      <c r="BE313" t="inlineStr">
        <is>
          <t>30001003961325</t>
        </is>
      </c>
      <c r="BF313" t="inlineStr">
        <is>
          <t>893561064</t>
        </is>
      </c>
    </row>
    <row r="314">
      <c r="A314" t="inlineStr">
        <is>
          <t>No</t>
        </is>
      </c>
      <c r="B314" t="inlineStr">
        <is>
          <t>CUHSL</t>
        </is>
      </c>
      <c r="C314" t="inlineStr">
        <is>
          <t>SHELVES</t>
        </is>
      </c>
      <c r="D314" t="inlineStr">
        <is>
          <t>WA 525 H241p 1984</t>
        </is>
      </c>
      <c r="E314" t="inlineStr">
        <is>
          <t>0                      WA 0525000H  241p        1984</t>
        </is>
      </c>
      <c r="F314" t="inlineStr">
        <is>
          <t>Public health : administration and practice / John J. Hanlon, George E. Pickett.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M314" t="inlineStr">
        <is>
          <t>Hanlon, John J. (John Joseph), 1912-1988.</t>
        </is>
      </c>
      <c r="N314" t="inlineStr">
        <is>
          <t>St. Louis : Mosby, c1984.</t>
        </is>
      </c>
      <c r="O314" t="inlineStr">
        <is>
          <t>1984</t>
        </is>
      </c>
      <c r="P314" t="inlineStr">
        <is>
          <t>8th ed.</t>
        </is>
      </c>
      <c r="Q314" t="inlineStr">
        <is>
          <t>eng</t>
        </is>
      </c>
      <c r="R314" t="inlineStr">
        <is>
          <t>xxu</t>
        </is>
      </c>
      <c r="T314" t="inlineStr">
        <is>
          <t xml:space="preserve">WA </t>
        </is>
      </c>
      <c r="U314" t="n">
        <v>5</v>
      </c>
      <c r="V314" t="n">
        <v>5</v>
      </c>
      <c r="W314" t="inlineStr">
        <is>
          <t>1991-05-15</t>
        </is>
      </c>
      <c r="X314" t="inlineStr">
        <is>
          <t>1991-05-15</t>
        </is>
      </c>
      <c r="Y314" t="inlineStr">
        <is>
          <t>1987-10-05</t>
        </is>
      </c>
      <c r="Z314" t="inlineStr">
        <is>
          <t>1987-10-05</t>
        </is>
      </c>
      <c r="AA314" t="n">
        <v>63</v>
      </c>
      <c r="AB314" t="n">
        <v>49</v>
      </c>
      <c r="AC314" t="n">
        <v>598</v>
      </c>
      <c r="AD314" t="n">
        <v>2</v>
      </c>
      <c r="AE314" t="n">
        <v>3</v>
      </c>
      <c r="AF314" t="n">
        <v>1</v>
      </c>
      <c r="AG314" t="n">
        <v>15</v>
      </c>
      <c r="AH314" t="n">
        <v>0</v>
      </c>
      <c r="AI314" t="n">
        <v>5</v>
      </c>
      <c r="AJ314" t="n">
        <v>0</v>
      </c>
      <c r="AK314" t="n">
        <v>5</v>
      </c>
      <c r="AL314" t="n">
        <v>1</v>
      </c>
      <c r="AM314" t="n">
        <v>11</v>
      </c>
      <c r="AN314" t="n">
        <v>0</v>
      </c>
      <c r="AO314" t="n">
        <v>1</v>
      </c>
      <c r="AP314" t="n">
        <v>0</v>
      </c>
      <c r="AQ314" t="n">
        <v>0</v>
      </c>
      <c r="AR314" t="inlineStr">
        <is>
          <t>No</t>
        </is>
      </c>
      <c r="AS314" t="inlineStr">
        <is>
          <t>No</t>
        </is>
      </c>
      <c r="AU314">
        <f>HYPERLINK("https://creighton-primo.hosted.exlibrisgroup.com/primo-explore/search?tab=default_tab&amp;search_scope=EVERYTHING&amp;vid=01CRU&amp;lang=en_US&amp;offset=0&amp;query=any,contains,991000754199702656","Catalog Record")</f>
        <v/>
      </c>
      <c r="AV314">
        <f>HYPERLINK("http://www.worldcat.org/oclc/9111139","WorldCat Record")</f>
        <v/>
      </c>
      <c r="AW314" t="inlineStr">
        <is>
          <t>425714762:eng</t>
        </is>
      </c>
      <c r="AX314" t="inlineStr">
        <is>
          <t>9111139</t>
        </is>
      </c>
      <c r="AY314" t="inlineStr">
        <is>
          <t>991000754199702656</t>
        </is>
      </c>
      <c r="AZ314" t="inlineStr">
        <is>
          <t>991000754199702656</t>
        </is>
      </c>
      <c r="BA314" t="inlineStr">
        <is>
          <t>2266601510002656</t>
        </is>
      </c>
      <c r="BB314" t="inlineStr">
        <is>
          <t>BOOK</t>
        </is>
      </c>
      <c r="BD314" t="inlineStr">
        <is>
          <t>9780801620614</t>
        </is>
      </c>
      <c r="BE314" t="inlineStr">
        <is>
          <t>30001000052045</t>
        </is>
      </c>
      <c r="BF314" t="inlineStr">
        <is>
          <t>893167676</t>
        </is>
      </c>
    </row>
    <row r="315">
      <c r="A315" t="inlineStr">
        <is>
          <t>No</t>
        </is>
      </c>
      <c r="B315" t="inlineStr">
        <is>
          <t>CUHSL</t>
        </is>
      </c>
      <c r="C315" t="inlineStr">
        <is>
          <t>SHELVES</t>
        </is>
      </c>
      <c r="D315" t="inlineStr">
        <is>
          <t>WA525 H4343 2002</t>
        </is>
      </c>
      <c r="E315" t="inlineStr">
        <is>
          <t>0                      WA 0525000H  4343        2002</t>
        </is>
      </c>
      <c r="F315" t="inlineStr">
        <is>
          <t>The health behavioral change imperative : theory, education, and practice in diverse populations / edited and coauthored by Jay Carrington Chunn.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New York : Kluwer Academic/Plenum Publishers, c2002.</t>
        </is>
      </c>
      <c r="O315" t="inlineStr">
        <is>
          <t>2002</t>
        </is>
      </c>
      <c r="Q315" t="inlineStr">
        <is>
          <t>eng</t>
        </is>
      </c>
      <c r="R315" t="inlineStr">
        <is>
          <t>nyu</t>
        </is>
      </c>
      <c r="T315" t="inlineStr">
        <is>
          <t xml:space="preserve">WA </t>
        </is>
      </c>
      <c r="U315" t="n">
        <v>3</v>
      </c>
      <c r="V315" t="n">
        <v>3</v>
      </c>
      <c r="W315" t="inlineStr">
        <is>
          <t>2004-07-08</t>
        </is>
      </c>
      <c r="X315" t="inlineStr">
        <is>
          <t>2004-07-08</t>
        </is>
      </c>
      <c r="Y315" t="inlineStr">
        <is>
          <t>2004-06-03</t>
        </is>
      </c>
      <c r="Z315" t="inlineStr">
        <is>
          <t>2004-06-03</t>
        </is>
      </c>
      <c r="AA315" t="n">
        <v>185</v>
      </c>
      <c r="AB315" t="n">
        <v>154</v>
      </c>
      <c r="AC315" t="n">
        <v>180</v>
      </c>
      <c r="AD315" t="n">
        <v>2</v>
      </c>
      <c r="AE315" t="n">
        <v>2</v>
      </c>
      <c r="AF315" t="n">
        <v>4</v>
      </c>
      <c r="AG315" t="n">
        <v>6</v>
      </c>
      <c r="AH315" t="n">
        <v>1</v>
      </c>
      <c r="AI315" t="n">
        <v>2</v>
      </c>
      <c r="AJ315" t="n">
        <v>1</v>
      </c>
      <c r="AK315" t="n">
        <v>2</v>
      </c>
      <c r="AL315" t="n">
        <v>2</v>
      </c>
      <c r="AM315" t="n">
        <v>3</v>
      </c>
      <c r="AN315" t="n">
        <v>1</v>
      </c>
      <c r="AO315" t="n">
        <v>1</v>
      </c>
      <c r="AP315" t="n">
        <v>0</v>
      </c>
      <c r="AQ315" t="n">
        <v>0</v>
      </c>
      <c r="AR315" t="inlineStr">
        <is>
          <t>No</t>
        </is>
      </c>
      <c r="AS315" t="inlineStr">
        <is>
          <t>No</t>
        </is>
      </c>
      <c r="AU315">
        <f>HYPERLINK("https://creighton-primo.hosted.exlibrisgroup.com/primo-explore/search?tab=default_tab&amp;search_scope=EVERYTHING&amp;vid=01CRU&amp;lang=en_US&amp;offset=0&amp;query=any,contains,991000370459702656","Catalog Record")</f>
        <v/>
      </c>
      <c r="AV315">
        <f>HYPERLINK("http://www.worldcat.org/oclc/49584036","WorldCat Record")</f>
        <v/>
      </c>
      <c r="AW315" t="inlineStr">
        <is>
          <t>839449361:eng</t>
        </is>
      </c>
      <c r="AX315" t="inlineStr">
        <is>
          <t>49584036</t>
        </is>
      </c>
      <c r="AY315" t="inlineStr">
        <is>
          <t>991000370459702656</t>
        </is>
      </c>
      <c r="AZ315" t="inlineStr">
        <is>
          <t>991000370459702656</t>
        </is>
      </c>
      <c r="BA315" t="inlineStr">
        <is>
          <t>2263789990002656</t>
        </is>
      </c>
      <c r="BB315" t="inlineStr">
        <is>
          <t>BOOK</t>
        </is>
      </c>
      <c r="BD315" t="inlineStr">
        <is>
          <t>9780306472732</t>
        </is>
      </c>
      <c r="BE315" t="inlineStr">
        <is>
          <t>30001004509172</t>
        </is>
      </c>
      <c r="BF315" t="inlineStr">
        <is>
          <t>893264185</t>
        </is>
      </c>
    </row>
    <row r="316">
      <c r="A316" t="inlineStr">
        <is>
          <t>No</t>
        </is>
      </c>
      <c r="B316" t="inlineStr">
        <is>
          <t>CUHSL</t>
        </is>
      </c>
      <c r="C316" t="inlineStr">
        <is>
          <t>SHELVES</t>
        </is>
      </c>
      <c r="D316" t="inlineStr">
        <is>
          <t>WA525 H43582 2002</t>
        </is>
      </c>
      <c r="E316" t="inlineStr">
        <is>
          <t>0                      WA 0525000H  43582       2002</t>
        </is>
      </c>
      <c r="F316" t="inlineStr">
        <is>
          <t>Health promotion : disciplines, diversity, and development / edited by Robin Bunton and Gordon Macdonald.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London ; New York : Routledge, 2002.</t>
        </is>
      </c>
      <c r="O316" t="inlineStr">
        <is>
          <t>2002</t>
        </is>
      </c>
      <c r="P316" t="inlineStr">
        <is>
          <t>2nd ed.</t>
        </is>
      </c>
      <c r="Q316" t="inlineStr">
        <is>
          <t>eng</t>
        </is>
      </c>
      <c r="R316" t="inlineStr">
        <is>
          <t>enk</t>
        </is>
      </c>
      <c r="T316" t="inlineStr">
        <is>
          <t xml:space="preserve">WA </t>
        </is>
      </c>
      <c r="U316" t="n">
        <v>2</v>
      </c>
      <c r="V316" t="n">
        <v>2</v>
      </c>
      <c r="W316" t="inlineStr">
        <is>
          <t>2007-01-30</t>
        </is>
      </c>
      <c r="X316" t="inlineStr">
        <is>
          <t>2007-01-30</t>
        </is>
      </c>
      <c r="Y316" t="inlineStr">
        <is>
          <t>2004-09-09</t>
        </is>
      </c>
      <c r="Z316" t="inlineStr">
        <is>
          <t>2004-09-09</t>
        </is>
      </c>
      <c r="AA316" t="n">
        <v>261</v>
      </c>
      <c r="AB316" t="n">
        <v>114</v>
      </c>
      <c r="AC316" t="n">
        <v>433</v>
      </c>
      <c r="AD316" t="n">
        <v>1</v>
      </c>
      <c r="AE316" t="n">
        <v>1</v>
      </c>
      <c r="AF316" t="n">
        <v>2</v>
      </c>
      <c r="AG316" t="n">
        <v>13</v>
      </c>
      <c r="AH316" t="n">
        <v>0</v>
      </c>
      <c r="AI316" t="n">
        <v>3</v>
      </c>
      <c r="AJ316" t="n">
        <v>1</v>
      </c>
      <c r="AK316" t="n">
        <v>5</v>
      </c>
      <c r="AL316" t="n">
        <v>2</v>
      </c>
      <c r="AM316" t="n">
        <v>10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No</t>
        </is>
      </c>
      <c r="AU316">
        <f>HYPERLINK("https://creighton-primo.hosted.exlibrisgroup.com/primo-explore/search?tab=default_tab&amp;search_scope=EVERYTHING&amp;vid=01CRU&amp;lang=en_US&amp;offset=0&amp;query=any,contains,991000386209702656","Catalog Record")</f>
        <v/>
      </c>
      <c r="AV316">
        <f>HYPERLINK("http://www.worldcat.org/oclc/50403935","WorldCat Record")</f>
        <v/>
      </c>
      <c r="AW316" t="inlineStr">
        <is>
          <t>801945894:eng</t>
        </is>
      </c>
      <c r="AX316" t="inlineStr">
        <is>
          <t>50403935</t>
        </is>
      </c>
      <c r="AY316" t="inlineStr">
        <is>
          <t>991000386209702656</t>
        </is>
      </c>
      <c r="AZ316" t="inlineStr">
        <is>
          <t>991000386209702656</t>
        </is>
      </c>
      <c r="BA316" t="inlineStr">
        <is>
          <t>2256081070002656</t>
        </is>
      </c>
      <c r="BB316" t="inlineStr">
        <is>
          <t>BOOK</t>
        </is>
      </c>
      <c r="BD316" t="inlineStr">
        <is>
          <t>9780415235693</t>
        </is>
      </c>
      <c r="BE316" t="inlineStr">
        <is>
          <t>30001004922466</t>
        </is>
      </c>
      <c r="BF316" t="inlineStr">
        <is>
          <t>893547790</t>
        </is>
      </c>
    </row>
    <row r="317">
      <c r="A317" t="inlineStr">
        <is>
          <t>No</t>
        </is>
      </c>
      <c r="B317" t="inlineStr">
        <is>
          <t>CUHSL</t>
        </is>
      </c>
      <c r="C317" t="inlineStr">
        <is>
          <t>SHELVES</t>
        </is>
      </c>
      <c r="D317" t="inlineStr">
        <is>
          <t>WA 525 H4365 1989</t>
        </is>
      </c>
      <c r="E317" t="inlineStr">
        <is>
          <t>0                      WA 0525000H  4365        1989</t>
        </is>
      </c>
      <c r="F317" t="inlineStr">
        <is>
          <t>Health promotion indicators and actions / Snehendu B. Kar, editor.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New York : Springer Pub. Co., c1989.</t>
        </is>
      </c>
      <c r="O317" t="inlineStr">
        <is>
          <t>1989</t>
        </is>
      </c>
      <c r="Q317" t="inlineStr">
        <is>
          <t>eng</t>
        </is>
      </c>
      <c r="R317" t="inlineStr">
        <is>
          <t>nyu</t>
        </is>
      </c>
      <c r="T317" t="inlineStr">
        <is>
          <t xml:space="preserve">WA </t>
        </is>
      </c>
      <c r="U317" t="n">
        <v>4</v>
      </c>
      <c r="V317" t="n">
        <v>4</v>
      </c>
      <c r="W317" t="inlineStr">
        <is>
          <t>2004-11-19</t>
        </is>
      </c>
      <c r="X317" t="inlineStr">
        <is>
          <t>2004-11-19</t>
        </is>
      </c>
      <c r="Y317" t="inlineStr">
        <is>
          <t>1995-06-07</t>
        </is>
      </c>
      <c r="Z317" t="inlineStr">
        <is>
          <t>1995-06-07</t>
        </is>
      </c>
      <c r="AA317" t="n">
        <v>254</v>
      </c>
      <c r="AB317" t="n">
        <v>208</v>
      </c>
      <c r="AC317" t="n">
        <v>215</v>
      </c>
      <c r="AD317" t="n">
        <v>3</v>
      </c>
      <c r="AE317" t="n">
        <v>3</v>
      </c>
      <c r="AF317" t="n">
        <v>13</v>
      </c>
      <c r="AG317" t="n">
        <v>13</v>
      </c>
      <c r="AH317" t="n">
        <v>3</v>
      </c>
      <c r="AI317" t="n">
        <v>3</v>
      </c>
      <c r="AJ317" t="n">
        <v>4</v>
      </c>
      <c r="AK317" t="n">
        <v>4</v>
      </c>
      <c r="AL317" t="n">
        <v>8</v>
      </c>
      <c r="AM317" t="n">
        <v>8</v>
      </c>
      <c r="AN317" t="n">
        <v>2</v>
      </c>
      <c r="AO317" t="n">
        <v>2</v>
      </c>
      <c r="AP317" t="n">
        <v>1</v>
      </c>
      <c r="AQ317" t="n">
        <v>1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HYPERLINK("http://catalog.hathitrust.org/Record/004453697","HathiTrust Record")</f>
        <v/>
      </c>
      <c r="AU317">
        <f>HYPERLINK("https://creighton-primo.hosted.exlibrisgroup.com/primo-explore/search?tab=default_tab&amp;search_scope=EVERYTHING&amp;vid=01CRU&amp;lang=en_US&amp;offset=0&amp;query=any,contains,991001401069702656","Catalog Record")</f>
        <v/>
      </c>
      <c r="AV317">
        <f>HYPERLINK("http://www.worldcat.org/oclc/19590063","WorldCat Record")</f>
        <v/>
      </c>
      <c r="AW317" t="inlineStr">
        <is>
          <t>967652:eng</t>
        </is>
      </c>
      <c r="AX317" t="inlineStr">
        <is>
          <t>19590063</t>
        </is>
      </c>
      <c r="AY317" t="inlineStr">
        <is>
          <t>991001401069702656</t>
        </is>
      </c>
      <c r="AZ317" t="inlineStr">
        <is>
          <t>991001401069702656</t>
        </is>
      </c>
      <c r="BA317" t="inlineStr">
        <is>
          <t>2267544670002656</t>
        </is>
      </c>
      <c r="BB317" t="inlineStr">
        <is>
          <t>BOOK</t>
        </is>
      </c>
      <c r="BD317" t="inlineStr">
        <is>
          <t>9780826165404</t>
        </is>
      </c>
      <c r="BE317" t="inlineStr">
        <is>
          <t>30001003148147</t>
        </is>
      </c>
      <c r="BF317" t="inlineStr">
        <is>
          <t>893546669</t>
        </is>
      </c>
    </row>
    <row r="318">
      <c r="A318" t="inlineStr">
        <is>
          <t>No</t>
        </is>
      </c>
      <c r="B318" t="inlineStr">
        <is>
          <t>CUHSL</t>
        </is>
      </c>
      <c r="C318" t="inlineStr">
        <is>
          <t>SHELVES</t>
        </is>
      </c>
      <c r="D318" t="inlineStr">
        <is>
          <t>WA 525 H4375 2002</t>
        </is>
      </c>
      <c r="E318" t="inlineStr">
        <is>
          <t>0                      WA 0525000H  4375        2002</t>
        </is>
      </c>
      <c r="F318" t="inlineStr">
        <is>
          <t>Health targets in Europe : policy, progress and promise / edited by Marshall Marinker.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London : BMJ Books, 2002.</t>
        </is>
      </c>
      <c r="O318" t="inlineStr">
        <is>
          <t>2002</t>
        </is>
      </c>
      <c r="Q318" t="inlineStr">
        <is>
          <t>eng</t>
        </is>
      </c>
      <c r="R318" t="inlineStr">
        <is>
          <t>enk</t>
        </is>
      </c>
      <c r="T318" t="inlineStr">
        <is>
          <t xml:space="preserve">WA </t>
        </is>
      </c>
      <c r="U318" t="n">
        <v>0</v>
      </c>
      <c r="V318" t="n">
        <v>0</v>
      </c>
      <c r="W318" t="inlineStr">
        <is>
          <t>2003-10-17</t>
        </is>
      </c>
      <c r="X318" t="inlineStr">
        <is>
          <t>2003-10-17</t>
        </is>
      </c>
      <c r="Y318" t="inlineStr">
        <is>
          <t>2003-10-17</t>
        </is>
      </c>
      <c r="Z318" t="inlineStr">
        <is>
          <t>2003-10-17</t>
        </is>
      </c>
      <c r="AA318" t="n">
        <v>74</v>
      </c>
      <c r="AB318" t="n">
        <v>35</v>
      </c>
      <c r="AC318" t="n">
        <v>387</v>
      </c>
      <c r="AD318" t="n">
        <v>1</v>
      </c>
      <c r="AE318" t="n">
        <v>1</v>
      </c>
      <c r="AF318" t="n">
        <v>0</v>
      </c>
      <c r="AG318" t="n">
        <v>5</v>
      </c>
      <c r="AH318" t="n">
        <v>0</v>
      </c>
      <c r="AI318" t="n">
        <v>2</v>
      </c>
      <c r="AJ318" t="n">
        <v>0</v>
      </c>
      <c r="AK318" t="n">
        <v>1</v>
      </c>
      <c r="AL318" t="n">
        <v>0</v>
      </c>
      <c r="AM318" t="n">
        <v>2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No</t>
        </is>
      </c>
      <c r="AU318">
        <f>HYPERLINK("https://creighton-primo.hosted.exlibrisgroup.com/primo-explore/search?tab=default_tab&amp;search_scope=EVERYTHING&amp;vid=01CRU&amp;lang=en_US&amp;offset=0&amp;query=any,contains,991000358669702656","Catalog Record")</f>
        <v/>
      </c>
      <c r="AV318">
        <f>HYPERLINK("http://www.worldcat.org/oclc/48572144","WorldCat Record")</f>
        <v/>
      </c>
      <c r="AW318" t="inlineStr">
        <is>
          <t>800160149:eng</t>
        </is>
      </c>
      <c r="AX318" t="inlineStr">
        <is>
          <t>48572144</t>
        </is>
      </c>
      <c r="AY318" t="inlineStr">
        <is>
          <t>991000358669702656</t>
        </is>
      </c>
      <c r="AZ318" t="inlineStr">
        <is>
          <t>991000358669702656</t>
        </is>
      </c>
      <c r="BA318" t="inlineStr">
        <is>
          <t>2259455440002656</t>
        </is>
      </c>
      <c r="BB318" t="inlineStr">
        <is>
          <t>BOOK</t>
        </is>
      </c>
      <c r="BD318" t="inlineStr">
        <is>
          <t>9780727916426</t>
        </is>
      </c>
      <c r="BE318" t="inlineStr">
        <is>
          <t>30001004217974</t>
        </is>
      </c>
      <c r="BF318" t="inlineStr">
        <is>
          <t>893553450</t>
        </is>
      </c>
    </row>
    <row r="319">
      <c r="A319" t="inlineStr">
        <is>
          <t>No</t>
        </is>
      </c>
      <c r="B319" t="inlineStr">
        <is>
          <t>CUHSL</t>
        </is>
      </c>
      <c r="C319" t="inlineStr">
        <is>
          <t>SHELVES</t>
        </is>
      </c>
      <c r="D319" t="inlineStr">
        <is>
          <t>WA 525 I14e 1985</t>
        </is>
      </c>
      <c r="E319" t="inlineStr">
        <is>
          <t>0                      WA 0525000I  14e         1985</t>
        </is>
      </c>
      <c r="F319" t="inlineStr">
        <is>
          <t>Epidemiology and health policy / Michel A. Ibrahim.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Ibrahim, Michel A., 1934-</t>
        </is>
      </c>
      <c r="N319" t="inlineStr">
        <is>
          <t>Rockville, Md. : Aspen Systems Corp., c1985.</t>
        </is>
      </c>
      <c r="O319" t="inlineStr">
        <is>
          <t>1985</t>
        </is>
      </c>
      <c r="Q319" t="inlineStr">
        <is>
          <t>eng</t>
        </is>
      </c>
      <c r="R319" t="inlineStr">
        <is>
          <t>xxu</t>
        </is>
      </c>
      <c r="T319" t="inlineStr">
        <is>
          <t xml:space="preserve">WA </t>
        </is>
      </c>
      <c r="U319" t="n">
        <v>2</v>
      </c>
      <c r="V319" t="n">
        <v>2</v>
      </c>
      <c r="W319" t="inlineStr">
        <is>
          <t>2007-01-30</t>
        </is>
      </c>
      <c r="X319" t="inlineStr">
        <is>
          <t>2007-01-30</t>
        </is>
      </c>
      <c r="Y319" t="inlineStr">
        <is>
          <t>1988-01-07</t>
        </is>
      </c>
      <c r="Z319" t="inlineStr">
        <is>
          <t>1988-01-07</t>
        </is>
      </c>
      <c r="AA319" t="n">
        <v>286</v>
      </c>
      <c r="AB319" t="n">
        <v>255</v>
      </c>
      <c r="AC319" t="n">
        <v>257</v>
      </c>
      <c r="AD319" t="n">
        <v>4</v>
      </c>
      <c r="AE319" t="n">
        <v>4</v>
      </c>
      <c r="AF319" t="n">
        <v>10</v>
      </c>
      <c r="AG319" t="n">
        <v>10</v>
      </c>
      <c r="AH319" t="n">
        <v>1</v>
      </c>
      <c r="AI319" t="n">
        <v>1</v>
      </c>
      <c r="AJ319" t="n">
        <v>2</v>
      </c>
      <c r="AK319" t="n">
        <v>2</v>
      </c>
      <c r="AL319" t="n">
        <v>6</v>
      </c>
      <c r="AM319" t="n">
        <v>6</v>
      </c>
      <c r="AN319" t="n">
        <v>3</v>
      </c>
      <c r="AO319" t="n">
        <v>3</v>
      </c>
      <c r="AP319" t="n">
        <v>1</v>
      </c>
      <c r="AQ319" t="n">
        <v>1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HYPERLINK("http://catalog.hathitrust.org/Record/000417990","HathiTrust Record")</f>
        <v/>
      </c>
      <c r="AU319">
        <f>HYPERLINK("https://creighton-primo.hosted.exlibrisgroup.com/primo-explore/search?tab=default_tab&amp;search_scope=EVERYTHING&amp;vid=01CRU&amp;lang=en_US&amp;offset=0&amp;query=any,contains,991000727469702656","Catalog Record")</f>
        <v/>
      </c>
      <c r="AV319">
        <f>HYPERLINK("http://www.worldcat.org/oclc/11755756","WorldCat Record")</f>
        <v/>
      </c>
      <c r="AW319" t="inlineStr">
        <is>
          <t>4306595:eng</t>
        </is>
      </c>
      <c r="AX319" t="inlineStr">
        <is>
          <t>11755756</t>
        </is>
      </c>
      <c r="AY319" t="inlineStr">
        <is>
          <t>991000727469702656</t>
        </is>
      </c>
      <c r="AZ319" t="inlineStr">
        <is>
          <t>991000727469702656</t>
        </is>
      </c>
      <c r="BA319" t="inlineStr">
        <is>
          <t>2256624030002656</t>
        </is>
      </c>
      <c r="BB319" t="inlineStr">
        <is>
          <t>BOOK</t>
        </is>
      </c>
      <c r="BD319" t="inlineStr">
        <is>
          <t>9780871891006</t>
        </is>
      </c>
      <c r="BE319" t="inlineStr">
        <is>
          <t>30001000707309</t>
        </is>
      </c>
      <c r="BF319" t="inlineStr">
        <is>
          <t>893735444</t>
        </is>
      </c>
    </row>
    <row r="320">
      <c r="A320" t="inlineStr">
        <is>
          <t>No</t>
        </is>
      </c>
      <c r="B320" t="inlineStr">
        <is>
          <t>CUHSL</t>
        </is>
      </c>
      <c r="C320" t="inlineStr">
        <is>
          <t>SHELVES</t>
        </is>
      </c>
      <c r="D320" t="inlineStr">
        <is>
          <t>WA 525 L852h 1998</t>
        </is>
      </c>
      <c r="E320" t="inlineStr">
        <is>
          <t>0                      WA 0525000L  852h        1998</t>
        </is>
      </c>
      <c r="F320" t="inlineStr">
        <is>
          <t>Health policymaking in the United States / Beaufort B. Longest, Jr.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Yes</t>
        </is>
      </c>
      <c r="L320" t="inlineStr">
        <is>
          <t>6</t>
        </is>
      </c>
      <c r="M320" t="inlineStr">
        <is>
          <t>Longest, Beaufort B., Jr.</t>
        </is>
      </c>
      <c r="N320" t="inlineStr">
        <is>
          <t>Chicago : Health Administration Press, c1998.</t>
        </is>
      </c>
      <c r="O320" t="inlineStr">
        <is>
          <t>1998</t>
        </is>
      </c>
      <c r="P320" t="inlineStr">
        <is>
          <t>2nd ed.</t>
        </is>
      </c>
      <c r="Q320" t="inlineStr">
        <is>
          <t>eng</t>
        </is>
      </c>
      <c r="R320" t="inlineStr">
        <is>
          <t>ilu</t>
        </is>
      </c>
      <c r="T320" t="inlineStr">
        <is>
          <t xml:space="preserve">WA </t>
        </is>
      </c>
      <c r="U320" t="n">
        <v>37</v>
      </c>
      <c r="V320" t="n">
        <v>37</v>
      </c>
      <c r="W320" t="inlineStr">
        <is>
          <t>2008-02-15</t>
        </is>
      </c>
      <c r="X320" t="inlineStr">
        <is>
          <t>2008-02-15</t>
        </is>
      </c>
      <c r="Y320" t="inlineStr">
        <is>
          <t>2001-10-23</t>
        </is>
      </c>
      <c r="Z320" t="inlineStr">
        <is>
          <t>2001-10-23</t>
        </is>
      </c>
      <c r="AA320" t="n">
        <v>163</v>
      </c>
      <c r="AB320" t="n">
        <v>154</v>
      </c>
      <c r="AC320" t="n">
        <v>2136</v>
      </c>
      <c r="AD320" t="n">
        <v>1</v>
      </c>
      <c r="AE320" t="n">
        <v>44</v>
      </c>
      <c r="AF320" t="n">
        <v>7</v>
      </c>
      <c r="AG320" t="n">
        <v>65</v>
      </c>
      <c r="AH320" t="n">
        <v>3</v>
      </c>
      <c r="AI320" t="n">
        <v>20</v>
      </c>
      <c r="AJ320" t="n">
        <v>0</v>
      </c>
      <c r="AK320" t="n">
        <v>10</v>
      </c>
      <c r="AL320" t="n">
        <v>1</v>
      </c>
      <c r="AM320" t="n">
        <v>18</v>
      </c>
      <c r="AN320" t="n">
        <v>0</v>
      </c>
      <c r="AO320" t="n">
        <v>18</v>
      </c>
      <c r="AP320" t="n">
        <v>3</v>
      </c>
      <c r="AQ320" t="n">
        <v>8</v>
      </c>
      <c r="AR320" t="inlineStr">
        <is>
          <t>No</t>
        </is>
      </c>
      <c r="AS320" t="inlineStr">
        <is>
          <t>No</t>
        </is>
      </c>
      <c r="AU320">
        <f>HYPERLINK("https://creighton-primo.hosted.exlibrisgroup.com/primo-explore/search?tab=default_tab&amp;search_scope=EVERYTHING&amp;vid=01CRU&amp;lang=en_US&amp;offset=0&amp;query=any,contains,991001412979702656","Catalog Record")</f>
        <v/>
      </c>
      <c r="AV320">
        <f>HYPERLINK("http://www.worldcat.org/oclc/37573481","WorldCat Record")</f>
        <v/>
      </c>
      <c r="AW320" t="inlineStr">
        <is>
          <t>679739:eng</t>
        </is>
      </c>
      <c r="AX320" t="inlineStr">
        <is>
          <t>37573481</t>
        </is>
      </c>
      <c r="AY320" t="inlineStr">
        <is>
          <t>991001412979702656</t>
        </is>
      </c>
      <c r="AZ320" t="inlineStr">
        <is>
          <t>991001412979702656</t>
        </is>
      </c>
      <c r="BA320" t="inlineStr">
        <is>
          <t>2255417290002656</t>
        </is>
      </c>
      <c r="BB320" t="inlineStr">
        <is>
          <t>BOOK</t>
        </is>
      </c>
      <c r="BD320" t="inlineStr">
        <is>
          <t>9781567930726</t>
        </is>
      </c>
      <c r="BE320" t="inlineStr">
        <is>
          <t>30001004235455</t>
        </is>
      </c>
      <c r="BF320" t="inlineStr">
        <is>
          <t>893557949</t>
        </is>
      </c>
    </row>
    <row r="321">
      <c r="A321" t="inlineStr">
        <is>
          <t>No</t>
        </is>
      </c>
      <c r="B321" t="inlineStr">
        <is>
          <t>CUHSL</t>
        </is>
      </c>
      <c r="C321" t="inlineStr">
        <is>
          <t>SHELVES</t>
        </is>
      </c>
      <c r="D321" t="inlineStr">
        <is>
          <t>WA 525 P597a 1993</t>
        </is>
      </c>
      <c r="E321" t="inlineStr">
        <is>
          <t>0                      WA 0525000P  597a        1993</t>
        </is>
      </c>
      <c r="F321" t="inlineStr">
        <is>
          <t>Assessing health need using the life cycle framework / Chrissie Pickin and Selwyn St. Leger.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Pickin, Chrissie, 1959-</t>
        </is>
      </c>
      <c r="N321" t="inlineStr">
        <is>
          <t>Buckingham ; Philadelphia : Open University Press, c1993.</t>
        </is>
      </c>
      <c r="O321" t="inlineStr">
        <is>
          <t>1993</t>
        </is>
      </c>
      <c r="Q321" t="inlineStr">
        <is>
          <t>eng</t>
        </is>
      </c>
      <c r="R321" t="inlineStr">
        <is>
          <t>enk</t>
        </is>
      </c>
      <c r="T321" t="inlineStr">
        <is>
          <t xml:space="preserve">WA </t>
        </is>
      </c>
      <c r="U321" t="n">
        <v>7</v>
      </c>
      <c r="V321" t="n">
        <v>7</v>
      </c>
      <c r="W321" t="inlineStr">
        <is>
          <t>1999-03-30</t>
        </is>
      </c>
      <c r="X321" t="inlineStr">
        <is>
          <t>1999-03-30</t>
        </is>
      </c>
      <c r="Y321" t="inlineStr">
        <is>
          <t>1993-03-04</t>
        </is>
      </c>
      <c r="Z321" t="inlineStr">
        <is>
          <t>1993-03-04</t>
        </is>
      </c>
      <c r="AA321" t="n">
        <v>171</v>
      </c>
      <c r="AB321" t="n">
        <v>60</v>
      </c>
      <c r="AC321" t="n">
        <v>61</v>
      </c>
      <c r="AD321" t="n">
        <v>1</v>
      </c>
      <c r="AE321" t="n">
        <v>1</v>
      </c>
      <c r="AF321" t="n">
        <v>2</v>
      </c>
      <c r="AG321" t="n">
        <v>2</v>
      </c>
      <c r="AH321" t="n">
        <v>1</v>
      </c>
      <c r="AI321" t="n">
        <v>1</v>
      </c>
      <c r="AJ321" t="n">
        <v>0</v>
      </c>
      <c r="AK321" t="n">
        <v>0</v>
      </c>
      <c r="AL321" t="n">
        <v>2</v>
      </c>
      <c r="AM321" t="n">
        <v>2</v>
      </c>
      <c r="AN321" t="n">
        <v>0</v>
      </c>
      <c r="AO321" t="n">
        <v>0</v>
      </c>
      <c r="AP321" t="n">
        <v>0</v>
      </c>
      <c r="AQ321" t="n">
        <v>0</v>
      </c>
      <c r="AR321" t="inlineStr">
        <is>
          <t>No</t>
        </is>
      </c>
      <c r="AS321" t="inlineStr">
        <is>
          <t>No</t>
        </is>
      </c>
      <c r="AU321">
        <f>HYPERLINK("https://creighton-primo.hosted.exlibrisgroup.com/primo-explore/search?tab=default_tab&amp;search_scope=EVERYTHING&amp;vid=01CRU&amp;lang=en_US&amp;offset=0&amp;query=any,contains,991001432139702656","Catalog Record")</f>
        <v/>
      </c>
      <c r="AV321">
        <f>HYPERLINK("http://www.worldcat.org/oclc/25869975","WorldCat Record")</f>
        <v/>
      </c>
      <c r="AW321" t="inlineStr">
        <is>
          <t>28595346:eng</t>
        </is>
      </c>
      <c r="AX321" t="inlineStr">
        <is>
          <t>25869975</t>
        </is>
      </c>
      <c r="AY321" t="inlineStr">
        <is>
          <t>991001432139702656</t>
        </is>
      </c>
      <c r="AZ321" t="inlineStr">
        <is>
          <t>991001432139702656</t>
        </is>
      </c>
      <c r="BA321" t="inlineStr">
        <is>
          <t>2263391620002656</t>
        </is>
      </c>
      <c r="BB321" t="inlineStr">
        <is>
          <t>BOOK</t>
        </is>
      </c>
      <c r="BD321" t="inlineStr">
        <is>
          <t>9780335157426</t>
        </is>
      </c>
      <c r="BE321" t="inlineStr">
        <is>
          <t>30001002529750</t>
        </is>
      </c>
      <c r="BF321" t="inlineStr">
        <is>
          <t>893638306</t>
        </is>
      </c>
    </row>
    <row r="322">
      <c r="A322" t="inlineStr">
        <is>
          <t>No</t>
        </is>
      </c>
      <c r="B322" t="inlineStr">
        <is>
          <t>CUHSL</t>
        </is>
      </c>
      <c r="C322" t="inlineStr">
        <is>
          <t>SHELVES</t>
        </is>
      </c>
      <c r="D322" t="inlineStr">
        <is>
          <t>WA 525 S896 1988</t>
        </is>
      </c>
      <c r="E322" t="inlineStr">
        <is>
          <t>0                      WA 0525000S  896         1988</t>
        </is>
      </c>
      <c r="F322" t="inlineStr">
        <is>
          <t>Strategic management in the health care sector : toward the year 2000 / [edited by] Farhad Simyar, Joseph Lloyd-Jones.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Englewood Cliffs, N.J. : Prentice Hall, c1988.</t>
        </is>
      </c>
      <c r="O322" t="inlineStr">
        <is>
          <t>1988</t>
        </is>
      </c>
      <c r="Q322" t="inlineStr">
        <is>
          <t>eng</t>
        </is>
      </c>
      <c r="R322" t="inlineStr">
        <is>
          <t>nju</t>
        </is>
      </c>
      <c r="T322" t="inlineStr">
        <is>
          <t xml:space="preserve">WA </t>
        </is>
      </c>
      <c r="U322" t="n">
        <v>8</v>
      </c>
      <c r="V322" t="n">
        <v>8</v>
      </c>
      <c r="W322" t="inlineStr">
        <is>
          <t>1999-01-20</t>
        </is>
      </c>
      <c r="X322" t="inlineStr">
        <is>
          <t>1999-01-20</t>
        </is>
      </c>
      <c r="Y322" t="inlineStr">
        <is>
          <t>1989-01-20</t>
        </is>
      </c>
      <c r="Z322" t="inlineStr">
        <is>
          <t>1989-01-20</t>
        </is>
      </c>
      <c r="AA322" t="n">
        <v>218</v>
      </c>
      <c r="AB322" t="n">
        <v>177</v>
      </c>
      <c r="AC322" t="n">
        <v>179</v>
      </c>
      <c r="AD322" t="n">
        <v>1</v>
      </c>
      <c r="AE322" t="n">
        <v>1</v>
      </c>
      <c r="AF322" t="n">
        <v>9</v>
      </c>
      <c r="AG322" t="n">
        <v>9</v>
      </c>
      <c r="AH322" t="n">
        <v>3</v>
      </c>
      <c r="AI322" t="n">
        <v>3</v>
      </c>
      <c r="AJ322" t="n">
        <v>3</v>
      </c>
      <c r="AK322" t="n">
        <v>3</v>
      </c>
      <c r="AL322" t="n">
        <v>7</v>
      </c>
      <c r="AM322" t="n">
        <v>7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HYPERLINK("http://catalog.hathitrust.org/Record/004439850","HathiTrust Record")</f>
        <v/>
      </c>
      <c r="AU322">
        <f>HYPERLINK("https://creighton-primo.hosted.exlibrisgroup.com/primo-explore/search?tab=default_tab&amp;search_scope=EVERYTHING&amp;vid=01CRU&amp;lang=en_US&amp;offset=0&amp;query=any,contains,991001112139702656","Catalog Record")</f>
        <v/>
      </c>
      <c r="AV322">
        <f>HYPERLINK("http://www.worldcat.org/oclc/17261849","WorldCat Record")</f>
        <v/>
      </c>
      <c r="AW322" t="inlineStr">
        <is>
          <t>836743891:eng</t>
        </is>
      </c>
      <c r="AX322" t="inlineStr">
        <is>
          <t>17261849</t>
        </is>
      </c>
      <c r="AY322" t="inlineStr">
        <is>
          <t>991001112139702656</t>
        </is>
      </c>
      <c r="AZ322" t="inlineStr">
        <is>
          <t>991001112139702656</t>
        </is>
      </c>
      <c r="BA322" t="inlineStr">
        <is>
          <t>2268278060002656</t>
        </is>
      </c>
      <c r="BB322" t="inlineStr">
        <is>
          <t>BOOK</t>
        </is>
      </c>
      <c r="BD322" t="inlineStr">
        <is>
          <t>9780138516192</t>
        </is>
      </c>
      <c r="BE322" t="inlineStr">
        <is>
          <t>30001001612334</t>
        </is>
      </c>
      <c r="BF322" t="inlineStr">
        <is>
          <t>893541030</t>
        </is>
      </c>
    </row>
    <row r="323">
      <c r="A323" t="inlineStr">
        <is>
          <t>No</t>
        </is>
      </c>
      <c r="B323" t="inlineStr">
        <is>
          <t>CUHSL</t>
        </is>
      </c>
      <c r="C323" t="inlineStr">
        <is>
          <t>SHELVES</t>
        </is>
      </c>
      <c r="D323" t="inlineStr">
        <is>
          <t>WA 525 V461h 1982</t>
        </is>
      </c>
      <c r="E323" t="inlineStr">
        <is>
          <t>0                      WA 0525000V  461h        1982</t>
        </is>
      </c>
      <c r="F323" t="inlineStr">
        <is>
          <t>The human side of health administration : a guide for hospital, nursing, and public health administrators / Robert L. Veninga.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Veninga, Robert L.</t>
        </is>
      </c>
      <c r="N323" t="inlineStr">
        <is>
          <t>Englewood Cliffs, N.J. : Prentice-Hall, c1982.</t>
        </is>
      </c>
      <c r="O323" t="inlineStr">
        <is>
          <t>1982</t>
        </is>
      </c>
      <c r="Q323" t="inlineStr">
        <is>
          <t>eng</t>
        </is>
      </c>
      <c r="R323" t="inlineStr">
        <is>
          <t>nju</t>
        </is>
      </c>
      <c r="T323" t="inlineStr">
        <is>
          <t xml:space="preserve">WA </t>
        </is>
      </c>
      <c r="U323" t="n">
        <v>8</v>
      </c>
      <c r="V323" t="n">
        <v>8</v>
      </c>
      <c r="W323" t="inlineStr">
        <is>
          <t>2002-02-26</t>
        </is>
      </c>
      <c r="X323" t="inlineStr">
        <is>
          <t>2002-02-26</t>
        </is>
      </c>
      <c r="Y323" t="inlineStr">
        <is>
          <t>1988-01-07</t>
        </is>
      </c>
      <c r="Z323" t="inlineStr">
        <is>
          <t>1988-01-07</t>
        </is>
      </c>
      <c r="AA323" t="n">
        <v>225</v>
      </c>
      <c r="AB323" t="n">
        <v>180</v>
      </c>
      <c r="AC323" t="n">
        <v>182</v>
      </c>
      <c r="AD323" t="n">
        <v>2</v>
      </c>
      <c r="AE323" t="n">
        <v>2</v>
      </c>
      <c r="AF323" t="n">
        <v>4</v>
      </c>
      <c r="AG323" t="n">
        <v>4</v>
      </c>
      <c r="AH323" t="n">
        <v>2</v>
      </c>
      <c r="AI323" t="n">
        <v>2</v>
      </c>
      <c r="AJ323" t="n">
        <v>0</v>
      </c>
      <c r="AK323" t="n">
        <v>0</v>
      </c>
      <c r="AL323" t="n">
        <v>2</v>
      </c>
      <c r="AM323" t="n">
        <v>2</v>
      </c>
      <c r="AN323" t="n">
        <v>1</v>
      </c>
      <c r="AO323" t="n">
        <v>1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HYPERLINK("http://catalog.hathitrust.org/Record/000103574","HathiTrust Record")</f>
        <v/>
      </c>
      <c r="AU323">
        <f>HYPERLINK("https://creighton-primo.hosted.exlibrisgroup.com/primo-explore/search?tab=default_tab&amp;search_scope=EVERYTHING&amp;vid=01CRU&amp;lang=en_US&amp;offset=0&amp;query=any,contains,991000727949702656","Catalog Record")</f>
        <v/>
      </c>
      <c r="AV323">
        <f>HYPERLINK("http://www.worldcat.org/oclc/7976352","WorldCat Record")</f>
        <v/>
      </c>
      <c r="AW323" t="inlineStr">
        <is>
          <t>197441978:eng</t>
        </is>
      </c>
      <c r="AX323" t="inlineStr">
        <is>
          <t>7976352</t>
        </is>
      </c>
      <c r="AY323" t="inlineStr">
        <is>
          <t>991000727949702656</t>
        </is>
      </c>
      <c r="AZ323" t="inlineStr">
        <is>
          <t>991000727949702656</t>
        </is>
      </c>
      <c r="BA323" t="inlineStr">
        <is>
          <t>2262170620002656</t>
        </is>
      </c>
      <c r="BB323" t="inlineStr">
        <is>
          <t>BOOK</t>
        </is>
      </c>
      <c r="BD323" t="inlineStr">
        <is>
          <t>9780134478135</t>
        </is>
      </c>
      <c r="BE323" t="inlineStr">
        <is>
          <t>30001000707424</t>
        </is>
      </c>
      <c r="BF323" t="inlineStr">
        <is>
          <t>893464588</t>
        </is>
      </c>
    </row>
    <row r="324">
      <c r="A324" t="inlineStr">
        <is>
          <t>No</t>
        </is>
      </c>
      <c r="B324" t="inlineStr">
        <is>
          <t>CUHSL</t>
        </is>
      </c>
      <c r="C324" t="inlineStr">
        <is>
          <t>SHELVES</t>
        </is>
      </c>
      <c r="D324" t="inlineStr">
        <is>
          <t>WA 525 Y73t 2002</t>
        </is>
      </c>
      <c r="E324" t="inlineStr">
        <is>
          <t>0                      WA 0525000Y  73t         2002</t>
        </is>
      </c>
      <c r="F324" t="inlineStr">
        <is>
          <t>Transforming health promotion practice : concepts, issues, and applications / Lynne E. Young, Virginia E. Hayes.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Young, Lynne E.</t>
        </is>
      </c>
      <c r="N324" t="inlineStr">
        <is>
          <t>Philadelphia : F.A. Davis Co., c2002.</t>
        </is>
      </c>
      <c r="O324" t="inlineStr">
        <is>
          <t>2002</t>
        </is>
      </c>
      <c r="Q324" t="inlineStr">
        <is>
          <t>eng</t>
        </is>
      </c>
      <c r="R324" t="inlineStr">
        <is>
          <t>pau</t>
        </is>
      </c>
      <c r="T324" t="inlineStr">
        <is>
          <t xml:space="preserve">WA </t>
        </is>
      </c>
      <c r="U324" t="n">
        <v>1</v>
      </c>
      <c r="V324" t="n">
        <v>1</v>
      </c>
      <c r="W324" t="inlineStr">
        <is>
          <t>2010-02-08</t>
        </is>
      </c>
      <c r="X324" t="inlineStr">
        <is>
          <t>2010-02-08</t>
        </is>
      </c>
      <c r="Y324" t="inlineStr">
        <is>
          <t>2009-09-29</t>
        </is>
      </c>
      <c r="Z324" t="inlineStr">
        <is>
          <t>2009-09-29</t>
        </is>
      </c>
      <c r="AA324" t="n">
        <v>360</v>
      </c>
      <c r="AB324" t="n">
        <v>249</v>
      </c>
      <c r="AC324" t="n">
        <v>886</v>
      </c>
      <c r="AD324" t="n">
        <v>1</v>
      </c>
      <c r="AE324" t="n">
        <v>25</v>
      </c>
      <c r="AF324" t="n">
        <v>11</v>
      </c>
      <c r="AG324" t="n">
        <v>29</v>
      </c>
      <c r="AH324" t="n">
        <v>5</v>
      </c>
      <c r="AI324" t="n">
        <v>10</v>
      </c>
      <c r="AJ324" t="n">
        <v>2</v>
      </c>
      <c r="AK324" t="n">
        <v>4</v>
      </c>
      <c r="AL324" t="n">
        <v>6</v>
      </c>
      <c r="AM324" t="n">
        <v>9</v>
      </c>
      <c r="AN324" t="n">
        <v>0</v>
      </c>
      <c r="AO324" t="n">
        <v>10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U324">
        <f>HYPERLINK("https://creighton-primo.hosted.exlibrisgroup.com/primo-explore/search?tab=default_tab&amp;search_scope=EVERYTHING&amp;vid=01CRU&amp;lang=en_US&amp;offset=0&amp;query=any,contains,991001495399702656","Catalog Record")</f>
        <v/>
      </c>
      <c r="AV324">
        <f>HYPERLINK("http://www.worldcat.org/oclc/47183438","WorldCat Record")</f>
        <v/>
      </c>
      <c r="AW324" t="inlineStr">
        <is>
          <t>800413996:eng</t>
        </is>
      </c>
      <c r="AX324" t="inlineStr">
        <is>
          <t>47183438</t>
        </is>
      </c>
      <c r="AY324" t="inlineStr">
        <is>
          <t>991001495399702656</t>
        </is>
      </c>
      <c r="AZ324" t="inlineStr">
        <is>
          <t>991001495399702656</t>
        </is>
      </c>
      <c r="BA324" t="inlineStr">
        <is>
          <t>2269839510002656</t>
        </is>
      </c>
      <c r="BB324" t="inlineStr">
        <is>
          <t>BOOK</t>
        </is>
      </c>
      <c r="BD324" t="inlineStr">
        <is>
          <t>9780803608146</t>
        </is>
      </c>
      <c r="BE324" t="inlineStr">
        <is>
          <t>30001004919843</t>
        </is>
      </c>
      <c r="BF324" t="inlineStr">
        <is>
          <t>893732101</t>
        </is>
      </c>
    </row>
    <row r="325">
      <c r="A325" t="inlineStr">
        <is>
          <t>No</t>
        </is>
      </c>
      <c r="B325" t="inlineStr">
        <is>
          <t>CUHSL</t>
        </is>
      </c>
      <c r="C325" t="inlineStr">
        <is>
          <t>SHELVES</t>
        </is>
      </c>
      <c r="D325" t="inlineStr">
        <is>
          <t>WA 540 AA1 B37h 1988</t>
        </is>
      </c>
      <c r="E325" t="inlineStr">
        <is>
          <t>0                      WA 0540000AA 1                  B  37h         1988</t>
        </is>
      </c>
      <c r="F325" t="inlineStr">
        <is>
          <t>The health of the Republic : epidemics, medicine, and moralism as challenges to democracy / Dan E. Beauchamp.</t>
        </is>
      </c>
      <c r="H325" t="inlineStr">
        <is>
          <t>No</t>
        </is>
      </c>
      <c r="I325" t="inlineStr">
        <is>
          <t>1</t>
        </is>
      </c>
      <c r="J325" t="inlineStr">
        <is>
          <t>Yes</t>
        </is>
      </c>
      <c r="K325" t="inlineStr">
        <is>
          <t>No</t>
        </is>
      </c>
      <c r="L325" t="inlineStr">
        <is>
          <t>0</t>
        </is>
      </c>
      <c r="M325" t="inlineStr">
        <is>
          <t>Beauchamp, Dan E.</t>
        </is>
      </c>
      <c r="N325" t="inlineStr">
        <is>
          <t>Philadelphia : Temple University Press, c1988.</t>
        </is>
      </c>
      <c r="O325" t="inlineStr">
        <is>
          <t>1988</t>
        </is>
      </c>
      <c r="Q325" t="inlineStr">
        <is>
          <t>eng</t>
        </is>
      </c>
      <c r="R325" t="inlineStr">
        <is>
          <t>xxu</t>
        </is>
      </c>
      <c r="S325" t="inlineStr">
        <is>
          <t>Health, society, and policy</t>
        </is>
      </c>
      <c r="T325" t="inlineStr">
        <is>
          <t xml:space="preserve">WA </t>
        </is>
      </c>
      <c r="U325" t="n">
        <v>3</v>
      </c>
      <c r="V325" t="n">
        <v>3</v>
      </c>
      <c r="W325" t="inlineStr">
        <is>
          <t>1991-11-07</t>
        </is>
      </c>
      <c r="X325" t="inlineStr">
        <is>
          <t>1991-11-07</t>
        </is>
      </c>
      <c r="Y325" t="inlineStr">
        <is>
          <t>1989-07-03</t>
        </is>
      </c>
      <c r="Z325" t="inlineStr">
        <is>
          <t>1989-07-03</t>
        </is>
      </c>
      <c r="AA325" t="n">
        <v>471</v>
      </c>
      <c r="AB325" t="n">
        <v>426</v>
      </c>
      <c r="AC325" t="n">
        <v>433</v>
      </c>
      <c r="AD325" t="n">
        <v>3</v>
      </c>
      <c r="AE325" t="n">
        <v>3</v>
      </c>
      <c r="AF325" t="n">
        <v>25</v>
      </c>
      <c r="AG325" t="n">
        <v>25</v>
      </c>
      <c r="AH325" t="n">
        <v>8</v>
      </c>
      <c r="AI325" t="n">
        <v>8</v>
      </c>
      <c r="AJ325" t="n">
        <v>4</v>
      </c>
      <c r="AK325" t="n">
        <v>4</v>
      </c>
      <c r="AL325" t="n">
        <v>12</v>
      </c>
      <c r="AM325" t="n">
        <v>12</v>
      </c>
      <c r="AN325" t="n">
        <v>1</v>
      </c>
      <c r="AO325" t="n">
        <v>1</v>
      </c>
      <c r="AP325" t="n">
        <v>4</v>
      </c>
      <c r="AQ325" t="n">
        <v>4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HYPERLINK("http://catalog.hathitrust.org/Record/001071853","HathiTrust Record")</f>
        <v/>
      </c>
      <c r="AU325">
        <f>HYPERLINK("https://creighton-primo.hosted.exlibrisgroup.com/primo-explore/search?tab=default_tab&amp;search_scope=EVERYTHING&amp;vid=01CRU&amp;lang=en_US&amp;offset=0&amp;query=any,contains,991001252549702656","Catalog Record")</f>
        <v/>
      </c>
      <c r="AV325">
        <f>HYPERLINK("http://www.worldcat.org/oclc/17298549","WorldCat Record")</f>
        <v/>
      </c>
      <c r="AW325" t="inlineStr">
        <is>
          <t>347408281:eng</t>
        </is>
      </c>
      <c r="AX325" t="inlineStr">
        <is>
          <t>17298549</t>
        </is>
      </c>
      <c r="AY325" t="inlineStr">
        <is>
          <t>991001252549702656</t>
        </is>
      </c>
      <c r="AZ325" t="inlineStr">
        <is>
          <t>991001252549702656</t>
        </is>
      </c>
      <c r="BA325" t="inlineStr">
        <is>
          <t>2260365640002656</t>
        </is>
      </c>
      <c r="BB325" t="inlineStr">
        <is>
          <t>BOOK</t>
        </is>
      </c>
      <c r="BD325" t="inlineStr">
        <is>
          <t>9780877225584</t>
        </is>
      </c>
      <c r="BE325" t="inlineStr">
        <is>
          <t>30001001679325</t>
        </is>
      </c>
      <c r="BF325" t="inlineStr">
        <is>
          <t>893736360</t>
        </is>
      </c>
    </row>
    <row r="326">
      <c r="A326" t="inlineStr">
        <is>
          <t>No</t>
        </is>
      </c>
      <c r="B326" t="inlineStr">
        <is>
          <t>CUHSL</t>
        </is>
      </c>
      <c r="C326" t="inlineStr">
        <is>
          <t>SHELVES</t>
        </is>
      </c>
      <c r="D326" t="inlineStr">
        <is>
          <t>WA 540 AA1 B52 1991</t>
        </is>
      </c>
      <c r="E326" t="inlineStr">
        <is>
          <t>0                      WA 0540000AA 1                  B  52          1991</t>
        </is>
      </c>
      <c r="F326" t="inlineStr">
        <is>
          <t>Biomedical politics / Kathi E. Hanna, editor ; Division of Health Sciences Policy, Committee to Study Biomedical Decision Making, Institute of Medicine.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2</t>
        </is>
      </c>
      <c r="N326" t="inlineStr">
        <is>
          <t>Washington, D.C. : National Academy Press, c1991.</t>
        </is>
      </c>
      <c r="O326" t="inlineStr">
        <is>
          <t>1991</t>
        </is>
      </c>
      <c r="Q326" t="inlineStr">
        <is>
          <t>eng</t>
        </is>
      </c>
      <c r="R326" t="inlineStr">
        <is>
          <t>dcu</t>
        </is>
      </c>
      <c r="T326" t="inlineStr">
        <is>
          <t xml:space="preserve">WA </t>
        </is>
      </c>
      <c r="U326" t="n">
        <v>24</v>
      </c>
      <c r="V326" t="n">
        <v>24</v>
      </c>
      <c r="W326" t="inlineStr">
        <is>
          <t>2001-03-03</t>
        </is>
      </c>
      <c r="X326" t="inlineStr">
        <is>
          <t>2001-03-03</t>
        </is>
      </c>
      <c r="Y326" t="inlineStr">
        <is>
          <t>1992-05-05</t>
        </is>
      </c>
      <c r="Z326" t="inlineStr">
        <is>
          <t>1992-05-05</t>
        </is>
      </c>
      <c r="AA326" t="n">
        <v>565</v>
      </c>
      <c r="AB326" t="n">
        <v>505</v>
      </c>
      <c r="AC326" t="n">
        <v>1432</v>
      </c>
      <c r="AD326" t="n">
        <v>2</v>
      </c>
      <c r="AE326" t="n">
        <v>14</v>
      </c>
      <c r="AF326" t="n">
        <v>24</v>
      </c>
      <c r="AG326" t="n">
        <v>54</v>
      </c>
      <c r="AH326" t="n">
        <v>8</v>
      </c>
      <c r="AI326" t="n">
        <v>15</v>
      </c>
      <c r="AJ326" t="n">
        <v>4</v>
      </c>
      <c r="AK326" t="n">
        <v>11</v>
      </c>
      <c r="AL326" t="n">
        <v>11</v>
      </c>
      <c r="AM326" t="n">
        <v>17</v>
      </c>
      <c r="AN326" t="n">
        <v>1</v>
      </c>
      <c r="AO326" t="n">
        <v>12</v>
      </c>
      <c r="AP326" t="n">
        <v>6</v>
      </c>
      <c r="AQ326" t="n">
        <v>8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HYPERLINK("http://catalog.hathitrust.org/Record/002487762","HathiTrust Record")</f>
        <v/>
      </c>
      <c r="AU326">
        <f>HYPERLINK("https://creighton-primo.hosted.exlibrisgroup.com/primo-explore/search?tab=default_tab&amp;search_scope=EVERYTHING&amp;vid=01CRU&amp;lang=en_US&amp;offset=0&amp;query=any,contains,991001300579702656","Catalog Record")</f>
        <v/>
      </c>
      <c r="AV326">
        <f>HYPERLINK("http://www.worldcat.org/oclc/23652093","WorldCat Record")</f>
        <v/>
      </c>
      <c r="AW326" t="inlineStr">
        <is>
          <t>355079371:eng</t>
        </is>
      </c>
      <c r="AX326" t="inlineStr">
        <is>
          <t>23652093</t>
        </is>
      </c>
      <c r="AY326" t="inlineStr">
        <is>
          <t>991001300579702656</t>
        </is>
      </c>
      <c r="AZ326" t="inlineStr">
        <is>
          <t>991001300579702656</t>
        </is>
      </c>
      <c r="BA326" t="inlineStr">
        <is>
          <t>2265608660002656</t>
        </is>
      </c>
      <c r="BB326" t="inlineStr">
        <is>
          <t>BOOK</t>
        </is>
      </c>
      <c r="BD326" t="inlineStr">
        <is>
          <t>9780309044868</t>
        </is>
      </c>
      <c r="BE326" t="inlineStr">
        <is>
          <t>30001002411603</t>
        </is>
      </c>
      <c r="BF326" t="inlineStr">
        <is>
          <t>893268326</t>
        </is>
      </c>
    </row>
    <row r="327">
      <c r="A327" t="inlineStr">
        <is>
          <t>No</t>
        </is>
      </c>
      <c r="B327" t="inlineStr">
        <is>
          <t>CUHSL</t>
        </is>
      </c>
      <c r="C327" t="inlineStr">
        <is>
          <t>SHELVES</t>
        </is>
      </c>
      <c r="D327" t="inlineStr">
        <is>
          <t>WA 540 AA1 B65u 1998</t>
        </is>
      </c>
      <c r="E327" t="inlineStr">
        <is>
          <t>0                      WA 0540000AA 1                  B  65u         1998</t>
        </is>
      </c>
      <c r="F327" t="inlineStr">
        <is>
          <t>Understanding health policy : a clinical approach / Thomas S. Bodenheimer, Kevin Grumbach.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Yes</t>
        </is>
      </c>
      <c r="L327" t="inlineStr">
        <is>
          <t>1</t>
        </is>
      </c>
      <c r="M327" t="inlineStr">
        <is>
          <t>Bodenheimer, Thomas.</t>
        </is>
      </c>
      <c r="N327" t="inlineStr">
        <is>
          <t>Norwalk, Conn. : Appleton &amp; Lange, c1998.</t>
        </is>
      </c>
      <c r="O327" t="inlineStr">
        <is>
          <t>1998</t>
        </is>
      </c>
      <c r="P327" t="inlineStr">
        <is>
          <t>2nd ed.</t>
        </is>
      </c>
      <c r="Q327" t="inlineStr">
        <is>
          <t>eng</t>
        </is>
      </c>
      <c r="R327" t="inlineStr">
        <is>
          <t>ctu</t>
        </is>
      </c>
      <c r="T327" t="inlineStr">
        <is>
          <t xml:space="preserve">WA </t>
        </is>
      </c>
      <c r="U327" t="n">
        <v>12</v>
      </c>
      <c r="V327" t="n">
        <v>12</v>
      </c>
      <c r="W327" t="inlineStr">
        <is>
          <t>2002-12-11</t>
        </is>
      </c>
      <c r="X327" t="inlineStr">
        <is>
          <t>2002-12-11</t>
        </is>
      </c>
      <c r="Y327" t="inlineStr">
        <is>
          <t>1998-12-10</t>
        </is>
      </c>
      <c r="Z327" t="inlineStr">
        <is>
          <t>1998-12-10</t>
        </is>
      </c>
      <c r="AA327" t="n">
        <v>200</v>
      </c>
      <c r="AB327" t="n">
        <v>169</v>
      </c>
      <c r="AC327" t="n">
        <v>1366</v>
      </c>
      <c r="AD327" t="n">
        <v>1</v>
      </c>
      <c r="AE327" t="n">
        <v>27</v>
      </c>
      <c r="AF327" t="n">
        <v>8</v>
      </c>
      <c r="AG327" t="n">
        <v>58</v>
      </c>
      <c r="AH327" t="n">
        <v>3</v>
      </c>
      <c r="AI327" t="n">
        <v>18</v>
      </c>
      <c r="AJ327" t="n">
        <v>1</v>
      </c>
      <c r="AK327" t="n">
        <v>10</v>
      </c>
      <c r="AL327" t="n">
        <v>5</v>
      </c>
      <c r="AM327" t="n">
        <v>18</v>
      </c>
      <c r="AN327" t="n">
        <v>0</v>
      </c>
      <c r="AO327" t="n">
        <v>15</v>
      </c>
      <c r="AP327" t="n">
        <v>1</v>
      </c>
      <c r="AQ327" t="n">
        <v>4</v>
      </c>
      <c r="AR327" t="inlineStr">
        <is>
          <t>No</t>
        </is>
      </c>
      <c r="AS327" t="inlineStr">
        <is>
          <t>Yes</t>
        </is>
      </c>
      <c r="AT327">
        <f>HYPERLINK("http://catalog.hathitrust.org/Record/003979362","HathiTrust Record")</f>
        <v/>
      </c>
      <c r="AU327">
        <f>HYPERLINK("https://creighton-primo.hosted.exlibrisgroup.com/primo-explore/search?tab=default_tab&amp;search_scope=EVERYTHING&amp;vid=01CRU&amp;lang=en_US&amp;offset=0&amp;query=any,contains,991000692469702656","Catalog Record")</f>
        <v/>
      </c>
      <c r="AV327">
        <f>HYPERLINK("http://www.worldcat.org/oclc/41300348","WorldCat Record")</f>
        <v/>
      </c>
      <c r="AW327" t="inlineStr">
        <is>
          <t>652764:eng</t>
        </is>
      </c>
      <c r="AX327" t="inlineStr">
        <is>
          <t>41300348</t>
        </is>
      </c>
      <c r="AY327" t="inlineStr">
        <is>
          <t>991000692469702656</t>
        </is>
      </c>
      <c r="AZ327" t="inlineStr">
        <is>
          <t>991000692469702656</t>
        </is>
      </c>
      <c r="BA327" t="inlineStr">
        <is>
          <t>2265425510002656</t>
        </is>
      </c>
      <c r="BB327" t="inlineStr">
        <is>
          <t>BOOK</t>
        </is>
      </c>
      <c r="BD327" t="inlineStr">
        <is>
          <t>9780838590751</t>
        </is>
      </c>
      <c r="BE327" t="inlineStr">
        <is>
          <t>30001004036911</t>
        </is>
      </c>
      <c r="BF327" t="inlineStr">
        <is>
          <t>893726574</t>
        </is>
      </c>
    </row>
    <row r="328">
      <c r="A328" t="inlineStr">
        <is>
          <t>No</t>
        </is>
      </c>
      <c r="B328" t="inlineStr">
        <is>
          <t>CUHSL</t>
        </is>
      </c>
      <c r="C328" t="inlineStr">
        <is>
          <t>SHELVES</t>
        </is>
      </c>
      <c r="D328" t="inlineStr">
        <is>
          <t>WA540 AA1 B65u 2002</t>
        </is>
      </c>
      <c r="E328" t="inlineStr">
        <is>
          <t>0                      WA 0540000AA 1                  B  65u         2002</t>
        </is>
      </c>
      <c r="F328" t="inlineStr">
        <is>
          <t>Understanding health policy : a clinical approach / Thomas S. Bodenheimer, Kevin Grumbach.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Yes</t>
        </is>
      </c>
      <c r="L328" t="inlineStr">
        <is>
          <t>1</t>
        </is>
      </c>
      <c r="M328" t="inlineStr">
        <is>
          <t>Bodenheimer, Thomas.</t>
        </is>
      </c>
      <c r="N328" t="inlineStr">
        <is>
          <t>New York : Lange Medical Books/McGraw-Hill, Medical Pub. Division, c2002.</t>
        </is>
      </c>
      <c r="O328" t="inlineStr">
        <is>
          <t>2002</t>
        </is>
      </c>
      <c r="P328" t="inlineStr">
        <is>
          <t>3rd ed.</t>
        </is>
      </c>
      <c r="Q328" t="inlineStr">
        <is>
          <t>eng</t>
        </is>
      </c>
      <c r="R328" t="inlineStr">
        <is>
          <t>nyu</t>
        </is>
      </c>
      <c r="T328" t="inlineStr">
        <is>
          <t xml:space="preserve">WA </t>
        </is>
      </c>
      <c r="U328" t="n">
        <v>4</v>
      </c>
      <c r="V328" t="n">
        <v>4</v>
      </c>
      <c r="W328" t="inlineStr">
        <is>
          <t>2006-02-11</t>
        </is>
      </c>
      <c r="X328" t="inlineStr">
        <is>
          <t>2006-02-11</t>
        </is>
      </c>
      <c r="Y328" t="inlineStr">
        <is>
          <t>2002-10-08</t>
        </is>
      </c>
      <c r="Z328" t="inlineStr">
        <is>
          <t>2002-10-08</t>
        </is>
      </c>
      <c r="AA328" t="n">
        <v>241</v>
      </c>
      <c r="AB328" t="n">
        <v>195</v>
      </c>
      <c r="AC328" t="n">
        <v>1366</v>
      </c>
      <c r="AD328" t="n">
        <v>3</v>
      </c>
      <c r="AE328" t="n">
        <v>27</v>
      </c>
      <c r="AF328" t="n">
        <v>10</v>
      </c>
      <c r="AG328" t="n">
        <v>58</v>
      </c>
      <c r="AH328" t="n">
        <v>2</v>
      </c>
      <c r="AI328" t="n">
        <v>18</v>
      </c>
      <c r="AJ328" t="n">
        <v>3</v>
      </c>
      <c r="AK328" t="n">
        <v>10</v>
      </c>
      <c r="AL328" t="n">
        <v>5</v>
      </c>
      <c r="AM328" t="n">
        <v>18</v>
      </c>
      <c r="AN328" t="n">
        <v>2</v>
      </c>
      <c r="AO328" t="n">
        <v>15</v>
      </c>
      <c r="AP328" t="n">
        <v>0</v>
      </c>
      <c r="AQ328" t="n">
        <v>4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HYPERLINK("http://catalog.hathitrust.org/Record/003593334","HathiTrust Record")</f>
        <v/>
      </c>
      <c r="AU328">
        <f>HYPERLINK("https://creighton-primo.hosted.exlibrisgroup.com/primo-explore/search?tab=default_tab&amp;search_scope=EVERYTHING&amp;vid=01CRU&amp;lang=en_US&amp;offset=0&amp;query=any,contains,991000330359702656","Catalog Record")</f>
        <v/>
      </c>
      <c r="AV328">
        <f>HYPERLINK("http://www.worldcat.org/oclc/48066184","WorldCat Record")</f>
        <v/>
      </c>
      <c r="AW328" t="inlineStr">
        <is>
          <t>652764:eng</t>
        </is>
      </c>
      <c r="AX328" t="inlineStr">
        <is>
          <t>48066184</t>
        </is>
      </c>
      <c r="AY328" t="inlineStr">
        <is>
          <t>991000330359702656</t>
        </is>
      </c>
      <c r="AZ328" t="inlineStr">
        <is>
          <t>991000330359702656</t>
        </is>
      </c>
      <c r="BA328" t="inlineStr">
        <is>
          <t>2267535440002656</t>
        </is>
      </c>
      <c r="BB328" t="inlineStr">
        <is>
          <t>BOOK</t>
        </is>
      </c>
      <c r="BD328" t="inlineStr">
        <is>
          <t>9780071124706</t>
        </is>
      </c>
      <c r="BE328" t="inlineStr">
        <is>
          <t>30001004440790</t>
        </is>
      </c>
      <c r="BF328" t="inlineStr">
        <is>
          <t>893537069</t>
        </is>
      </c>
    </row>
    <row r="329">
      <c r="A329" t="inlineStr">
        <is>
          <t>No</t>
        </is>
      </c>
      <c r="B329" t="inlineStr">
        <is>
          <t>CUHSL</t>
        </is>
      </c>
      <c r="C329" t="inlineStr">
        <is>
          <t>SHELVES</t>
        </is>
      </c>
      <c r="D329" t="inlineStr">
        <is>
          <t>WA 540 AA1 C385 1996</t>
        </is>
      </c>
      <c r="E329" t="inlineStr">
        <is>
          <t>0                      WA 0540000AA 1                  C  385         1996</t>
        </is>
      </c>
      <c r="F329" t="inlineStr">
        <is>
          <t>Changing the U.S. health care system : key issues in health services, policy, and management / Ronald M. Andersen, Thomas H. Rice, Gerald F. Kominski, editors ; foreword by Abdelmonem A. Afifi.</t>
        </is>
      </c>
      <c r="H329" t="inlineStr">
        <is>
          <t>No</t>
        </is>
      </c>
      <c r="I329" t="inlineStr">
        <is>
          <t>1</t>
        </is>
      </c>
      <c r="J329" t="inlineStr">
        <is>
          <t>Yes</t>
        </is>
      </c>
      <c r="K329" t="inlineStr">
        <is>
          <t>No</t>
        </is>
      </c>
      <c r="L329" t="inlineStr">
        <is>
          <t>3</t>
        </is>
      </c>
      <c r="N329" t="inlineStr">
        <is>
          <t>San Francisco : Jossey-Bass Publishers, c1996.</t>
        </is>
      </c>
      <c r="O329" t="inlineStr">
        <is>
          <t>1996</t>
        </is>
      </c>
      <c r="Q329" t="inlineStr">
        <is>
          <t>eng</t>
        </is>
      </c>
      <c r="R329" t="inlineStr">
        <is>
          <t>cau</t>
        </is>
      </c>
      <c r="T329" t="inlineStr">
        <is>
          <t xml:space="preserve">WA </t>
        </is>
      </c>
      <c r="U329" t="n">
        <v>76</v>
      </c>
      <c r="V329" t="n">
        <v>82</v>
      </c>
      <c r="W329" t="inlineStr">
        <is>
          <t>1997-07-06</t>
        </is>
      </c>
      <c r="X329" t="inlineStr">
        <is>
          <t>2001-08-31</t>
        </is>
      </c>
      <c r="Y329" t="inlineStr">
        <is>
          <t>1997-01-22</t>
        </is>
      </c>
      <c r="Z329" t="inlineStr">
        <is>
          <t>2001-02-14</t>
        </is>
      </c>
      <c r="AA329" t="n">
        <v>232</v>
      </c>
      <c r="AB329" t="n">
        <v>207</v>
      </c>
      <c r="AC329" t="n">
        <v>1634</v>
      </c>
      <c r="AD329" t="n">
        <v>1</v>
      </c>
      <c r="AE329" t="n">
        <v>8</v>
      </c>
      <c r="AF329" t="n">
        <v>9</v>
      </c>
      <c r="AG329" t="n">
        <v>47</v>
      </c>
      <c r="AH329" t="n">
        <v>1</v>
      </c>
      <c r="AI329" t="n">
        <v>18</v>
      </c>
      <c r="AJ329" t="n">
        <v>4</v>
      </c>
      <c r="AK329" t="n">
        <v>10</v>
      </c>
      <c r="AL329" t="n">
        <v>6</v>
      </c>
      <c r="AM329" t="n">
        <v>20</v>
      </c>
      <c r="AN329" t="n">
        <v>0</v>
      </c>
      <c r="AO329" t="n">
        <v>5</v>
      </c>
      <c r="AP329" t="n">
        <v>1</v>
      </c>
      <c r="AQ329" t="n">
        <v>2</v>
      </c>
      <c r="AR329" t="inlineStr">
        <is>
          <t>No</t>
        </is>
      </c>
      <c r="AS329" t="inlineStr">
        <is>
          <t>No</t>
        </is>
      </c>
      <c r="AU329">
        <f>HYPERLINK("https://creighton-primo.hosted.exlibrisgroup.com/primo-explore/search?tab=default_tab&amp;search_scope=EVERYTHING&amp;vid=01CRU&amp;lang=en_US&amp;offset=0&amp;query=any,contains,991001552319702656","Catalog Record")</f>
        <v/>
      </c>
      <c r="AV329">
        <f>HYPERLINK("http://www.worldcat.org/oclc/33972095","WorldCat Record")</f>
        <v/>
      </c>
      <c r="AW329" t="inlineStr">
        <is>
          <t>865594191:eng</t>
        </is>
      </c>
      <c r="AX329" t="inlineStr">
        <is>
          <t>33972095</t>
        </is>
      </c>
      <c r="AY329" t="inlineStr">
        <is>
          <t>991001552319702656</t>
        </is>
      </c>
      <c r="AZ329" t="inlineStr">
        <is>
          <t>991001552319702656</t>
        </is>
      </c>
      <c r="BA329" t="inlineStr">
        <is>
          <t>2264970600002656</t>
        </is>
      </c>
      <c r="BB329" t="inlineStr">
        <is>
          <t>BOOK</t>
        </is>
      </c>
      <c r="BD329" t="inlineStr">
        <is>
          <t>9780787902247</t>
        </is>
      </c>
      <c r="BE329" t="inlineStr">
        <is>
          <t>30001003474212</t>
        </is>
      </c>
      <c r="BF329" t="inlineStr">
        <is>
          <t>893162146</t>
        </is>
      </c>
    </row>
    <row r="330">
      <c r="A330" t="inlineStr">
        <is>
          <t>No</t>
        </is>
      </c>
      <c r="B330" t="inlineStr">
        <is>
          <t>CUHSL</t>
        </is>
      </c>
      <c r="C330" t="inlineStr">
        <is>
          <t>SHELVES</t>
        </is>
      </c>
      <c r="D330" t="inlineStr">
        <is>
          <t>WA 540 AA1 C385 1996</t>
        </is>
      </c>
      <c r="E330" t="inlineStr">
        <is>
          <t>0                      WA 0540000AA 1                  C  385         1996</t>
        </is>
      </c>
      <c r="F330" t="inlineStr">
        <is>
          <t>Changing the U.S. health care system : key issues in health services, policy, and management / Ronald M. Andersen, Thomas H. Rice, Gerald F. Kominski, editors ; foreword by Abdelmonem A. Afifi.</t>
        </is>
      </c>
      <c r="H330" t="inlineStr">
        <is>
          <t>No</t>
        </is>
      </c>
      <c r="I330" t="inlineStr">
        <is>
          <t>2</t>
        </is>
      </c>
      <c r="J330" t="inlineStr">
        <is>
          <t>Yes</t>
        </is>
      </c>
      <c r="K330" t="inlineStr">
        <is>
          <t>No</t>
        </is>
      </c>
      <c r="L330" t="inlineStr">
        <is>
          <t>3</t>
        </is>
      </c>
      <c r="N330" t="inlineStr">
        <is>
          <t>San Francisco : Jossey-Bass Publishers, c1996.</t>
        </is>
      </c>
      <c r="O330" t="inlineStr">
        <is>
          <t>1996</t>
        </is>
      </c>
      <c r="Q330" t="inlineStr">
        <is>
          <t>eng</t>
        </is>
      </c>
      <c r="R330" t="inlineStr">
        <is>
          <t>cau</t>
        </is>
      </c>
      <c r="T330" t="inlineStr">
        <is>
          <t xml:space="preserve">WA </t>
        </is>
      </c>
      <c r="U330" t="n">
        <v>6</v>
      </c>
      <c r="V330" t="n">
        <v>82</v>
      </c>
      <c r="W330" t="inlineStr">
        <is>
          <t>2001-08-31</t>
        </is>
      </c>
      <c r="X330" t="inlineStr">
        <is>
          <t>2001-08-31</t>
        </is>
      </c>
      <c r="Y330" t="inlineStr">
        <is>
          <t>2001-02-14</t>
        </is>
      </c>
      <c r="Z330" t="inlineStr">
        <is>
          <t>2001-02-14</t>
        </is>
      </c>
      <c r="AA330" t="n">
        <v>232</v>
      </c>
      <c r="AB330" t="n">
        <v>207</v>
      </c>
      <c r="AC330" t="n">
        <v>1634</v>
      </c>
      <c r="AD330" t="n">
        <v>1</v>
      </c>
      <c r="AE330" t="n">
        <v>8</v>
      </c>
      <c r="AF330" t="n">
        <v>9</v>
      </c>
      <c r="AG330" t="n">
        <v>47</v>
      </c>
      <c r="AH330" t="n">
        <v>1</v>
      </c>
      <c r="AI330" t="n">
        <v>18</v>
      </c>
      <c r="AJ330" t="n">
        <v>4</v>
      </c>
      <c r="AK330" t="n">
        <v>10</v>
      </c>
      <c r="AL330" t="n">
        <v>6</v>
      </c>
      <c r="AM330" t="n">
        <v>20</v>
      </c>
      <c r="AN330" t="n">
        <v>0</v>
      </c>
      <c r="AO330" t="n">
        <v>5</v>
      </c>
      <c r="AP330" t="n">
        <v>1</v>
      </c>
      <c r="AQ330" t="n">
        <v>2</v>
      </c>
      <c r="AR330" t="inlineStr">
        <is>
          <t>No</t>
        </is>
      </c>
      <c r="AS330" t="inlineStr">
        <is>
          <t>No</t>
        </is>
      </c>
      <c r="AU330">
        <f>HYPERLINK("https://creighton-primo.hosted.exlibrisgroup.com/primo-explore/search?tab=default_tab&amp;search_scope=EVERYTHING&amp;vid=01CRU&amp;lang=en_US&amp;offset=0&amp;query=any,contains,991001552319702656","Catalog Record")</f>
        <v/>
      </c>
      <c r="AV330">
        <f>HYPERLINK("http://www.worldcat.org/oclc/33972095","WorldCat Record")</f>
        <v/>
      </c>
      <c r="AW330" t="inlineStr">
        <is>
          <t>865594191:eng</t>
        </is>
      </c>
      <c r="AX330" t="inlineStr">
        <is>
          <t>33972095</t>
        </is>
      </c>
      <c r="AY330" t="inlineStr">
        <is>
          <t>991001552319702656</t>
        </is>
      </c>
      <c r="AZ330" t="inlineStr">
        <is>
          <t>991001552319702656</t>
        </is>
      </c>
      <c r="BA330" t="inlineStr">
        <is>
          <t>2264970600002656</t>
        </is>
      </c>
      <c r="BB330" t="inlineStr">
        <is>
          <t>BOOK</t>
        </is>
      </c>
      <c r="BD330" t="inlineStr">
        <is>
          <t>9780787902247</t>
        </is>
      </c>
      <c r="BE330" t="inlineStr">
        <is>
          <t>30001004355626</t>
        </is>
      </c>
      <c r="BF330" t="inlineStr">
        <is>
          <t>893162145</t>
        </is>
      </c>
    </row>
    <row r="331">
      <c r="A331" t="inlineStr">
        <is>
          <t>No</t>
        </is>
      </c>
      <c r="B331" t="inlineStr">
        <is>
          <t>CUHSL</t>
        </is>
      </c>
      <c r="C331" t="inlineStr">
        <is>
          <t>SHELVES</t>
        </is>
      </c>
      <c r="D331" t="inlineStr">
        <is>
          <t>WA 540 AA1 D18b 1996</t>
        </is>
      </c>
      <c r="E331" t="inlineStr">
        <is>
          <t>0                      WA 0540000AA 1                  D  18b         1996</t>
        </is>
      </c>
      <c r="F331" t="inlineStr">
        <is>
          <t>Benchmarks of fairness for health care reform / Norman Daniels, Donald W. Light, Ronald L. Caplan.</t>
        </is>
      </c>
      <c r="H331" t="inlineStr">
        <is>
          <t>No</t>
        </is>
      </c>
      <c r="I331" t="inlineStr">
        <is>
          <t>1</t>
        </is>
      </c>
      <c r="J331" t="inlineStr">
        <is>
          <t>Yes</t>
        </is>
      </c>
      <c r="K331" t="inlineStr">
        <is>
          <t>No</t>
        </is>
      </c>
      <c r="L331" t="inlineStr">
        <is>
          <t>0</t>
        </is>
      </c>
      <c r="M331" t="inlineStr">
        <is>
          <t>Daniels, Norman, 1942-</t>
        </is>
      </c>
      <c r="N331" t="inlineStr">
        <is>
          <t>New York : Oxford University Press, c1996.</t>
        </is>
      </c>
      <c r="O331" t="inlineStr">
        <is>
          <t>1996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WA </t>
        </is>
      </c>
      <c r="U331" t="n">
        <v>2</v>
      </c>
      <c r="V331" t="n">
        <v>2</v>
      </c>
      <c r="W331" t="inlineStr">
        <is>
          <t>1997-12-09</t>
        </is>
      </c>
      <c r="X331" t="inlineStr">
        <is>
          <t>1997-12-09</t>
        </is>
      </c>
      <c r="Y331" t="inlineStr">
        <is>
          <t>1997-11-19</t>
        </is>
      </c>
      <c r="Z331" t="inlineStr">
        <is>
          <t>2000-03-16</t>
        </is>
      </c>
      <c r="AA331" t="n">
        <v>442</v>
      </c>
      <c r="AB331" t="n">
        <v>364</v>
      </c>
      <c r="AC331" t="n">
        <v>365</v>
      </c>
      <c r="AD331" t="n">
        <v>3</v>
      </c>
      <c r="AE331" t="n">
        <v>3</v>
      </c>
      <c r="AF331" t="n">
        <v>24</v>
      </c>
      <c r="AG331" t="n">
        <v>24</v>
      </c>
      <c r="AH331" t="n">
        <v>4</v>
      </c>
      <c r="AI331" t="n">
        <v>4</v>
      </c>
      <c r="AJ331" t="n">
        <v>5</v>
      </c>
      <c r="AK331" t="n">
        <v>5</v>
      </c>
      <c r="AL331" t="n">
        <v>11</v>
      </c>
      <c r="AM331" t="n">
        <v>11</v>
      </c>
      <c r="AN331" t="n">
        <v>1</v>
      </c>
      <c r="AO331" t="n">
        <v>1</v>
      </c>
      <c r="AP331" t="n">
        <v>8</v>
      </c>
      <c r="AQ331" t="n">
        <v>8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HYPERLINK("https://creighton-primo.hosted.exlibrisgroup.com/primo-explore/search?tab=default_tab&amp;search_scope=EVERYTHING&amp;vid=01CRU&amp;lang=en_US&amp;offset=0&amp;query=any,contains,991001669819702656","Catalog Record")</f>
        <v/>
      </c>
      <c r="AV331">
        <f>HYPERLINK("http://www.worldcat.org/oclc/33818132","WorldCat Record")</f>
        <v/>
      </c>
      <c r="AW331" t="inlineStr">
        <is>
          <t>38925550:eng</t>
        </is>
      </c>
      <c r="AX331" t="inlineStr">
        <is>
          <t>33818132</t>
        </is>
      </c>
      <c r="AY331" t="inlineStr">
        <is>
          <t>991001669819702656</t>
        </is>
      </c>
      <c r="AZ331" t="inlineStr">
        <is>
          <t>991001669819702656</t>
        </is>
      </c>
      <c r="BA331" t="inlineStr">
        <is>
          <t>2270361590002656</t>
        </is>
      </c>
      <c r="BB331" t="inlineStr">
        <is>
          <t>BOOK</t>
        </is>
      </c>
      <c r="BD331" t="inlineStr">
        <is>
          <t>9780195102376</t>
        </is>
      </c>
      <c r="BE331" t="inlineStr">
        <is>
          <t>30001003629716</t>
        </is>
      </c>
      <c r="BF331" t="inlineStr">
        <is>
          <t>893643726</t>
        </is>
      </c>
    </row>
    <row r="332">
      <c r="A332" t="inlineStr">
        <is>
          <t>No</t>
        </is>
      </c>
      <c r="B332" t="inlineStr">
        <is>
          <t>CUHSL</t>
        </is>
      </c>
      <c r="C332" t="inlineStr">
        <is>
          <t>SHELVES</t>
        </is>
      </c>
      <c r="D332" t="inlineStr">
        <is>
          <t>WA540 AA1 D611 2002</t>
        </is>
      </c>
      <c r="E332" t="inlineStr">
        <is>
          <t>0                      WA 0540000AA 1                  D  611         2002</t>
        </is>
      </c>
      <c r="F332" t="inlineStr">
        <is>
          <t>Disability and the black community / Sheila D. Miller, editor.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N332" t="inlineStr">
        <is>
          <t>New York : Haworth Press, c2002.</t>
        </is>
      </c>
      <c r="O332" t="inlineStr">
        <is>
          <t>2002</t>
        </is>
      </c>
      <c r="Q332" t="inlineStr">
        <is>
          <t>eng</t>
        </is>
      </c>
      <c r="R332" t="inlineStr">
        <is>
          <t>nyu</t>
        </is>
      </c>
      <c r="T332" t="inlineStr">
        <is>
          <t xml:space="preserve">WA </t>
        </is>
      </c>
      <c r="U332" t="n">
        <v>1</v>
      </c>
      <c r="V332" t="n">
        <v>1</v>
      </c>
      <c r="W332" t="inlineStr">
        <is>
          <t>2005-11-19</t>
        </is>
      </c>
      <c r="X332" t="inlineStr">
        <is>
          <t>2005-11-19</t>
        </is>
      </c>
      <c r="Y332" t="inlineStr">
        <is>
          <t>2004-06-06</t>
        </is>
      </c>
      <c r="Z332" t="inlineStr">
        <is>
          <t>2004-06-06</t>
        </is>
      </c>
      <c r="AA332" t="n">
        <v>127</v>
      </c>
      <c r="AB332" t="n">
        <v>106</v>
      </c>
      <c r="AC332" t="n">
        <v>134</v>
      </c>
      <c r="AD332" t="n">
        <v>1</v>
      </c>
      <c r="AE332" t="n">
        <v>1</v>
      </c>
      <c r="AF332" t="n">
        <v>2</v>
      </c>
      <c r="AG332" t="n">
        <v>2</v>
      </c>
      <c r="AH332" t="n">
        <v>0</v>
      </c>
      <c r="AI332" t="n">
        <v>0</v>
      </c>
      <c r="AJ332" t="n">
        <v>0</v>
      </c>
      <c r="AK332" t="n">
        <v>0</v>
      </c>
      <c r="AL332" t="n">
        <v>2</v>
      </c>
      <c r="AM332" t="n">
        <v>2</v>
      </c>
      <c r="AN332" t="n">
        <v>0</v>
      </c>
      <c r="AO332" t="n">
        <v>0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HYPERLINK("https://creighton-primo.hosted.exlibrisgroup.com/primo-explore/search?tab=default_tab&amp;search_scope=EVERYTHING&amp;vid=01CRU&amp;lang=en_US&amp;offset=0&amp;query=any,contains,991000372689702656","Catalog Record")</f>
        <v/>
      </c>
      <c r="AV332">
        <f>HYPERLINK("http://www.worldcat.org/oclc/51258806","WorldCat Record")</f>
        <v/>
      </c>
      <c r="AW332" t="inlineStr">
        <is>
          <t>56882700:eng</t>
        </is>
      </c>
      <c r="AX332" t="inlineStr">
        <is>
          <t>51258806</t>
        </is>
      </c>
      <c r="AY332" t="inlineStr">
        <is>
          <t>991000372689702656</t>
        </is>
      </c>
      <c r="AZ332" t="inlineStr">
        <is>
          <t>991000372689702656</t>
        </is>
      </c>
      <c r="BA332" t="inlineStr">
        <is>
          <t>2268420810002656</t>
        </is>
      </c>
      <c r="BB332" t="inlineStr">
        <is>
          <t>BOOK</t>
        </is>
      </c>
      <c r="BD332" t="inlineStr">
        <is>
          <t>9780789020765</t>
        </is>
      </c>
      <c r="BE332" t="inlineStr">
        <is>
          <t>30001004920049</t>
        </is>
      </c>
      <c r="BF332" t="inlineStr">
        <is>
          <t>893109462</t>
        </is>
      </c>
    </row>
    <row r="333">
      <c r="A333" t="inlineStr">
        <is>
          <t>No</t>
        </is>
      </c>
      <c r="B333" t="inlineStr">
        <is>
          <t>CUHSL</t>
        </is>
      </c>
      <c r="C333" t="inlineStr">
        <is>
          <t>SHELVES</t>
        </is>
      </c>
      <c r="D333" t="inlineStr">
        <is>
          <t>WA 540 AA1 H116m 1997</t>
        </is>
      </c>
      <c r="E333" t="inlineStr">
        <is>
          <t>0                      WA 0540000AA 1                  H  116m        1997</t>
        </is>
      </c>
      <c r="F333" t="inlineStr">
        <is>
          <t>Making medical spending decisions : the law, ethics, and economics of rationing mechanisms / Mark A. Hall.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Hall, Mark A., 1955-</t>
        </is>
      </c>
      <c r="N333" t="inlineStr">
        <is>
          <t>New York : Oxford University Press, c1997.</t>
        </is>
      </c>
      <c r="O333" t="inlineStr">
        <is>
          <t>1997</t>
        </is>
      </c>
      <c r="Q333" t="inlineStr">
        <is>
          <t>eng</t>
        </is>
      </c>
      <c r="R333" t="inlineStr">
        <is>
          <t>nyu</t>
        </is>
      </c>
      <c r="T333" t="inlineStr">
        <is>
          <t xml:space="preserve">WA </t>
        </is>
      </c>
      <c r="U333" t="n">
        <v>3</v>
      </c>
      <c r="V333" t="n">
        <v>3</v>
      </c>
      <c r="W333" t="inlineStr">
        <is>
          <t>1999-04-11</t>
        </is>
      </c>
      <c r="X333" t="inlineStr">
        <is>
          <t>1999-04-11</t>
        </is>
      </c>
      <c r="Y333" t="inlineStr">
        <is>
          <t>1997-12-18</t>
        </is>
      </c>
      <c r="Z333" t="inlineStr">
        <is>
          <t>1997-12-18</t>
        </is>
      </c>
      <c r="AA333" t="n">
        <v>389</v>
      </c>
      <c r="AB333" t="n">
        <v>327</v>
      </c>
      <c r="AC333" t="n">
        <v>334</v>
      </c>
      <c r="AD333" t="n">
        <v>3</v>
      </c>
      <c r="AE333" t="n">
        <v>3</v>
      </c>
      <c r="AF333" t="n">
        <v>25</v>
      </c>
      <c r="AG333" t="n">
        <v>25</v>
      </c>
      <c r="AH333" t="n">
        <v>2</v>
      </c>
      <c r="AI333" t="n">
        <v>2</v>
      </c>
      <c r="AJ333" t="n">
        <v>6</v>
      </c>
      <c r="AK333" t="n">
        <v>6</v>
      </c>
      <c r="AL333" t="n">
        <v>9</v>
      </c>
      <c r="AM333" t="n">
        <v>9</v>
      </c>
      <c r="AN333" t="n">
        <v>1</v>
      </c>
      <c r="AO333" t="n">
        <v>1</v>
      </c>
      <c r="AP333" t="n">
        <v>12</v>
      </c>
      <c r="AQ333" t="n">
        <v>12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HYPERLINK("http://catalog.hathitrust.org/Record/003118326","HathiTrust Record")</f>
        <v/>
      </c>
      <c r="AU333">
        <f>HYPERLINK("https://creighton-primo.hosted.exlibrisgroup.com/primo-explore/search?tab=default_tab&amp;search_scope=EVERYTHING&amp;vid=01CRU&amp;lang=en_US&amp;offset=0&amp;query=any,contains,991001140299702656","Catalog Record")</f>
        <v/>
      </c>
      <c r="AV333">
        <f>HYPERLINK("http://www.worldcat.org/oclc/34894442","WorldCat Record")</f>
        <v/>
      </c>
      <c r="AW333" t="inlineStr">
        <is>
          <t>890788320:eng</t>
        </is>
      </c>
      <c r="AX333" t="inlineStr">
        <is>
          <t>34894442</t>
        </is>
      </c>
      <c r="AY333" t="inlineStr">
        <is>
          <t>991001140299702656</t>
        </is>
      </c>
      <c r="AZ333" t="inlineStr">
        <is>
          <t>991001140299702656</t>
        </is>
      </c>
      <c r="BA333" t="inlineStr">
        <is>
          <t>2269255990002656</t>
        </is>
      </c>
      <c r="BB333" t="inlineStr">
        <is>
          <t>BOOK</t>
        </is>
      </c>
      <c r="BD333" t="inlineStr">
        <is>
          <t>9780195092196</t>
        </is>
      </c>
      <c r="BE333" t="inlineStr">
        <is>
          <t>30001003629658</t>
        </is>
      </c>
      <c r="BF333" t="inlineStr">
        <is>
          <t>893831939</t>
        </is>
      </c>
    </row>
    <row r="334">
      <c r="A334" t="inlineStr">
        <is>
          <t>No</t>
        </is>
      </c>
      <c r="B334" t="inlineStr">
        <is>
          <t>CUHSL</t>
        </is>
      </c>
      <c r="C334" t="inlineStr">
        <is>
          <t>SHELVES</t>
        </is>
      </c>
      <c r="D334" t="inlineStr">
        <is>
          <t>WA540 AA1 H276 2002</t>
        </is>
      </c>
      <c r="E334" t="inlineStr">
        <is>
          <t>0                      WA 0540000AA 1                  H  276         2002</t>
        </is>
      </c>
      <c r="F334" t="inlineStr">
        <is>
          <t>Major health care policies : fifty state profiles, 2001 / a publication of the Health Policy Tracking Service ; National Conference of State Legislatures.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Health Policy Tracking Service.</t>
        </is>
      </c>
      <c r="N334" t="inlineStr">
        <is>
          <t>Washington, D.C. : Health Policy Tracking Service, 2002.</t>
        </is>
      </c>
      <c r="O334" t="inlineStr">
        <is>
          <t>2002</t>
        </is>
      </c>
      <c r="P334" t="inlineStr">
        <is>
          <t>10th ed.</t>
        </is>
      </c>
      <c r="Q334" t="inlineStr">
        <is>
          <t>eng</t>
        </is>
      </c>
      <c r="R334" t="inlineStr">
        <is>
          <t>dcu</t>
        </is>
      </c>
      <c r="T334" t="inlineStr">
        <is>
          <t xml:space="preserve">WA </t>
        </is>
      </c>
      <c r="U334" t="n">
        <v>1</v>
      </c>
      <c r="V334" t="n">
        <v>1</v>
      </c>
      <c r="W334" t="inlineStr">
        <is>
          <t>2007-05-31</t>
        </is>
      </c>
      <c r="X334" t="inlineStr">
        <is>
          <t>2007-05-31</t>
        </is>
      </c>
      <c r="Y334" t="inlineStr">
        <is>
          <t>2002-06-18</t>
        </is>
      </c>
      <c r="Z334" t="inlineStr">
        <is>
          <t>2002-06-18</t>
        </is>
      </c>
      <c r="AA334" t="n">
        <v>11</v>
      </c>
      <c r="AB334" t="n">
        <v>11</v>
      </c>
      <c r="AC334" t="n">
        <v>51</v>
      </c>
      <c r="AD334" t="n">
        <v>1</v>
      </c>
      <c r="AE334" t="n">
        <v>1</v>
      </c>
      <c r="AF334" t="n">
        <v>0</v>
      </c>
      <c r="AG334" t="n">
        <v>5</v>
      </c>
      <c r="AH334" t="n">
        <v>0</v>
      </c>
      <c r="AI334" t="n">
        <v>1</v>
      </c>
      <c r="AJ334" t="n">
        <v>0</v>
      </c>
      <c r="AK334" t="n">
        <v>1</v>
      </c>
      <c r="AL334" t="n">
        <v>0</v>
      </c>
      <c r="AM334" t="n">
        <v>0</v>
      </c>
      <c r="AN334" t="n">
        <v>0</v>
      </c>
      <c r="AO334" t="n">
        <v>0</v>
      </c>
      <c r="AP334" t="n">
        <v>0</v>
      </c>
      <c r="AQ334" t="n">
        <v>3</v>
      </c>
      <c r="AR334" t="inlineStr">
        <is>
          <t>No</t>
        </is>
      </c>
      <c r="AS334" t="inlineStr">
        <is>
          <t>No</t>
        </is>
      </c>
      <c r="AU334">
        <f>HYPERLINK("https://creighton-primo.hosted.exlibrisgroup.com/primo-explore/search?tab=default_tab&amp;search_scope=EVERYTHING&amp;vid=01CRU&amp;lang=en_US&amp;offset=0&amp;query=any,contains,991000316789702656","Catalog Record")</f>
        <v/>
      </c>
      <c r="AV334">
        <f>HYPERLINK("http://www.worldcat.org/oclc/49747800","WorldCat Record")</f>
        <v/>
      </c>
      <c r="AW334" t="inlineStr">
        <is>
          <t>1053229547:eng</t>
        </is>
      </c>
      <c r="AX334" t="inlineStr">
        <is>
          <t>49747800</t>
        </is>
      </c>
      <c r="AY334" t="inlineStr">
        <is>
          <t>991000316789702656</t>
        </is>
      </c>
      <c r="AZ334" t="inlineStr">
        <is>
          <t>991000316789702656</t>
        </is>
      </c>
      <c r="BA334" t="inlineStr">
        <is>
          <t>22101747050002656</t>
        </is>
      </c>
      <c r="BB334" t="inlineStr">
        <is>
          <t>BOOK</t>
        </is>
      </c>
      <c r="BD334" t="inlineStr">
        <is>
          <t>9781580241915</t>
        </is>
      </c>
      <c r="BE334" t="inlineStr">
        <is>
          <t>30001004239218</t>
        </is>
      </c>
      <c r="BF334" t="inlineStr">
        <is>
          <t>893537019</t>
        </is>
      </c>
    </row>
    <row r="335">
      <c r="A335" t="inlineStr">
        <is>
          <t>No</t>
        </is>
      </c>
      <c r="B335" t="inlineStr">
        <is>
          <t>CUHSL</t>
        </is>
      </c>
      <c r="C335" t="inlineStr">
        <is>
          <t>SHELVES</t>
        </is>
      </c>
      <c r="D335" t="inlineStr">
        <is>
          <t>WA 540 AA1 H434 2001</t>
        </is>
      </c>
      <c r="E335" t="inlineStr">
        <is>
          <t>0                      WA 0540000AA 1                  H  434         2001</t>
        </is>
      </c>
      <c r="F335" t="inlineStr">
        <is>
          <t>Healthy people 2010 : understanding and improving health / U.S. Department of Health and Human Services.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United States. Department of Health and Human Services.</t>
        </is>
      </c>
      <c r="N335" t="inlineStr">
        <is>
          <t>Boston : Jones and Bartlett Publishers, 2001.</t>
        </is>
      </c>
      <c r="O335" t="inlineStr">
        <is>
          <t>2001</t>
        </is>
      </c>
      <c r="P335" t="inlineStr">
        <is>
          <t>[Rev. ed.].</t>
        </is>
      </c>
      <c r="Q335" t="inlineStr">
        <is>
          <t>eng</t>
        </is>
      </c>
      <c r="R335" t="inlineStr">
        <is>
          <t>mau</t>
        </is>
      </c>
      <c r="T335" t="inlineStr">
        <is>
          <t xml:space="preserve">WA </t>
        </is>
      </c>
      <c r="U335" t="n">
        <v>7</v>
      </c>
      <c r="V335" t="n">
        <v>7</v>
      </c>
      <c r="W335" t="inlineStr">
        <is>
          <t>2006-12-14</t>
        </is>
      </c>
      <c r="X335" t="inlineStr">
        <is>
          <t>2006-12-14</t>
        </is>
      </c>
      <c r="Y335" t="inlineStr">
        <is>
          <t>2004-08-26</t>
        </is>
      </c>
      <c r="Z335" t="inlineStr">
        <is>
          <t>2004-08-26</t>
        </is>
      </c>
      <c r="AA335" t="n">
        <v>185</v>
      </c>
      <c r="AB335" t="n">
        <v>169</v>
      </c>
      <c r="AC335" t="n">
        <v>170</v>
      </c>
      <c r="AD335" t="n">
        <v>3</v>
      </c>
      <c r="AE335" t="n">
        <v>3</v>
      </c>
      <c r="AF335" t="n">
        <v>13</v>
      </c>
      <c r="AG335" t="n">
        <v>13</v>
      </c>
      <c r="AH335" t="n">
        <v>4</v>
      </c>
      <c r="AI335" t="n">
        <v>4</v>
      </c>
      <c r="AJ335" t="n">
        <v>5</v>
      </c>
      <c r="AK335" t="n">
        <v>5</v>
      </c>
      <c r="AL335" t="n">
        <v>5</v>
      </c>
      <c r="AM335" t="n">
        <v>5</v>
      </c>
      <c r="AN335" t="n">
        <v>2</v>
      </c>
      <c r="AO335" t="n">
        <v>2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HYPERLINK("https://creighton-primo.hosted.exlibrisgroup.com/primo-explore/search?tab=default_tab&amp;search_scope=EVERYTHING&amp;vid=01CRU&amp;lang=en_US&amp;offset=0&amp;query=any,contains,991000378289702656","Catalog Record")</f>
        <v/>
      </c>
      <c r="AV335">
        <f>HYPERLINK("http://www.worldcat.org/oclc/45630562","WorldCat Record")</f>
        <v/>
      </c>
      <c r="AW335" t="inlineStr">
        <is>
          <t>1909494640:eng</t>
        </is>
      </c>
      <c r="AX335" t="inlineStr">
        <is>
          <t>45630562</t>
        </is>
      </c>
      <c r="AY335" t="inlineStr">
        <is>
          <t>991000378289702656</t>
        </is>
      </c>
      <c r="AZ335" t="inlineStr">
        <is>
          <t>991000378289702656</t>
        </is>
      </c>
      <c r="BA335" t="inlineStr">
        <is>
          <t>2265730450002656</t>
        </is>
      </c>
      <c r="BB335" t="inlineStr">
        <is>
          <t>BOOK</t>
        </is>
      </c>
      <c r="BD335" t="inlineStr">
        <is>
          <t>9780763714321</t>
        </is>
      </c>
      <c r="BE335" t="inlineStr">
        <is>
          <t>30001004219780</t>
        </is>
      </c>
      <c r="BF335" t="inlineStr">
        <is>
          <t>893547780</t>
        </is>
      </c>
    </row>
    <row r="336">
      <c r="A336" t="inlineStr">
        <is>
          <t>No</t>
        </is>
      </c>
      <c r="B336" t="inlineStr">
        <is>
          <t>CUHSL</t>
        </is>
      </c>
      <c r="C336" t="inlineStr">
        <is>
          <t>SHELVES</t>
        </is>
      </c>
      <c r="D336" t="inlineStr">
        <is>
          <t>WA 540 AA1 H48 1984</t>
        </is>
      </c>
      <c r="E336" t="inlineStr">
        <is>
          <t>0                      WA 0540000AA 1                  H  48          1984</t>
        </is>
      </c>
      <c r="F336" t="inlineStr">
        <is>
          <t>Health politics and policy / [edited by] Theodor J. Litman, Leonard S. Robins.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Yes</t>
        </is>
      </c>
      <c r="L336" t="inlineStr">
        <is>
          <t>1</t>
        </is>
      </c>
      <c r="N336" t="inlineStr">
        <is>
          <t>New York : Wiley, c1984.</t>
        </is>
      </c>
      <c r="O336" t="inlineStr">
        <is>
          <t>1984</t>
        </is>
      </c>
      <c r="Q336" t="inlineStr">
        <is>
          <t>eng</t>
        </is>
      </c>
      <c r="R336" t="inlineStr">
        <is>
          <t>xxu</t>
        </is>
      </c>
      <c r="S336" t="inlineStr">
        <is>
          <t>Wiley series in health services, ISSN 0195-3907</t>
        </is>
      </c>
      <c r="T336" t="inlineStr">
        <is>
          <t xml:space="preserve">WA </t>
        </is>
      </c>
      <c r="U336" t="n">
        <v>5</v>
      </c>
      <c r="V336" t="n">
        <v>5</v>
      </c>
      <c r="W336" t="inlineStr">
        <is>
          <t>1996-04-22</t>
        </is>
      </c>
      <c r="X336" t="inlineStr">
        <is>
          <t>1996-04-22</t>
        </is>
      </c>
      <c r="Y336" t="inlineStr">
        <is>
          <t>1988-01-07</t>
        </is>
      </c>
      <c r="Z336" t="inlineStr">
        <is>
          <t>1988-01-07</t>
        </is>
      </c>
      <c r="AA336" t="n">
        <v>288</v>
      </c>
      <c r="AB336" t="n">
        <v>245</v>
      </c>
      <c r="AC336" t="n">
        <v>550</v>
      </c>
      <c r="AD336" t="n">
        <v>2</v>
      </c>
      <c r="AE336" t="n">
        <v>4</v>
      </c>
      <c r="AF336" t="n">
        <v>10</v>
      </c>
      <c r="AG336" t="n">
        <v>26</v>
      </c>
      <c r="AH336" t="n">
        <v>3</v>
      </c>
      <c r="AI336" t="n">
        <v>9</v>
      </c>
      <c r="AJ336" t="n">
        <v>3</v>
      </c>
      <c r="AK336" t="n">
        <v>6</v>
      </c>
      <c r="AL336" t="n">
        <v>6</v>
      </c>
      <c r="AM336" t="n">
        <v>12</v>
      </c>
      <c r="AN336" t="n">
        <v>1</v>
      </c>
      <c r="AO336" t="n">
        <v>3</v>
      </c>
      <c r="AP336" t="n">
        <v>0</v>
      </c>
      <c r="AQ336" t="n">
        <v>2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HYPERLINK("http://catalog.hathitrust.org/Record/000561535","HathiTrust Record")</f>
        <v/>
      </c>
      <c r="AU336">
        <f>HYPERLINK("https://creighton-primo.hosted.exlibrisgroup.com/primo-explore/search?tab=default_tab&amp;search_scope=EVERYTHING&amp;vid=01CRU&amp;lang=en_US&amp;offset=0&amp;query=any,contains,991000728119702656","Catalog Record")</f>
        <v/>
      </c>
      <c r="AV336">
        <f>HYPERLINK("http://www.worldcat.org/oclc/10277393","WorldCat Record")</f>
        <v/>
      </c>
      <c r="AW336" t="inlineStr">
        <is>
          <t>1077408717:eng</t>
        </is>
      </c>
      <c r="AX336" t="inlineStr">
        <is>
          <t>10277393</t>
        </is>
      </c>
      <c r="AY336" t="inlineStr">
        <is>
          <t>991000728119702656</t>
        </is>
      </c>
      <c r="AZ336" t="inlineStr">
        <is>
          <t>991000728119702656</t>
        </is>
      </c>
      <c r="BA336" t="inlineStr">
        <is>
          <t>2258483460002656</t>
        </is>
      </c>
      <c r="BB336" t="inlineStr">
        <is>
          <t>BOOK</t>
        </is>
      </c>
      <c r="BD336" t="inlineStr">
        <is>
          <t>9780471082538</t>
        </is>
      </c>
      <c r="BE336" t="inlineStr">
        <is>
          <t>30001000707440</t>
        </is>
      </c>
      <c r="BF336" t="inlineStr">
        <is>
          <t>893459764</t>
        </is>
      </c>
    </row>
    <row r="337">
      <c r="A337" t="inlineStr">
        <is>
          <t>No</t>
        </is>
      </c>
      <c r="B337" t="inlineStr">
        <is>
          <t>CUHSL</t>
        </is>
      </c>
      <c r="C337" t="inlineStr">
        <is>
          <t>SHELVES</t>
        </is>
      </c>
      <c r="D337" t="inlineStr">
        <is>
          <t>WA540 AA1 H48 1997</t>
        </is>
      </c>
      <c r="E337" t="inlineStr">
        <is>
          <t>0                      WA 0540000AA 1                  H  48          1997</t>
        </is>
      </c>
      <c r="F337" t="inlineStr">
        <is>
          <t>Health politics and policy / [edited by] Theodor J. Litman, Leonard S. Robins.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Yes</t>
        </is>
      </c>
      <c r="L337" t="inlineStr">
        <is>
          <t>1</t>
        </is>
      </c>
      <c r="N337" t="inlineStr">
        <is>
          <t>Albany : Delmar Publishers, c1997.</t>
        </is>
      </c>
      <c r="O337" t="inlineStr">
        <is>
          <t>1997</t>
        </is>
      </c>
      <c r="P337" t="inlineStr">
        <is>
          <t>3rd ed.</t>
        </is>
      </c>
      <c r="Q337" t="inlineStr">
        <is>
          <t>eng</t>
        </is>
      </c>
      <c r="R337" t="inlineStr">
        <is>
          <t>nyu</t>
        </is>
      </c>
      <c r="S337" t="inlineStr">
        <is>
          <t>Delmar series in health services administration</t>
        </is>
      </c>
      <c r="T337" t="inlineStr">
        <is>
          <t xml:space="preserve">WA </t>
        </is>
      </c>
      <c r="U337" t="n">
        <v>11</v>
      </c>
      <c r="V337" t="n">
        <v>11</v>
      </c>
      <c r="W337" t="inlineStr">
        <is>
          <t>2008-02-14</t>
        </is>
      </c>
      <c r="X337" t="inlineStr">
        <is>
          <t>2008-02-14</t>
        </is>
      </c>
      <c r="Y337" t="inlineStr">
        <is>
          <t>2001-10-23</t>
        </is>
      </c>
      <c r="Z337" t="inlineStr">
        <is>
          <t>2001-10-23</t>
        </is>
      </c>
      <c r="AA337" t="n">
        <v>207</v>
      </c>
      <c r="AB337" t="n">
        <v>182</v>
      </c>
      <c r="AC337" t="n">
        <v>550</v>
      </c>
      <c r="AD337" t="n">
        <v>2</v>
      </c>
      <c r="AE337" t="n">
        <v>4</v>
      </c>
      <c r="AF337" t="n">
        <v>10</v>
      </c>
      <c r="AG337" t="n">
        <v>26</v>
      </c>
      <c r="AH337" t="n">
        <v>4</v>
      </c>
      <c r="AI337" t="n">
        <v>9</v>
      </c>
      <c r="AJ337" t="n">
        <v>0</v>
      </c>
      <c r="AK337" t="n">
        <v>6</v>
      </c>
      <c r="AL337" t="n">
        <v>4</v>
      </c>
      <c r="AM337" t="n">
        <v>12</v>
      </c>
      <c r="AN337" t="n">
        <v>1</v>
      </c>
      <c r="AO337" t="n">
        <v>3</v>
      </c>
      <c r="AP337" t="n">
        <v>2</v>
      </c>
      <c r="AQ337" t="n">
        <v>2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HYPERLINK("https://creighton-primo.hosted.exlibrisgroup.com/primo-explore/search?tab=default_tab&amp;search_scope=EVERYTHING&amp;vid=01CRU&amp;lang=en_US&amp;offset=0&amp;query=any,contains,991000291869702656","Catalog Record")</f>
        <v/>
      </c>
      <c r="AV337">
        <f>HYPERLINK("http://www.worldcat.org/oclc/35815197","WorldCat Record")</f>
        <v/>
      </c>
      <c r="AW337" t="inlineStr">
        <is>
          <t>1077408717:eng</t>
        </is>
      </c>
      <c r="AX337" t="inlineStr">
        <is>
          <t>35815197</t>
        </is>
      </c>
      <c r="AY337" t="inlineStr">
        <is>
          <t>991000291869702656</t>
        </is>
      </c>
      <c r="AZ337" t="inlineStr">
        <is>
          <t>991000291869702656</t>
        </is>
      </c>
      <c r="BA337" t="inlineStr">
        <is>
          <t>2257648950002656</t>
        </is>
      </c>
      <c r="BB337" t="inlineStr">
        <is>
          <t>BOOK</t>
        </is>
      </c>
      <c r="BD337" t="inlineStr">
        <is>
          <t>9780827367760</t>
        </is>
      </c>
      <c r="BE337" t="inlineStr">
        <is>
          <t>30001004235463</t>
        </is>
      </c>
      <c r="BF337" t="inlineStr">
        <is>
          <t>893136044</t>
        </is>
      </c>
    </row>
    <row r="338">
      <c r="A338" t="inlineStr">
        <is>
          <t>No</t>
        </is>
      </c>
      <c r="B338" t="inlineStr">
        <is>
          <t>CUHSL</t>
        </is>
      </c>
      <c r="C338" t="inlineStr">
        <is>
          <t>SHELVES</t>
        </is>
      </c>
      <c r="D338" t="inlineStr">
        <is>
          <t>WA 540 AA1 I57f 1992</t>
        </is>
      </c>
      <c r="E338" t="inlineStr">
        <is>
          <t>0                      WA 0540000AA 1                  I  57f         1992</t>
        </is>
      </c>
      <c r="F338" t="inlineStr">
        <is>
          <t>Food and Drug Administration advisory committees / Committee to Study the Use of Advisory Committees by the Food and Drug Administration ; Richard A. Rettig, Laurence E. Earley, Richard A. Merrill, editors.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2</t>
        </is>
      </c>
      <c r="M338" t="inlineStr">
        <is>
          <t>Institute of Medicine (U.S.). Committee to Study the Use of Advisory Committees by the Food and Drug Administration.</t>
        </is>
      </c>
      <c r="N338" t="inlineStr">
        <is>
          <t>Washington, D.C. : National Academy Press, c1992.</t>
        </is>
      </c>
      <c r="O338" t="inlineStr">
        <is>
          <t>1992</t>
        </is>
      </c>
      <c r="Q338" t="inlineStr">
        <is>
          <t>eng</t>
        </is>
      </c>
      <c r="R338" t="inlineStr">
        <is>
          <t>xxu</t>
        </is>
      </c>
      <c r="T338" t="inlineStr">
        <is>
          <t xml:space="preserve">WA </t>
        </is>
      </c>
      <c r="U338" t="n">
        <v>1</v>
      </c>
      <c r="V338" t="n">
        <v>1</v>
      </c>
      <c r="W338" t="inlineStr">
        <is>
          <t>1994-01-28</t>
        </is>
      </c>
      <c r="X338" t="inlineStr">
        <is>
          <t>1994-01-28</t>
        </is>
      </c>
      <c r="Y338" t="inlineStr">
        <is>
          <t>1994-01-21</t>
        </is>
      </c>
      <c r="Z338" t="inlineStr">
        <is>
          <t>1994-01-21</t>
        </is>
      </c>
      <c r="AA338" t="n">
        <v>310</v>
      </c>
      <c r="AB338" t="n">
        <v>298</v>
      </c>
      <c r="AC338" t="n">
        <v>1422</v>
      </c>
      <c r="AD338" t="n">
        <v>3</v>
      </c>
      <c r="AE338" t="n">
        <v>16</v>
      </c>
      <c r="AF338" t="n">
        <v>7</v>
      </c>
      <c r="AG338" t="n">
        <v>46</v>
      </c>
      <c r="AH338" t="n">
        <v>0</v>
      </c>
      <c r="AI338" t="n">
        <v>14</v>
      </c>
      <c r="AJ338" t="n">
        <v>2</v>
      </c>
      <c r="AK338" t="n">
        <v>10</v>
      </c>
      <c r="AL338" t="n">
        <v>4</v>
      </c>
      <c r="AM338" t="n">
        <v>14</v>
      </c>
      <c r="AN338" t="n">
        <v>1</v>
      </c>
      <c r="AO338" t="n">
        <v>13</v>
      </c>
      <c r="AP338" t="n">
        <v>2</v>
      </c>
      <c r="AQ338" t="n">
        <v>3</v>
      </c>
      <c r="AR338" t="inlineStr">
        <is>
          <t>Yes</t>
        </is>
      </c>
      <c r="AS338" t="inlineStr">
        <is>
          <t>No</t>
        </is>
      </c>
      <c r="AT338">
        <f>HYPERLINK("http://catalog.hathitrust.org/Record/002638552","HathiTrust Record")</f>
        <v/>
      </c>
      <c r="AU338">
        <f>HYPERLINK("https://creighton-primo.hosted.exlibrisgroup.com/primo-explore/search?tab=default_tab&amp;search_scope=EVERYTHING&amp;vid=01CRU&amp;lang=en_US&amp;offset=0&amp;query=any,contains,991000667869702656","Catalog Record")</f>
        <v/>
      </c>
      <c r="AV338">
        <f>HYPERLINK("http://www.worldcat.org/oclc/28854639","WorldCat Record")</f>
        <v/>
      </c>
      <c r="AW338" t="inlineStr">
        <is>
          <t>330227:eng</t>
        </is>
      </c>
      <c r="AX338" t="inlineStr">
        <is>
          <t>28854639</t>
        </is>
      </c>
      <c r="AY338" t="inlineStr">
        <is>
          <t>991000667869702656</t>
        </is>
      </c>
      <c r="AZ338" t="inlineStr">
        <is>
          <t>991000667869702656</t>
        </is>
      </c>
      <c r="BA338" t="inlineStr">
        <is>
          <t>2259877040002656</t>
        </is>
      </c>
      <c r="BB338" t="inlineStr">
        <is>
          <t>BOOK</t>
        </is>
      </c>
      <c r="BD338" t="inlineStr">
        <is>
          <t>9780309048378</t>
        </is>
      </c>
      <c r="BE338" t="inlineStr">
        <is>
          <t>30001002695247</t>
        </is>
      </c>
      <c r="BF338" t="inlineStr">
        <is>
          <t>893819952</t>
        </is>
      </c>
    </row>
    <row r="339">
      <c r="A339" t="inlineStr">
        <is>
          <t>No</t>
        </is>
      </c>
      <c r="B339" t="inlineStr">
        <is>
          <t>CUHSL</t>
        </is>
      </c>
      <c r="C339" t="inlineStr">
        <is>
          <t>SHELVES</t>
        </is>
      </c>
      <c r="D339" t="inlineStr">
        <is>
          <t>WA540 AA1 L954h 2004</t>
        </is>
      </c>
      <c r="E339" t="inlineStr">
        <is>
          <t>0                      WA 0540000AA 1                  L  954h        2004</t>
        </is>
      </c>
      <c r="F339" t="inlineStr">
        <is>
          <t>Healthcare strategy : in pursuit of competitive advantage / Roice D. Luke, Stephen L. Walston, Patrick Michael Plummer.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Luke, Roice D.</t>
        </is>
      </c>
      <c r="N339" t="inlineStr">
        <is>
          <t>Chicago, IL : Health Administration Press, c2004.</t>
        </is>
      </c>
      <c r="O339" t="inlineStr">
        <is>
          <t>2004</t>
        </is>
      </c>
      <c r="Q339" t="inlineStr">
        <is>
          <t>eng</t>
        </is>
      </c>
      <c r="R339" t="inlineStr">
        <is>
          <t>ilu</t>
        </is>
      </c>
      <c r="T339" t="inlineStr">
        <is>
          <t xml:space="preserve">WA </t>
        </is>
      </c>
      <c r="U339" t="n">
        <v>1</v>
      </c>
      <c r="V339" t="n">
        <v>1</v>
      </c>
      <c r="W339" t="inlineStr">
        <is>
          <t>2008-02-14</t>
        </is>
      </c>
      <c r="X339" t="inlineStr">
        <is>
          <t>2008-02-14</t>
        </is>
      </c>
      <c r="Y339" t="inlineStr">
        <is>
          <t>2004-11-01</t>
        </is>
      </c>
      <c r="Z339" t="inlineStr">
        <is>
          <t>2004-11-01</t>
        </is>
      </c>
      <c r="AA339" t="n">
        <v>101</v>
      </c>
      <c r="AB339" t="n">
        <v>90</v>
      </c>
      <c r="AC339" t="n">
        <v>865</v>
      </c>
      <c r="AD339" t="n">
        <v>1</v>
      </c>
      <c r="AE339" t="n">
        <v>29</v>
      </c>
      <c r="AF339" t="n">
        <v>6</v>
      </c>
      <c r="AG339" t="n">
        <v>24</v>
      </c>
      <c r="AH339" t="n">
        <v>1</v>
      </c>
      <c r="AI339" t="n">
        <v>6</v>
      </c>
      <c r="AJ339" t="n">
        <v>2</v>
      </c>
      <c r="AK339" t="n">
        <v>3</v>
      </c>
      <c r="AL339" t="n">
        <v>5</v>
      </c>
      <c r="AM339" t="n">
        <v>8</v>
      </c>
      <c r="AN339" t="n">
        <v>0</v>
      </c>
      <c r="AO339" t="n">
        <v>10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HYPERLINK("http://catalog.hathitrust.org/Record/004362328","HathiTrust Record")</f>
        <v/>
      </c>
      <c r="AU339">
        <f>HYPERLINK("https://creighton-primo.hosted.exlibrisgroup.com/primo-explore/search?tab=default_tab&amp;search_scope=EVERYTHING&amp;vid=01CRU&amp;lang=en_US&amp;offset=0&amp;query=any,contains,991000406469702656","Catalog Record")</f>
        <v/>
      </c>
      <c r="AV339">
        <f>HYPERLINK("http://www.worldcat.org/oclc/52623664","WorldCat Record")</f>
        <v/>
      </c>
      <c r="AW339" t="inlineStr">
        <is>
          <t>863040245:eng</t>
        </is>
      </c>
      <c r="AX339" t="inlineStr">
        <is>
          <t>52623664</t>
        </is>
      </c>
      <c r="AY339" t="inlineStr">
        <is>
          <t>991000406469702656</t>
        </is>
      </c>
      <c r="AZ339" t="inlineStr">
        <is>
          <t>991000406469702656</t>
        </is>
      </c>
      <c r="BA339" t="inlineStr">
        <is>
          <t>2270827790002656</t>
        </is>
      </c>
      <c r="BB339" t="inlineStr">
        <is>
          <t>BOOK</t>
        </is>
      </c>
      <c r="BD339" t="inlineStr">
        <is>
          <t>9781567932157</t>
        </is>
      </c>
      <c r="BE339" t="inlineStr">
        <is>
          <t>30001004924579</t>
        </is>
      </c>
      <c r="BF339" t="inlineStr">
        <is>
          <t>893275037</t>
        </is>
      </c>
    </row>
    <row r="340">
      <c r="A340" t="inlineStr">
        <is>
          <t>No</t>
        </is>
      </c>
      <c r="B340" t="inlineStr">
        <is>
          <t>CUHSL</t>
        </is>
      </c>
      <c r="C340" t="inlineStr">
        <is>
          <t>SHELVES</t>
        </is>
      </c>
      <c r="D340" t="inlineStr">
        <is>
          <t>WA 540 AA1 M191h 2005</t>
        </is>
      </c>
      <c r="E340" t="inlineStr">
        <is>
          <t>0                      WA 0540000AA 1                  M  191h        2005</t>
        </is>
      </c>
      <c r="F340" t="inlineStr">
        <is>
          <t>Health politics : power, populism, and health / Mike Magee.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Magee, Mike, M.D.</t>
        </is>
      </c>
      <c r="N340" t="inlineStr">
        <is>
          <t>Bronxville, NY : Spencer Books, c2005.</t>
        </is>
      </c>
      <c r="O340" t="inlineStr">
        <is>
          <t>2005</t>
        </is>
      </c>
      <c r="Q340" t="inlineStr">
        <is>
          <t>eng</t>
        </is>
      </c>
      <c r="R340" t="inlineStr">
        <is>
          <t>nyu</t>
        </is>
      </c>
      <c r="T340" t="inlineStr">
        <is>
          <t xml:space="preserve">WA </t>
        </is>
      </c>
      <c r="U340" t="n">
        <v>2</v>
      </c>
      <c r="V340" t="n">
        <v>2</v>
      </c>
      <c r="W340" t="inlineStr">
        <is>
          <t>2009-09-27</t>
        </is>
      </c>
      <c r="X340" t="inlineStr">
        <is>
          <t>2009-09-27</t>
        </is>
      </c>
      <c r="Y340" t="inlineStr">
        <is>
          <t>2006-04-27</t>
        </is>
      </c>
      <c r="Z340" t="inlineStr">
        <is>
          <t>2006-04-27</t>
        </is>
      </c>
      <c r="AA340" t="n">
        <v>494</v>
      </c>
      <c r="AB340" t="n">
        <v>479</v>
      </c>
      <c r="AC340" t="n">
        <v>488</v>
      </c>
      <c r="AD340" t="n">
        <v>1</v>
      </c>
      <c r="AE340" t="n">
        <v>1</v>
      </c>
      <c r="AF340" t="n">
        <v>9</v>
      </c>
      <c r="AG340" t="n">
        <v>9</v>
      </c>
      <c r="AH340" t="n">
        <v>3</v>
      </c>
      <c r="AI340" t="n">
        <v>3</v>
      </c>
      <c r="AJ340" t="n">
        <v>3</v>
      </c>
      <c r="AK340" t="n">
        <v>3</v>
      </c>
      <c r="AL340" t="n">
        <v>4</v>
      </c>
      <c r="AM340" t="n">
        <v>4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HYPERLINK("http://catalog.hathitrust.org/Record/005114433","HathiTrust Record")</f>
        <v/>
      </c>
      <c r="AU340">
        <f>HYPERLINK("https://creighton-primo.hosted.exlibrisgroup.com/primo-explore/search?tab=default_tab&amp;search_scope=EVERYTHING&amp;vid=01CRU&amp;lang=en_US&amp;offset=0&amp;query=any,contains,991001737279702656","Catalog Record")</f>
        <v/>
      </c>
      <c r="AV340">
        <f>HYPERLINK("http://www.worldcat.org/oclc/62195746","WorldCat Record")</f>
        <v/>
      </c>
      <c r="AW340" t="inlineStr">
        <is>
          <t>308607767:eng</t>
        </is>
      </c>
      <c r="AX340" t="inlineStr">
        <is>
          <t>62195746</t>
        </is>
      </c>
      <c r="AY340" t="inlineStr">
        <is>
          <t>991001737279702656</t>
        </is>
      </c>
      <c r="AZ340" t="inlineStr">
        <is>
          <t>991001737279702656</t>
        </is>
      </c>
      <c r="BA340" t="inlineStr">
        <is>
          <t>2258055810002656</t>
        </is>
      </c>
      <c r="BB340" t="inlineStr">
        <is>
          <t>BOOK</t>
        </is>
      </c>
      <c r="BD340" t="inlineStr">
        <is>
          <t>9781889793177</t>
        </is>
      </c>
      <c r="BE340" t="inlineStr">
        <is>
          <t>30001005126844</t>
        </is>
      </c>
      <c r="BF340" t="inlineStr">
        <is>
          <t>893456111</t>
        </is>
      </c>
    </row>
    <row r="341">
      <c r="A341" t="inlineStr">
        <is>
          <t>No</t>
        </is>
      </c>
      <c r="B341" t="inlineStr">
        <is>
          <t>CUHSL</t>
        </is>
      </c>
      <c r="C341" t="inlineStr">
        <is>
          <t>SHELVES</t>
        </is>
      </c>
      <c r="D341" t="inlineStr">
        <is>
          <t>WA540 AA1 M3783h 2008</t>
        </is>
      </c>
      <c r="E341" t="inlineStr">
        <is>
          <t>0                      WA 0540000AA 1                  M  3783h       2008</t>
        </is>
      </c>
      <c r="F341" t="inlineStr">
        <is>
          <t>Health policy analysis : an interdisciplinary approach / Curtis P. McLaughlin, Craig D. McLaughlin.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McLaughlin, Curtis P.</t>
        </is>
      </c>
      <c r="N341" t="inlineStr">
        <is>
          <t>Sudbury, Mass. : Jones and Bartlett Publishers, c2008.</t>
        </is>
      </c>
      <c r="O341" t="inlineStr">
        <is>
          <t>2008</t>
        </is>
      </c>
      <c r="Q341" t="inlineStr">
        <is>
          <t>eng</t>
        </is>
      </c>
      <c r="R341" t="inlineStr">
        <is>
          <t>mau</t>
        </is>
      </c>
      <c r="T341" t="inlineStr">
        <is>
          <t xml:space="preserve">WA </t>
        </is>
      </c>
      <c r="U341" t="n">
        <v>7</v>
      </c>
      <c r="V341" t="n">
        <v>7</v>
      </c>
      <c r="W341" t="inlineStr">
        <is>
          <t>2010-11-22</t>
        </is>
      </c>
      <c r="X341" t="inlineStr">
        <is>
          <t>2010-11-22</t>
        </is>
      </c>
      <c r="Y341" t="inlineStr">
        <is>
          <t>2007-11-12</t>
        </is>
      </c>
      <c r="Z341" t="inlineStr">
        <is>
          <t>2007-11-12</t>
        </is>
      </c>
      <c r="AA341" t="n">
        <v>257</v>
      </c>
      <c r="AB341" t="n">
        <v>206</v>
      </c>
      <c r="AC341" t="n">
        <v>308</v>
      </c>
      <c r="AD341" t="n">
        <v>2</v>
      </c>
      <c r="AE341" t="n">
        <v>2</v>
      </c>
      <c r="AF341" t="n">
        <v>9</v>
      </c>
      <c r="AG341" t="n">
        <v>15</v>
      </c>
      <c r="AH341" t="n">
        <v>2</v>
      </c>
      <c r="AI341" t="n">
        <v>3</v>
      </c>
      <c r="AJ341" t="n">
        <v>2</v>
      </c>
      <c r="AK341" t="n">
        <v>5</v>
      </c>
      <c r="AL341" t="n">
        <v>4</v>
      </c>
      <c r="AM341" t="n">
        <v>8</v>
      </c>
      <c r="AN341" t="n">
        <v>1</v>
      </c>
      <c r="AO341" t="n">
        <v>1</v>
      </c>
      <c r="AP341" t="n">
        <v>1</v>
      </c>
      <c r="AQ341" t="n">
        <v>1</v>
      </c>
      <c r="AR341" t="inlineStr">
        <is>
          <t>No</t>
        </is>
      </c>
      <c r="AS341" t="inlineStr">
        <is>
          <t>No</t>
        </is>
      </c>
      <c r="AU341">
        <f>HYPERLINK("https://creighton-primo.hosted.exlibrisgroup.com/primo-explore/search?tab=default_tab&amp;search_scope=EVERYTHING&amp;vid=01CRU&amp;lang=en_US&amp;offset=0&amp;query=any,contains,991000659309702656","Catalog Record")</f>
        <v/>
      </c>
      <c r="AV341">
        <f>HYPERLINK("http://www.worldcat.org/oclc/85498715","WorldCat Record")</f>
        <v/>
      </c>
      <c r="AW341" t="inlineStr">
        <is>
          <t>368046587:eng</t>
        </is>
      </c>
      <c r="AX341" t="inlineStr">
        <is>
          <t>85498715</t>
        </is>
      </c>
      <c r="AY341" t="inlineStr">
        <is>
          <t>991000659309702656</t>
        </is>
      </c>
      <c r="AZ341" t="inlineStr">
        <is>
          <t>991000659309702656</t>
        </is>
      </c>
      <c r="BA341" t="inlineStr">
        <is>
          <t>2266082760002656</t>
        </is>
      </c>
      <c r="BB341" t="inlineStr">
        <is>
          <t>BOOK</t>
        </is>
      </c>
      <c r="BD341" t="inlineStr">
        <is>
          <t>9780763744427</t>
        </is>
      </c>
      <c r="BE341" t="inlineStr">
        <is>
          <t>30001005230505</t>
        </is>
      </c>
      <c r="BF341" t="inlineStr">
        <is>
          <t>893160761</t>
        </is>
      </c>
    </row>
    <row r="342">
      <c r="A342" t="inlineStr">
        <is>
          <t>No</t>
        </is>
      </c>
      <c r="B342" t="inlineStr">
        <is>
          <t>CUHSL</t>
        </is>
      </c>
      <c r="C342" t="inlineStr">
        <is>
          <t>SHELVES</t>
        </is>
      </c>
      <c r="D342" t="inlineStr">
        <is>
          <t>WA 540 AA1 M5p 1981</t>
        </is>
      </c>
      <c r="E342" t="inlineStr">
        <is>
          <t>0                      WA 0540000AA 1                  M  5p          1981</t>
        </is>
      </c>
      <c r="F342" t="inlineStr">
        <is>
          <t>Promoting health through public policy / Nancy Milio.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Milio, Nancy.</t>
        </is>
      </c>
      <c r="N342" t="inlineStr">
        <is>
          <t>Philadelphia : Davis, c1981.</t>
        </is>
      </c>
      <c r="O342" t="inlineStr">
        <is>
          <t>1981</t>
        </is>
      </c>
      <c r="Q342" t="inlineStr">
        <is>
          <t>eng</t>
        </is>
      </c>
      <c r="R342" t="inlineStr">
        <is>
          <t>xxu</t>
        </is>
      </c>
      <c r="T342" t="inlineStr">
        <is>
          <t xml:space="preserve">WA </t>
        </is>
      </c>
      <c r="U342" t="n">
        <v>5</v>
      </c>
      <c r="V342" t="n">
        <v>5</v>
      </c>
      <c r="W342" t="inlineStr">
        <is>
          <t>1996-04-22</t>
        </is>
      </c>
      <c r="X342" t="inlineStr">
        <is>
          <t>1996-04-22</t>
        </is>
      </c>
      <c r="Y342" t="inlineStr">
        <is>
          <t>1988-02-04</t>
        </is>
      </c>
      <c r="Z342" t="inlineStr">
        <is>
          <t>1988-02-04</t>
        </is>
      </c>
      <c r="AA342" t="n">
        <v>327</v>
      </c>
      <c r="AB342" t="n">
        <v>271</v>
      </c>
      <c r="AC342" t="n">
        <v>283</v>
      </c>
      <c r="AD342" t="n">
        <v>1</v>
      </c>
      <c r="AE342" t="n">
        <v>1</v>
      </c>
      <c r="AF342" t="n">
        <v>7</v>
      </c>
      <c r="AG342" t="n">
        <v>7</v>
      </c>
      <c r="AH342" t="n">
        <v>4</v>
      </c>
      <c r="AI342" t="n">
        <v>4</v>
      </c>
      <c r="AJ342" t="n">
        <v>1</v>
      </c>
      <c r="AK342" t="n">
        <v>1</v>
      </c>
      <c r="AL342" t="n">
        <v>5</v>
      </c>
      <c r="AM342" t="n">
        <v>5</v>
      </c>
      <c r="AN342" t="n">
        <v>0</v>
      </c>
      <c r="AO342" t="n">
        <v>0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HYPERLINK("http://catalog.hathitrust.org/Record/000262349","HathiTrust Record")</f>
        <v/>
      </c>
      <c r="AU342">
        <f>HYPERLINK("https://creighton-primo.hosted.exlibrisgroup.com/primo-explore/search?tab=default_tab&amp;search_scope=EVERYTHING&amp;vid=01CRU&amp;lang=en_US&amp;offset=0&amp;query=any,contains,991000728229702656","Catalog Record")</f>
        <v/>
      </c>
      <c r="AV342">
        <f>HYPERLINK("http://www.worldcat.org/oclc/6889511","WorldCat Record")</f>
        <v/>
      </c>
      <c r="AW342" t="inlineStr">
        <is>
          <t>455870:eng</t>
        </is>
      </c>
      <c r="AX342" t="inlineStr">
        <is>
          <t>6889511</t>
        </is>
      </c>
      <c r="AY342" t="inlineStr">
        <is>
          <t>991000728229702656</t>
        </is>
      </c>
      <c r="AZ342" t="inlineStr">
        <is>
          <t>991000728229702656</t>
        </is>
      </c>
      <c r="BA342" t="inlineStr">
        <is>
          <t>2269329410002656</t>
        </is>
      </c>
      <c r="BB342" t="inlineStr">
        <is>
          <t>BOOK</t>
        </is>
      </c>
      <c r="BD342" t="inlineStr">
        <is>
          <t>9780803661776</t>
        </is>
      </c>
      <c r="BE342" t="inlineStr">
        <is>
          <t>30001000707457</t>
        </is>
      </c>
      <c r="BF342" t="inlineStr">
        <is>
          <t>893831128</t>
        </is>
      </c>
    </row>
    <row r="343">
      <c r="A343" t="inlineStr">
        <is>
          <t>No</t>
        </is>
      </c>
      <c r="B343" t="inlineStr">
        <is>
          <t>CUHSL</t>
        </is>
      </c>
      <c r="C343" t="inlineStr">
        <is>
          <t>SHELVES</t>
        </is>
      </c>
      <c r="D343" t="inlineStr">
        <is>
          <t>WA540 AA1 P295h 1999</t>
        </is>
      </c>
      <c r="E343" t="inlineStr">
        <is>
          <t>0                      WA 0540000AA 1                  P  295h        1999</t>
        </is>
      </c>
      <c r="F343" t="inlineStr">
        <is>
          <t>Health care politics and policy in America / Kant Patel, Mark E. Rushefsky.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Yes</t>
        </is>
      </c>
      <c r="L343" t="inlineStr">
        <is>
          <t>0</t>
        </is>
      </c>
      <c r="M343" t="inlineStr">
        <is>
          <t>Patel, Kant, 1946-</t>
        </is>
      </c>
      <c r="N343" t="inlineStr">
        <is>
          <t>Armonk, N.Y. : M.E. Sharpe, c1999.</t>
        </is>
      </c>
      <c r="O343" t="inlineStr">
        <is>
          <t>1999</t>
        </is>
      </c>
      <c r="P343" t="inlineStr">
        <is>
          <t>2nd ed.</t>
        </is>
      </c>
      <c r="Q343" t="inlineStr">
        <is>
          <t>eng</t>
        </is>
      </c>
      <c r="R343" t="inlineStr">
        <is>
          <t>nyu</t>
        </is>
      </c>
      <c r="T343" t="inlineStr">
        <is>
          <t xml:space="preserve">WA </t>
        </is>
      </c>
      <c r="U343" t="n">
        <v>7</v>
      </c>
      <c r="V343" t="n">
        <v>7</v>
      </c>
      <c r="W343" t="inlineStr">
        <is>
          <t>2005-06-15</t>
        </is>
      </c>
      <c r="X343" t="inlineStr">
        <is>
          <t>2005-06-15</t>
        </is>
      </c>
      <c r="Y343" t="inlineStr">
        <is>
          <t>2001-10-23</t>
        </is>
      </c>
      <c r="Z343" t="inlineStr">
        <is>
          <t>2001-10-23</t>
        </is>
      </c>
      <c r="AA343" t="n">
        <v>300</v>
      </c>
      <c r="AB343" t="n">
        <v>258</v>
      </c>
      <c r="AC343" t="n">
        <v>700</v>
      </c>
      <c r="AD343" t="n">
        <v>3</v>
      </c>
      <c r="AE343" t="n">
        <v>8</v>
      </c>
      <c r="AF343" t="n">
        <v>11</v>
      </c>
      <c r="AG343" t="n">
        <v>34</v>
      </c>
      <c r="AH343" t="n">
        <v>3</v>
      </c>
      <c r="AI343" t="n">
        <v>12</v>
      </c>
      <c r="AJ343" t="n">
        <v>4</v>
      </c>
      <c r="AK343" t="n">
        <v>6</v>
      </c>
      <c r="AL343" t="n">
        <v>2</v>
      </c>
      <c r="AM343" t="n">
        <v>13</v>
      </c>
      <c r="AN343" t="n">
        <v>2</v>
      </c>
      <c r="AO343" t="n">
        <v>6</v>
      </c>
      <c r="AP343" t="n">
        <v>1</v>
      </c>
      <c r="AQ343" t="n">
        <v>3</v>
      </c>
      <c r="AR343" t="inlineStr">
        <is>
          <t>No</t>
        </is>
      </c>
      <c r="AS343" t="inlineStr">
        <is>
          <t>No</t>
        </is>
      </c>
      <c r="AU343">
        <f>HYPERLINK("https://creighton-primo.hosted.exlibrisgroup.com/primo-explore/search?tab=default_tab&amp;search_scope=EVERYTHING&amp;vid=01CRU&amp;lang=en_US&amp;offset=0&amp;query=any,contains,991000291919702656","Catalog Record")</f>
        <v/>
      </c>
      <c r="AV343">
        <f>HYPERLINK("http://www.worldcat.org/oclc/40644986","WorldCat Record")</f>
        <v/>
      </c>
      <c r="AW343" t="inlineStr">
        <is>
          <t>24120370:eng</t>
        </is>
      </c>
      <c r="AX343" t="inlineStr">
        <is>
          <t>40644986</t>
        </is>
      </c>
      <c r="AY343" t="inlineStr">
        <is>
          <t>991000291919702656</t>
        </is>
      </c>
      <c r="AZ343" t="inlineStr">
        <is>
          <t>991000291919702656</t>
        </is>
      </c>
      <c r="BA343" t="inlineStr">
        <is>
          <t>2261300530002656</t>
        </is>
      </c>
      <c r="BB343" t="inlineStr">
        <is>
          <t>BOOK</t>
        </is>
      </c>
      <c r="BD343" t="inlineStr">
        <is>
          <t>9780765603890</t>
        </is>
      </c>
      <c r="BE343" t="inlineStr">
        <is>
          <t>30001004235471</t>
        </is>
      </c>
      <c r="BF343" t="inlineStr">
        <is>
          <t>893136045</t>
        </is>
      </c>
    </row>
    <row r="344">
      <c r="A344" t="inlineStr">
        <is>
          <t>No</t>
        </is>
      </c>
      <c r="B344" t="inlineStr">
        <is>
          <t>CUHSL</t>
        </is>
      </c>
      <c r="C344" t="inlineStr">
        <is>
          <t>SHELVES</t>
        </is>
      </c>
      <c r="D344" t="inlineStr">
        <is>
          <t>WA 540 AA1 P52p 1990</t>
        </is>
      </c>
      <c r="E344" t="inlineStr">
        <is>
          <t>0                      WA 0540000AA 1                  P  52p         1990</t>
        </is>
      </c>
      <c r="F344" t="inlineStr">
        <is>
          <t>Public health : administration and practice / George Pickett.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Yes</t>
        </is>
      </c>
      <c r="L344" t="inlineStr">
        <is>
          <t>0</t>
        </is>
      </c>
      <c r="M344" t="inlineStr">
        <is>
          <t>Pickett, George E. (George Eastman), 1935-</t>
        </is>
      </c>
      <c r="N344" t="inlineStr">
        <is>
          <t>St. Louis : Times Mirror/Mosby College Pub., c1990.</t>
        </is>
      </c>
      <c r="O344" t="inlineStr">
        <is>
          <t>1990</t>
        </is>
      </c>
      <c r="P344" t="inlineStr">
        <is>
          <t>9th ed.</t>
        </is>
      </c>
      <c r="Q344" t="inlineStr">
        <is>
          <t>eng</t>
        </is>
      </c>
      <c r="R344" t="inlineStr">
        <is>
          <t>xxu</t>
        </is>
      </c>
      <c r="T344" t="inlineStr">
        <is>
          <t xml:space="preserve">WA </t>
        </is>
      </c>
      <c r="U344" t="n">
        <v>4</v>
      </c>
      <c r="V344" t="n">
        <v>4</v>
      </c>
      <c r="W344" t="inlineStr">
        <is>
          <t>2007-09-20</t>
        </is>
      </c>
      <c r="X344" t="inlineStr">
        <is>
          <t>2007-09-20</t>
        </is>
      </c>
      <c r="Y344" t="inlineStr">
        <is>
          <t>1990-08-08</t>
        </is>
      </c>
      <c r="Z344" t="inlineStr">
        <is>
          <t>1990-08-08</t>
        </is>
      </c>
      <c r="AA344" t="n">
        <v>351</v>
      </c>
      <c r="AB344" t="n">
        <v>266</v>
      </c>
      <c r="AC344" t="n">
        <v>598</v>
      </c>
      <c r="AD344" t="n">
        <v>3</v>
      </c>
      <c r="AE344" t="n">
        <v>3</v>
      </c>
      <c r="AF344" t="n">
        <v>4</v>
      </c>
      <c r="AG344" t="n">
        <v>15</v>
      </c>
      <c r="AH344" t="n">
        <v>1</v>
      </c>
      <c r="AI344" t="n">
        <v>5</v>
      </c>
      <c r="AJ344" t="n">
        <v>0</v>
      </c>
      <c r="AK344" t="n">
        <v>5</v>
      </c>
      <c r="AL344" t="n">
        <v>3</v>
      </c>
      <c r="AM344" t="n">
        <v>11</v>
      </c>
      <c r="AN344" t="n">
        <v>1</v>
      </c>
      <c r="AO344" t="n">
        <v>1</v>
      </c>
      <c r="AP344" t="n">
        <v>0</v>
      </c>
      <c r="AQ344" t="n">
        <v>0</v>
      </c>
      <c r="AR344" t="inlineStr">
        <is>
          <t>No</t>
        </is>
      </c>
      <c r="AS344" t="inlineStr">
        <is>
          <t>Yes</t>
        </is>
      </c>
      <c r="AT344">
        <f>HYPERLINK("http://catalog.hathitrust.org/Record/001944412","HathiTrust Record")</f>
        <v/>
      </c>
      <c r="AU344">
        <f>HYPERLINK("https://creighton-primo.hosted.exlibrisgroup.com/primo-explore/search?tab=default_tab&amp;search_scope=EVERYTHING&amp;vid=01CRU&amp;lang=en_US&amp;offset=0&amp;query=any,contains,991001452349702656","Catalog Record")</f>
        <v/>
      </c>
      <c r="AV344">
        <f>HYPERLINK("http://www.worldcat.org/oclc/20057345","WorldCat Record")</f>
        <v/>
      </c>
      <c r="AW344" t="inlineStr">
        <is>
          <t>425714762:eng</t>
        </is>
      </c>
      <c r="AX344" t="inlineStr">
        <is>
          <t>20057345</t>
        </is>
      </c>
      <c r="AY344" t="inlineStr">
        <is>
          <t>991001452349702656</t>
        </is>
      </c>
      <c r="AZ344" t="inlineStr">
        <is>
          <t>991001452349702656</t>
        </is>
      </c>
      <c r="BA344" t="inlineStr">
        <is>
          <t>2260592920002656</t>
        </is>
      </c>
      <c r="BB344" t="inlineStr">
        <is>
          <t>BOOK</t>
        </is>
      </c>
      <c r="BD344" t="inlineStr">
        <is>
          <t>9780801625015</t>
        </is>
      </c>
      <c r="BE344" t="inlineStr">
        <is>
          <t>30001001883547</t>
        </is>
      </c>
      <c r="BF344" t="inlineStr">
        <is>
          <t>893451221</t>
        </is>
      </c>
    </row>
    <row r="345">
      <c r="A345" t="inlineStr">
        <is>
          <t>No</t>
        </is>
      </c>
      <c r="B345" t="inlineStr">
        <is>
          <t>CUHSL</t>
        </is>
      </c>
      <c r="C345" t="inlineStr">
        <is>
          <t>SHELVES</t>
        </is>
      </c>
      <c r="D345" t="inlineStr">
        <is>
          <t>WA 540 AA1 S728c 2003</t>
        </is>
      </c>
      <c r="E345" t="inlineStr">
        <is>
          <t>0                      WA 0540000AA 1                  S  728c        2003</t>
        </is>
      </c>
      <c r="F345" t="inlineStr">
        <is>
          <t>A call to be whole : the fundamentals of health care reform / Barbara J. Sowada.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Sowada, Barbara J., 1947-</t>
        </is>
      </c>
      <c r="N345" t="inlineStr">
        <is>
          <t>Westport, Conn. : Praeger, 2003.</t>
        </is>
      </c>
      <c r="O345" t="inlineStr">
        <is>
          <t>2003</t>
        </is>
      </c>
      <c r="Q345" t="inlineStr">
        <is>
          <t>eng</t>
        </is>
      </c>
      <c r="R345" t="inlineStr">
        <is>
          <t>ctu</t>
        </is>
      </c>
      <c r="T345" t="inlineStr">
        <is>
          <t xml:space="preserve">WA </t>
        </is>
      </c>
      <c r="U345" t="n">
        <v>0</v>
      </c>
      <c r="V345" t="n">
        <v>0</v>
      </c>
      <c r="W345" t="inlineStr">
        <is>
          <t>2005-07-17</t>
        </is>
      </c>
      <c r="X345" t="inlineStr">
        <is>
          <t>2005-07-17</t>
        </is>
      </c>
      <c r="Y345" t="inlineStr">
        <is>
          <t>2005-07-14</t>
        </is>
      </c>
      <c r="Z345" t="inlineStr">
        <is>
          <t>2005-07-14</t>
        </is>
      </c>
      <c r="AA345" t="n">
        <v>291</v>
      </c>
      <c r="AB345" t="n">
        <v>270</v>
      </c>
      <c r="AC345" t="n">
        <v>958</v>
      </c>
      <c r="AD345" t="n">
        <v>2</v>
      </c>
      <c r="AE345" t="n">
        <v>7</v>
      </c>
      <c r="AF345" t="n">
        <v>12</v>
      </c>
      <c r="AG345" t="n">
        <v>34</v>
      </c>
      <c r="AH345" t="n">
        <v>6</v>
      </c>
      <c r="AI345" t="n">
        <v>15</v>
      </c>
      <c r="AJ345" t="n">
        <v>2</v>
      </c>
      <c r="AK345" t="n">
        <v>6</v>
      </c>
      <c r="AL345" t="n">
        <v>3</v>
      </c>
      <c r="AM345" t="n">
        <v>9</v>
      </c>
      <c r="AN345" t="n">
        <v>1</v>
      </c>
      <c r="AO345" t="n">
        <v>6</v>
      </c>
      <c r="AP345" t="n">
        <v>1</v>
      </c>
      <c r="AQ345" t="n">
        <v>2</v>
      </c>
      <c r="AR345" t="inlineStr">
        <is>
          <t>No</t>
        </is>
      </c>
      <c r="AS345" t="inlineStr">
        <is>
          <t>No</t>
        </is>
      </c>
      <c r="AU345">
        <f>HYPERLINK("https://creighton-primo.hosted.exlibrisgroup.com/primo-explore/search?tab=default_tab&amp;search_scope=EVERYTHING&amp;vid=01CRU&amp;lang=en_US&amp;offset=0&amp;query=any,contains,991000441069702656","Catalog Record")</f>
        <v/>
      </c>
      <c r="AV345">
        <f>HYPERLINK("http://www.worldcat.org/oclc/51216288","WorldCat Record")</f>
        <v/>
      </c>
      <c r="AW345" t="inlineStr">
        <is>
          <t>800854579:eng</t>
        </is>
      </c>
      <c r="AX345" t="inlineStr">
        <is>
          <t>51216288</t>
        </is>
      </c>
      <c r="AY345" t="inlineStr">
        <is>
          <t>991000441069702656</t>
        </is>
      </c>
      <c r="AZ345" t="inlineStr">
        <is>
          <t>991000441069702656</t>
        </is>
      </c>
      <c r="BA345" t="inlineStr">
        <is>
          <t>2270476980002656</t>
        </is>
      </c>
      <c r="BB345" t="inlineStr">
        <is>
          <t>BOOK</t>
        </is>
      </c>
      <c r="BD345" t="inlineStr">
        <is>
          <t>9780275978853</t>
        </is>
      </c>
      <c r="BE345" t="inlineStr">
        <is>
          <t>30001005000601</t>
        </is>
      </c>
      <c r="BF345" t="inlineStr">
        <is>
          <t>893461496</t>
        </is>
      </c>
    </row>
    <row r="346">
      <c r="A346" t="inlineStr">
        <is>
          <t>No</t>
        </is>
      </c>
      <c r="B346" t="inlineStr">
        <is>
          <t>CUHSL</t>
        </is>
      </c>
      <c r="C346" t="inlineStr">
        <is>
          <t>SHELVES</t>
        </is>
      </c>
      <c r="D346" t="inlineStr">
        <is>
          <t>WA 540 AA1 S898 1996</t>
        </is>
      </c>
      <c r="E346" t="inlineStr">
        <is>
          <t>0                      WA 0540000AA 1                  S  898         1996</t>
        </is>
      </c>
      <c r="F346" t="inlineStr">
        <is>
          <t>Strategic choices for a changing health care system / edited by Stuart H. Altman, Uwe E. Reinhardt.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N346" t="inlineStr">
        <is>
          <t>Chicago, Ill. : Health Administration Press, c1996.</t>
        </is>
      </c>
      <c r="O346" t="inlineStr">
        <is>
          <t>1996</t>
        </is>
      </c>
      <c r="Q346" t="inlineStr">
        <is>
          <t>eng</t>
        </is>
      </c>
      <c r="R346" t="inlineStr">
        <is>
          <t>ilu</t>
        </is>
      </c>
      <c r="S346" t="inlineStr">
        <is>
          <t>The Baxter health policy review ; v. 2</t>
        </is>
      </c>
      <c r="T346" t="inlineStr">
        <is>
          <t xml:space="preserve">WA </t>
        </is>
      </c>
      <c r="U346" t="n">
        <v>2</v>
      </c>
      <c r="V346" t="n">
        <v>2</v>
      </c>
      <c r="W346" t="inlineStr">
        <is>
          <t>2002-08-06</t>
        </is>
      </c>
      <c r="X346" t="inlineStr">
        <is>
          <t>2002-08-06</t>
        </is>
      </c>
      <c r="Y346" t="inlineStr">
        <is>
          <t>1997-10-28</t>
        </is>
      </c>
      <c r="Z346" t="inlineStr">
        <is>
          <t>1997-10-28</t>
        </is>
      </c>
      <c r="AA346" t="n">
        <v>185</v>
      </c>
      <c r="AB346" t="n">
        <v>167</v>
      </c>
      <c r="AC346" t="n">
        <v>168</v>
      </c>
      <c r="AD346" t="n">
        <v>2</v>
      </c>
      <c r="AE346" t="n">
        <v>2</v>
      </c>
      <c r="AF346" t="n">
        <v>9</v>
      </c>
      <c r="AG346" t="n">
        <v>9</v>
      </c>
      <c r="AH346" t="n">
        <v>1</v>
      </c>
      <c r="AI346" t="n">
        <v>1</v>
      </c>
      <c r="AJ346" t="n">
        <v>3</v>
      </c>
      <c r="AK346" t="n">
        <v>3</v>
      </c>
      <c r="AL346" t="n">
        <v>3</v>
      </c>
      <c r="AM346" t="n">
        <v>3</v>
      </c>
      <c r="AN346" t="n">
        <v>1</v>
      </c>
      <c r="AO346" t="n">
        <v>1</v>
      </c>
      <c r="AP346" t="n">
        <v>2</v>
      </c>
      <c r="AQ346" t="n">
        <v>2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HYPERLINK("http://catalog.hathitrust.org/Record/004561065","HathiTrust Record")</f>
        <v/>
      </c>
      <c r="AU346">
        <f>HYPERLINK("https://creighton-primo.hosted.exlibrisgroup.com/primo-explore/search?tab=default_tab&amp;search_scope=EVERYTHING&amp;vid=01CRU&amp;lang=en_US&amp;offset=0&amp;query=any,contains,991001139599702656","Catalog Record")</f>
        <v/>
      </c>
      <c r="AV346">
        <f>HYPERLINK("http://www.worldcat.org/oclc/34113023","WorldCat Record")</f>
        <v/>
      </c>
      <c r="AW346" t="inlineStr">
        <is>
          <t>38987761:eng</t>
        </is>
      </c>
      <c r="AX346" t="inlineStr">
        <is>
          <t>34113023</t>
        </is>
      </c>
      <c r="AY346" t="inlineStr">
        <is>
          <t>991001139599702656</t>
        </is>
      </c>
      <c r="AZ346" t="inlineStr">
        <is>
          <t>991001139599702656</t>
        </is>
      </c>
      <c r="BA346" t="inlineStr">
        <is>
          <t>2265801990002656</t>
        </is>
      </c>
      <c r="BB346" t="inlineStr">
        <is>
          <t>BOOK</t>
        </is>
      </c>
      <c r="BD346" t="inlineStr">
        <is>
          <t>9781567930405</t>
        </is>
      </c>
      <c r="BE346" t="inlineStr">
        <is>
          <t>30001003629138</t>
        </is>
      </c>
      <c r="BF346" t="inlineStr">
        <is>
          <t>893826480</t>
        </is>
      </c>
    </row>
    <row r="347">
      <c r="A347" t="inlineStr">
        <is>
          <t>No</t>
        </is>
      </c>
      <c r="B347" t="inlineStr">
        <is>
          <t>CUHSL</t>
        </is>
      </c>
      <c r="C347" t="inlineStr">
        <is>
          <t>SHELVES</t>
        </is>
      </c>
      <c r="D347" t="inlineStr">
        <is>
          <t>WA 540 AA1 T95p 1997</t>
        </is>
      </c>
      <c r="E347" t="inlineStr">
        <is>
          <t>0                      WA 0540000AA 1                  T  95p         1997</t>
        </is>
      </c>
      <c r="F347" t="inlineStr">
        <is>
          <t>Public health : what it is and how it works / Bernard J. Turnock.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Yes</t>
        </is>
      </c>
      <c r="L347" t="inlineStr">
        <is>
          <t>0</t>
        </is>
      </c>
      <c r="M347" t="inlineStr">
        <is>
          <t>Turnock, Bernard J.</t>
        </is>
      </c>
      <c r="N347" t="inlineStr">
        <is>
          <t>Gaithersburg, Md. : Aspen Publishers, 1997.</t>
        </is>
      </c>
      <c r="O347" t="inlineStr">
        <is>
          <t>1997</t>
        </is>
      </c>
      <c r="Q347" t="inlineStr">
        <is>
          <t>eng</t>
        </is>
      </c>
      <c r="R347" t="inlineStr">
        <is>
          <t>mdu</t>
        </is>
      </c>
      <c r="T347" t="inlineStr">
        <is>
          <t xml:space="preserve">WA </t>
        </is>
      </c>
      <c r="U347" t="n">
        <v>13</v>
      </c>
      <c r="V347" t="n">
        <v>13</v>
      </c>
      <c r="W347" t="inlineStr">
        <is>
          <t>2007-09-20</t>
        </is>
      </c>
      <c r="X347" t="inlineStr">
        <is>
          <t>2007-09-20</t>
        </is>
      </c>
      <c r="Y347" t="inlineStr">
        <is>
          <t>1999-03-25</t>
        </is>
      </c>
      <c r="Z347" t="inlineStr">
        <is>
          <t>1999-03-25</t>
        </is>
      </c>
      <c r="AA347" t="n">
        <v>335</v>
      </c>
      <c r="AB347" t="n">
        <v>302</v>
      </c>
      <c r="AC347" t="n">
        <v>753</v>
      </c>
      <c r="AD347" t="n">
        <v>2</v>
      </c>
      <c r="AE347" t="n">
        <v>8</v>
      </c>
      <c r="AF347" t="n">
        <v>14</v>
      </c>
      <c r="AG347" t="n">
        <v>33</v>
      </c>
      <c r="AH347" t="n">
        <v>5</v>
      </c>
      <c r="AI347" t="n">
        <v>10</v>
      </c>
      <c r="AJ347" t="n">
        <v>4</v>
      </c>
      <c r="AK347" t="n">
        <v>7</v>
      </c>
      <c r="AL347" t="n">
        <v>9</v>
      </c>
      <c r="AM347" t="n">
        <v>16</v>
      </c>
      <c r="AN347" t="n">
        <v>1</v>
      </c>
      <c r="AO347" t="n">
        <v>6</v>
      </c>
      <c r="AP347" t="n">
        <v>1</v>
      </c>
      <c r="AQ347" t="n">
        <v>2</v>
      </c>
      <c r="AR347" t="inlineStr">
        <is>
          <t>No</t>
        </is>
      </c>
      <c r="AS347" t="inlineStr">
        <is>
          <t>Yes</t>
        </is>
      </c>
      <c r="AT347">
        <f>HYPERLINK("http://catalog.hathitrust.org/Record/004538188","HathiTrust Record")</f>
        <v/>
      </c>
      <c r="AU347">
        <f>HYPERLINK("https://creighton-primo.hosted.exlibrisgroup.com/primo-explore/search?tab=default_tab&amp;search_scope=EVERYTHING&amp;vid=01CRU&amp;lang=en_US&amp;offset=0&amp;query=any,contains,991000487199702656","Catalog Record")</f>
        <v/>
      </c>
      <c r="AV347">
        <f>HYPERLINK("http://www.worldcat.org/oclc/35879002","WorldCat Record")</f>
        <v/>
      </c>
      <c r="AW347" t="inlineStr">
        <is>
          <t>408535:eng</t>
        </is>
      </c>
      <c r="AX347" t="inlineStr">
        <is>
          <t>35879002</t>
        </is>
      </c>
      <c r="AY347" t="inlineStr">
        <is>
          <t>991000487199702656</t>
        </is>
      </c>
      <c r="AZ347" t="inlineStr">
        <is>
          <t>991000487199702656</t>
        </is>
      </c>
      <c r="BA347" t="inlineStr">
        <is>
          <t>2266772220002656</t>
        </is>
      </c>
      <c r="BB347" t="inlineStr">
        <is>
          <t>BOOK</t>
        </is>
      </c>
      <c r="BD347" t="inlineStr">
        <is>
          <t>9780834208988</t>
        </is>
      </c>
      <c r="BE347" t="inlineStr">
        <is>
          <t>30001004070423</t>
        </is>
      </c>
      <c r="BF347" t="inlineStr">
        <is>
          <t>893629323</t>
        </is>
      </c>
    </row>
    <row r="348">
      <c r="A348" t="inlineStr">
        <is>
          <t>No</t>
        </is>
      </c>
      <c r="B348" t="inlineStr">
        <is>
          <t>CUHSL</t>
        </is>
      </c>
      <c r="C348" t="inlineStr">
        <is>
          <t>SHELVES</t>
        </is>
      </c>
      <c r="D348" t="inlineStr">
        <is>
          <t>WA 540 AA1 W322d 1992</t>
        </is>
      </c>
      <c r="E348" t="inlineStr">
        <is>
          <t>0                      WA 0540000AA 1                  W  322d        1992</t>
        </is>
      </c>
      <c r="F348" t="inlineStr">
        <is>
          <t>The Doctor dilemma / Gerald Weissmann.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Weissmann, Gerald.</t>
        </is>
      </c>
      <c r="N348" t="inlineStr">
        <is>
          <t>Knoxville, TN : Whittle Direct Books, c1992.</t>
        </is>
      </c>
      <c r="O348" t="inlineStr">
        <is>
          <t>1992</t>
        </is>
      </c>
      <c r="Q348" t="inlineStr">
        <is>
          <t>eng</t>
        </is>
      </c>
      <c r="R348" t="inlineStr">
        <is>
          <t>tnu</t>
        </is>
      </c>
      <c r="S348" t="inlineStr">
        <is>
          <t>The Grand rounds press, 1053-6620.</t>
        </is>
      </c>
      <c r="T348" t="inlineStr">
        <is>
          <t xml:space="preserve">WA </t>
        </is>
      </c>
      <c r="U348" t="n">
        <v>3</v>
      </c>
      <c r="V348" t="n">
        <v>3</v>
      </c>
      <c r="W348" t="inlineStr">
        <is>
          <t>1993-11-08</t>
        </is>
      </c>
      <c r="X348" t="inlineStr">
        <is>
          <t>1993-11-08</t>
        </is>
      </c>
      <c r="Y348" t="inlineStr">
        <is>
          <t>1992-08-31</t>
        </is>
      </c>
      <c r="Z348" t="inlineStr">
        <is>
          <t>1992-08-31</t>
        </is>
      </c>
      <c r="AA348" t="n">
        <v>116</v>
      </c>
      <c r="AB348" t="n">
        <v>114</v>
      </c>
      <c r="AC348" t="n">
        <v>121</v>
      </c>
      <c r="AD348" t="n">
        <v>2</v>
      </c>
      <c r="AE348" t="n">
        <v>2</v>
      </c>
      <c r="AF348" t="n">
        <v>1</v>
      </c>
      <c r="AG348" t="n">
        <v>1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1</v>
      </c>
      <c r="AO348" t="n">
        <v>1</v>
      </c>
      <c r="AP348" t="n">
        <v>0</v>
      </c>
      <c r="AQ348" t="n">
        <v>0</v>
      </c>
      <c r="AR348" t="inlineStr">
        <is>
          <t>No</t>
        </is>
      </c>
      <c r="AS348" t="inlineStr">
        <is>
          <t>Yes</t>
        </is>
      </c>
      <c r="AT348">
        <f>HYPERLINK("http://catalog.hathitrust.org/Record/005143554","HathiTrust Record")</f>
        <v/>
      </c>
      <c r="AU348">
        <f>HYPERLINK("https://creighton-primo.hosted.exlibrisgroup.com/primo-explore/search?tab=default_tab&amp;search_scope=EVERYTHING&amp;vid=01CRU&amp;lang=en_US&amp;offset=0&amp;query=any,contains,991001343419702656","Catalog Record")</f>
        <v/>
      </c>
      <c r="AV348">
        <f>HYPERLINK("http://www.worldcat.org/oclc/25604024","WorldCat Record")</f>
        <v/>
      </c>
      <c r="AW348" t="inlineStr">
        <is>
          <t>392589:eng</t>
        </is>
      </c>
      <c r="AX348" t="inlineStr">
        <is>
          <t>25604024</t>
        </is>
      </c>
      <c r="AY348" t="inlineStr">
        <is>
          <t>991001343419702656</t>
        </is>
      </c>
      <c r="AZ348" t="inlineStr">
        <is>
          <t>991001343419702656</t>
        </is>
      </c>
      <c r="BA348" t="inlineStr">
        <is>
          <t>2258759680002656</t>
        </is>
      </c>
      <c r="BB348" t="inlineStr">
        <is>
          <t>BOOK</t>
        </is>
      </c>
      <c r="BD348" t="inlineStr">
        <is>
          <t>9781879736054</t>
        </is>
      </c>
      <c r="BE348" t="inlineStr">
        <is>
          <t>30001002456392</t>
        </is>
      </c>
      <c r="BF348" t="inlineStr">
        <is>
          <t>893467915</t>
        </is>
      </c>
    </row>
    <row r="349">
      <c r="A349" t="inlineStr">
        <is>
          <t>No</t>
        </is>
      </c>
      <c r="B349" t="inlineStr">
        <is>
          <t>CUHSL</t>
        </is>
      </c>
      <c r="C349" t="inlineStr">
        <is>
          <t>SHELVES</t>
        </is>
      </c>
      <c r="D349" t="inlineStr">
        <is>
          <t>WA 540 H434h 1987</t>
        </is>
      </c>
      <c r="E349" t="inlineStr">
        <is>
          <t>0                      WA 0540000H  434h        1987</t>
        </is>
      </c>
      <c r="F349" t="inlineStr">
        <is>
          <t>The Health policy agenda for the American people / editor, E. Jill Hirt.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N349" t="inlineStr">
        <is>
          <t>[S.l.] : The Health Policy Agenda for the American People, c1987.</t>
        </is>
      </c>
      <c r="O349" t="inlineStr">
        <is>
          <t>1987</t>
        </is>
      </c>
      <c r="Q349" t="inlineStr">
        <is>
          <t>eng</t>
        </is>
      </c>
      <c r="R349" t="inlineStr">
        <is>
          <t xml:space="preserve">xx </t>
        </is>
      </c>
      <c r="T349" t="inlineStr">
        <is>
          <t xml:space="preserve">WA </t>
        </is>
      </c>
      <c r="U349" t="n">
        <v>14</v>
      </c>
      <c r="V349" t="n">
        <v>14</v>
      </c>
      <c r="W349" t="inlineStr">
        <is>
          <t>2006-03-06</t>
        </is>
      </c>
      <c r="X349" t="inlineStr">
        <is>
          <t>2006-03-06</t>
        </is>
      </c>
      <c r="Y349" t="inlineStr">
        <is>
          <t>1988-01-03</t>
        </is>
      </c>
      <c r="Z349" t="inlineStr">
        <is>
          <t>1988-01-03</t>
        </is>
      </c>
      <c r="AA349" t="n">
        <v>35</v>
      </c>
      <c r="AB349" t="n">
        <v>35</v>
      </c>
      <c r="AC349" t="n">
        <v>87</v>
      </c>
      <c r="AD349" t="n">
        <v>1</v>
      </c>
      <c r="AE349" t="n">
        <v>1</v>
      </c>
      <c r="AF349" t="n">
        <v>2</v>
      </c>
      <c r="AG349" t="n">
        <v>3</v>
      </c>
      <c r="AH349" t="n">
        <v>0</v>
      </c>
      <c r="AI349" t="n">
        <v>0</v>
      </c>
      <c r="AJ349" t="n">
        <v>1</v>
      </c>
      <c r="AK349" t="n">
        <v>1</v>
      </c>
      <c r="AL349" t="n">
        <v>1</v>
      </c>
      <c r="AM349" t="n">
        <v>1</v>
      </c>
      <c r="AN349" t="n">
        <v>0</v>
      </c>
      <c r="AO349" t="n">
        <v>0</v>
      </c>
      <c r="AP349" t="n">
        <v>0</v>
      </c>
      <c r="AQ349" t="n">
        <v>1</v>
      </c>
      <c r="AR349" t="inlineStr">
        <is>
          <t>No</t>
        </is>
      </c>
      <c r="AS349" t="inlineStr">
        <is>
          <t>No</t>
        </is>
      </c>
      <c r="AU349">
        <f>HYPERLINK("https://creighton-primo.hosted.exlibrisgroup.com/primo-explore/search?tab=default_tab&amp;search_scope=EVERYTHING&amp;vid=01CRU&amp;lang=en_US&amp;offset=0&amp;query=any,contains,991001268879702656","Catalog Record")</f>
        <v/>
      </c>
      <c r="AV349">
        <f>HYPERLINK("http://www.worldcat.org/oclc/15377036","WorldCat Record")</f>
        <v/>
      </c>
      <c r="AW349" t="inlineStr">
        <is>
          <t>10312776:eng</t>
        </is>
      </c>
      <c r="AX349" t="inlineStr">
        <is>
          <t>15377036</t>
        </is>
      </c>
      <c r="AY349" t="inlineStr">
        <is>
          <t>991001268879702656</t>
        </is>
      </c>
      <c r="AZ349" t="inlineStr">
        <is>
          <t>991001268879702656</t>
        </is>
      </c>
      <c r="BA349" t="inlineStr">
        <is>
          <t>2267729610002656</t>
        </is>
      </c>
      <c r="BB349" t="inlineStr">
        <is>
          <t>BOOK</t>
        </is>
      </c>
      <c r="BD349" t="inlineStr">
        <is>
          <t>9780899702292</t>
        </is>
      </c>
      <c r="BE349" t="inlineStr">
        <is>
          <t>30001000354102</t>
        </is>
      </c>
      <c r="BF349" t="inlineStr">
        <is>
          <t>893557746</t>
        </is>
      </c>
    </row>
    <row r="350">
      <c r="A350" t="inlineStr">
        <is>
          <t>No</t>
        </is>
      </c>
      <c r="B350" t="inlineStr">
        <is>
          <t>CUHSL</t>
        </is>
      </c>
      <c r="C350" t="inlineStr">
        <is>
          <t>SHELVES</t>
        </is>
      </c>
      <c r="D350" t="inlineStr">
        <is>
          <t>WA540 H434hs 1987</t>
        </is>
      </c>
      <c r="E350" t="inlineStr">
        <is>
          <t>0                      WA 0540000H  434hs       1987</t>
        </is>
      </c>
      <c r="F350" t="inlineStr">
        <is>
          <t>The Health policy agenda for the American people : summary report.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N350" t="inlineStr">
        <is>
          <t>[S.l.] : The Health Policy Agenda for the American People, c1987.</t>
        </is>
      </c>
      <c r="O350" t="inlineStr">
        <is>
          <t>1987</t>
        </is>
      </c>
      <c r="Q350" t="inlineStr">
        <is>
          <t>eng</t>
        </is>
      </c>
      <c r="R350" t="inlineStr">
        <is>
          <t xml:space="preserve">xx </t>
        </is>
      </c>
      <c r="T350" t="inlineStr">
        <is>
          <t xml:space="preserve">WA </t>
        </is>
      </c>
      <c r="U350" t="n">
        <v>4</v>
      </c>
      <c r="V350" t="n">
        <v>4</v>
      </c>
      <c r="W350" t="inlineStr">
        <is>
          <t>1993-11-08</t>
        </is>
      </c>
      <c r="X350" t="inlineStr">
        <is>
          <t>1993-11-08</t>
        </is>
      </c>
      <c r="Y350" t="inlineStr">
        <is>
          <t>1988-03-03</t>
        </is>
      </c>
      <c r="Z350" t="inlineStr">
        <is>
          <t>1988-03-03</t>
        </is>
      </c>
      <c r="AA350" t="n">
        <v>44</v>
      </c>
      <c r="AB350" t="n">
        <v>44</v>
      </c>
      <c r="AC350" t="n">
        <v>44</v>
      </c>
      <c r="AD350" t="n">
        <v>1</v>
      </c>
      <c r="AE350" t="n">
        <v>1</v>
      </c>
      <c r="AF350" t="n">
        <v>1</v>
      </c>
      <c r="AG350" t="n">
        <v>1</v>
      </c>
      <c r="AH350" t="n">
        <v>0</v>
      </c>
      <c r="AI350" t="n">
        <v>0</v>
      </c>
      <c r="AJ350" t="n">
        <v>0</v>
      </c>
      <c r="AK350" t="n">
        <v>0</v>
      </c>
      <c r="AL350" t="n">
        <v>1</v>
      </c>
      <c r="AM350" t="n">
        <v>1</v>
      </c>
      <c r="AN350" t="n">
        <v>0</v>
      </c>
      <c r="AO350" t="n">
        <v>0</v>
      </c>
      <c r="AP350" t="n">
        <v>0</v>
      </c>
      <c r="AQ350" t="n">
        <v>0</v>
      </c>
      <c r="AR350" t="inlineStr">
        <is>
          <t>No</t>
        </is>
      </c>
      <c r="AS350" t="inlineStr">
        <is>
          <t>No</t>
        </is>
      </c>
      <c r="AU350">
        <f>HYPERLINK("https://creighton-primo.hosted.exlibrisgroup.com/primo-explore/search?tab=default_tab&amp;search_scope=EVERYTHING&amp;vid=01CRU&amp;lang=en_US&amp;offset=0&amp;query=any,contains,991001268919702656","Catalog Record")</f>
        <v/>
      </c>
      <c r="AV350">
        <f>HYPERLINK("http://www.worldcat.org/oclc/15376983","WorldCat Record")</f>
        <v/>
      </c>
      <c r="AW350" t="inlineStr">
        <is>
          <t>2286713225:eng</t>
        </is>
      </c>
      <c r="AX350" t="inlineStr">
        <is>
          <t>15376983</t>
        </is>
      </c>
      <c r="AY350" t="inlineStr">
        <is>
          <t>991001268919702656</t>
        </is>
      </c>
      <c r="AZ350" t="inlineStr">
        <is>
          <t>991001268919702656</t>
        </is>
      </c>
      <c r="BA350" t="inlineStr">
        <is>
          <t>2265279550002656</t>
        </is>
      </c>
      <c r="BB350" t="inlineStr">
        <is>
          <t>BOOK</t>
        </is>
      </c>
      <c r="BD350" t="inlineStr">
        <is>
          <t>9780899702285</t>
        </is>
      </c>
      <c r="BE350" t="inlineStr">
        <is>
          <t>30001000354110</t>
        </is>
      </c>
      <c r="BF350" t="inlineStr">
        <is>
          <t>893134406</t>
        </is>
      </c>
    </row>
    <row r="351">
      <c r="A351" t="inlineStr">
        <is>
          <t>No</t>
        </is>
      </c>
      <c r="B351" t="inlineStr">
        <is>
          <t>CUHSL</t>
        </is>
      </c>
      <c r="C351" t="inlineStr">
        <is>
          <t>SHELVES</t>
        </is>
      </c>
      <c r="D351" t="inlineStr">
        <is>
          <t>WA 540 JC6 P9 1972</t>
        </is>
      </c>
      <c r="E351" t="inlineStr">
        <is>
          <t>0                      WA 0540000JC 6                  P  9           1972</t>
        </is>
      </c>
      <c r="F351" t="inlineStr">
        <is>
          <t>Public health in the People's Republic of China : report of a conference / edited by Myron E. Wegman, Tsung-yi Lin, and Elizabeth F. Purcell.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N351" t="inlineStr">
        <is>
          <t>-- New York : Josiah Macy, Jr. Foundation [c1973]</t>
        </is>
      </c>
      <c r="O351" t="inlineStr">
        <is>
          <t>1973</t>
        </is>
      </c>
      <c r="Q351" t="inlineStr">
        <is>
          <t>eng</t>
        </is>
      </c>
      <c r="R351" t="inlineStr">
        <is>
          <t>nyu</t>
        </is>
      </c>
      <c r="S351" t="inlineStr">
        <is>
          <t>The Macy Foundation Series on Medicine and Public Health in China</t>
        </is>
      </c>
      <c r="T351" t="inlineStr">
        <is>
          <t xml:space="preserve">WA </t>
        </is>
      </c>
      <c r="U351" t="n">
        <v>2</v>
      </c>
      <c r="V351" t="n">
        <v>2</v>
      </c>
      <c r="W351" t="inlineStr">
        <is>
          <t>1989-11-15</t>
        </is>
      </c>
      <c r="X351" t="inlineStr">
        <is>
          <t>1989-11-15</t>
        </is>
      </c>
      <c r="Y351" t="inlineStr">
        <is>
          <t>1988-01-03</t>
        </is>
      </c>
      <c r="Z351" t="inlineStr">
        <is>
          <t>1988-01-03</t>
        </is>
      </c>
      <c r="AA351" t="n">
        <v>229</v>
      </c>
      <c r="AB351" t="n">
        <v>181</v>
      </c>
      <c r="AC351" t="n">
        <v>184</v>
      </c>
      <c r="AD351" t="n">
        <v>1</v>
      </c>
      <c r="AE351" t="n">
        <v>1</v>
      </c>
      <c r="AF351" t="n">
        <v>4</v>
      </c>
      <c r="AG351" t="n">
        <v>4</v>
      </c>
      <c r="AH351" t="n">
        <v>0</v>
      </c>
      <c r="AI351" t="n">
        <v>0</v>
      </c>
      <c r="AJ351" t="n">
        <v>1</v>
      </c>
      <c r="AK351" t="n">
        <v>1</v>
      </c>
      <c r="AL351" t="n">
        <v>4</v>
      </c>
      <c r="AM351" t="n">
        <v>4</v>
      </c>
      <c r="AN351" t="n">
        <v>0</v>
      </c>
      <c r="AO351" t="n">
        <v>0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HYPERLINK("http://catalog.hathitrust.org/Record/001577416","HathiTrust Record")</f>
        <v/>
      </c>
      <c r="AU351">
        <f>HYPERLINK("https://creighton-primo.hosted.exlibrisgroup.com/primo-explore/search?tab=default_tab&amp;search_scope=EVERYTHING&amp;vid=01CRU&amp;lang=en_US&amp;offset=0&amp;query=any,contains,991000729159702656","Catalog Record")</f>
        <v/>
      </c>
      <c r="AV351">
        <f>HYPERLINK("http://www.worldcat.org/oclc/793675","WorldCat Record")</f>
        <v/>
      </c>
      <c r="AW351" t="inlineStr">
        <is>
          <t>9490539455:eng</t>
        </is>
      </c>
      <c r="AX351" t="inlineStr">
        <is>
          <t>793675</t>
        </is>
      </c>
      <c r="AY351" t="inlineStr">
        <is>
          <t>991000729159702656</t>
        </is>
      </c>
      <c r="AZ351" t="inlineStr">
        <is>
          <t>991000729159702656</t>
        </is>
      </c>
      <c r="BA351" t="inlineStr">
        <is>
          <t>2263167700002656</t>
        </is>
      </c>
      <c r="BB351" t="inlineStr">
        <is>
          <t>BOOK</t>
        </is>
      </c>
      <c r="BE351" t="inlineStr">
        <is>
          <t>30001000707655</t>
        </is>
      </c>
      <c r="BF351" t="inlineStr">
        <is>
          <t>893373542</t>
        </is>
      </c>
    </row>
    <row r="352">
      <c r="A352" t="inlineStr">
        <is>
          <t>No</t>
        </is>
      </c>
      <c r="B352" t="inlineStr">
        <is>
          <t>CUHSL</t>
        </is>
      </c>
      <c r="C352" t="inlineStr">
        <is>
          <t>SHELVES</t>
        </is>
      </c>
      <c r="D352" t="inlineStr">
        <is>
          <t>WA 540 KA8 H434 2000</t>
        </is>
      </c>
      <c r="E352" t="inlineStr">
        <is>
          <t>0                      WA 0540000KA 8                  H  434         2000</t>
        </is>
      </c>
      <c r="F352" t="inlineStr">
        <is>
          <t>Health reform in Australia and New Zealand / [edited by] Abby L. Bloom.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N352" t="inlineStr">
        <is>
          <t>Melbourne ; New York : Oxford University Press, 2000.</t>
        </is>
      </c>
      <c r="O352" t="inlineStr">
        <is>
          <t>2000</t>
        </is>
      </c>
      <c r="Q352" t="inlineStr">
        <is>
          <t>eng</t>
        </is>
      </c>
      <c r="R352" t="inlineStr">
        <is>
          <t xml:space="preserve">at </t>
        </is>
      </c>
      <c r="T352" t="inlineStr">
        <is>
          <t xml:space="preserve">WA </t>
        </is>
      </c>
      <c r="U352" t="n">
        <v>0</v>
      </c>
      <c r="V352" t="n">
        <v>0</v>
      </c>
      <c r="W352" t="inlineStr">
        <is>
          <t>2003-10-28</t>
        </is>
      </c>
      <c r="X352" t="inlineStr">
        <is>
          <t>2003-10-28</t>
        </is>
      </c>
      <c r="Y352" t="inlineStr">
        <is>
          <t>2003-10-17</t>
        </is>
      </c>
      <c r="Z352" t="inlineStr">
        <is>
          <t>2003-10-17</t>
        </is>
      </c>
      <c r="AA352" t="n">
        <v>195</v>
      </c>
      <c r="AB352" t="n">
        <v>77</v>
      </c>
      <c r="AC352" t="n">
        <v>77</v>
      </c>
      <c r="AD352" t="n">
        <v>1</v>
      </c>
      <c r="AE352" t="n">
        <v>1</v>
      </c>
      <c r="AF352" t="n">
        <v>3</v>
      </c>
      <c r="AG352" t="n">
        <v>3</v>
      </c>
      <c r="AH352" t="n">
        <v>0</v>
      </c>
      <c r="AI352" t="n">
        <v>0</v>
      </c>
      <c r="AJ352" t="n">
        <v>2</v>
      </c>
      <c r="AK352" t="n">
        <v>2</v>
      </c>
      <c r="AL352" t="n">
        <v>1</v>
      </c>
      <c r="AM352" t="n">
        <v>1</v>
      </c>
      <c r="AN352" t="n">
        <v>0</v>
      </c>
      <c r="AO352" t="n">
        <v>0</v>
      </c>
      <c r="AP352" t="n">
        <v>0</v>
      </c>
      <c r="AQ352" t="n">
        <v>0</v>
      </c>
      <c r="AR352" t="inlineStr">
        <is>
          <t>No</t>
        </is>
      </c>
      <c r="AS352" t="inlineStr">
        <is>
          <t>No</t>
        </is>
      </c>
      <c r="AU352">
        <f>HYPERLINK("https://creighton-primo.hosted.exlibrisgroup.com/primo-explore/search?tab=default_tab&amp;search_scope=EVERYTHING&amp;vid=01CRU&amp;lang=en_US&amp;offset=0&amp;query=any,contains,991000358709702656","Catalog Record")</f>
        <v/>
      </c>
      <c r="AV352">
        <f>HYPERLINK("http://www.worldcat.org/oclc/44877762","WorldCat Record")</f>
        <v/>
      </c>
      <c r="AW352" t="inlineStr">
        <is>
          <t>34446812:eng</t>
        </is>
      </c>
      <c r="AX352" t="inlineStr">
        <is>
          <t>44877762</t>
        </is>
      </c>
      <c r="AY352" t="inlineStr">
        <is>
          <t>991000358709702656</t>
        </is>
      </c>
      <c r="AZ352" t="inlineStr">
        <is>
          <t>991000358709702656</t>
        </is>
      </c>
      <c r="BA352" t="inlineStr">
        <is>
          <t>2257012590002656</t>
        </is>
      </c>
      <c r="BB352" t="inlineStr">
        <is>
          <t>BOOK</t>
        </is>
      </c>
      <c r="BD352" t="inlineStr">
        <is>
          <t>9780195508604</t>
        </is>
      </c>
      <c r="BE352" t="inlineStr">
        <is>
          <t>30001004218063</t>
        </is>
      </c>
      <c r="BF352" t="inlineStr">
        <is>
          <t>893354244</t>
        </is>
      </c>
    </row>
    <row r="353">
      <c r="A353" t="inlineStr">
        <is>
          <t>No</t>
        </is>
      </c>
      <c r="B353" t="inlineStr">
        <is>
          <t>CUHSL</t>
        </is>
      </c>
      <c r="C353" t="inlineStr">
        <is>
          <t>SHELVES</t>
        </is>
      </c>
      <c r="D353" t="inlineStr">
        <is>
          <t>WA 540 R281 1993</t>
        </is>
      </c>
      <c r="E353" t="inlineStr">
        <is>
          <t>0                      WA 0540000R  281         1993</t>
        </is>
      </c>
      <c r="F353" t="inlineStr">
        <is>
          <t>Reaching health for all / edited by Jon Rohde, Meera Chatterjee, David Morley ; illustrated by Stephen Marazzi.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N353" t="inlineStr">
        <is>
          <t>Delhi ; New York : Oxford University Press, c1993.</t>
        </is>
      </c>
      <c r="O353" t="inlineStr">
        <is>
          <t>1993</t>
        </is>
      </c>
      <c r="Q353" t="inlineStr">
        <is>
          <t>eng</t>
        </is>
      </c>
      <c r="R353" t="inlineStr">
        <is>
          <t xml:space="preserve">ii </t>
        </is>
      </c>
      <c r="T353" t="inlineStr">
        <is>
          <t xml:space="preserve">WA </t>
        </is>
      </c>
      <c r="U353" t="n">
        <v>10</v>
      </c>
      <c r="V353" t="n">
        <v>10</v>
      </c>
      <c r="W353" t="inlineStr">
        <is>
          <t>2002-10-07</t>
        </is>
      </c>
      <c r="X353" t="inlineStr">
        <is>
          <t>2002-10-07</t>
        </is>
      </c>
      <c r="Y353" t="inlineStr">
        <is>
          <t>1993-12-15</t>
        </is>
      </c>
      <c r="Z353" t="inlineStr">
        <is>
          <t>1993-12-15</t>
        </is>
      </c>
      <c r="AA353" t="n">
        <v>194</v>
      </c>
      <c r="AB353" t="n">
        <v>124</v>
      </c>
      <c r="AC353" t="n">
        <v>124</v>
      </c>
      <c r="AD353" t="n">
        <v>1</v>
      </c>
      <c r="AE353" t="n">
        <v>1</v>
      </c>
      <c r="AF353" t="n">
        <v>3</v>
      </c>
      <c r="AG353" t="n">
        <v>3</v>
      </c>
      <c r="AH353" t="n">
        <v>1</v>
      </c>
      <c r="AI353" t="n">
        <v>1</v>
      </c>
      <c r="AJ353" t="n">
        <v>2</v>
      </c>
      <c r="AK353" t="n">
        <v>2</v>
      </c>
      <c r="AL353" t="n">
        <v>1</v>
      </c>
      <c r="AM353" t="n">
        <v>1</v>
      </c>
      <c r="AN353" t="n">
        <v>0</v>
      </c>
      <c r="AO353" t="n">
        <v>0</v>
      </c>
      <c r="AP353" t="n">
        <v>0</v>
      </c>
      <c r="AQ353" t="n">
        <v>0</v>
      </c>
      <c r="AR353" t="inlineStr">
        <is>
          <t>No</t>
        </is>
      </c>
      <c r="AS353" t="inlineStr">
        <is>
          <t>No</t>
        </is>
      </c>
      <c r="AU353">
        <f>HYPERLINK("https://creighton-primo.hosted.exlibrisgroup.com/primo-explore/search?tab=default_tab&amp;search_scope=EVERYTHING&amp;vid=01CRU&amp;lang=en_US&amp;offset=0&amp;query=any,contains,991000646189702656","Catalog Record")</f>
        <v/>
      </c>
      <c r="AV353">
        <f>HYPERLINK("http://www.worldcat.org/oclc/28745743","WorldCat Record")</f>
        <v/>
      </c>
      <c r="AW353" t="inlineStr">
        <is>
          <t>5611595209:eng</t>
        </is>
      </c>
      <c r="AX353" t="inlineStr">
        <is>
          <t>28745743</t>
        </is>
      </c>
      <c r="AY353" t="inlineStr">
        <is>
          <t>991000646189702656</t>
        </is>
      </c>
      <c r="AZ353" t="inlineStr">
        <is>
          <t>991000646189702656</t>
        </is>
      </c>
      <c r="BA353" t="inlineStr">
        <is>
          <t>2266996520002656</t>
        </is>
      </c>
      <c r="BB353" t="inlineStr">
        <is>
          <t>BOOK</t>
        </is>
      </c>
      <c r="BD353" t="inlineStr">
        <is>
          <t>9780195632361</t>
        </is>
      </c>
      <c r="BE353" t="inlineStr">
        <is>
          <t>30001002690354</t>
        </is>
      </c>
      <c r="BF353" t="inlineStr">
        <is>
          <t>893464409</t>
        </is>
      </c>
    </row>
    <row r="354">
      <c r="A354" t="inlineStr">
        <is>
          <t>No</t>
        </is>
      </c>
      <c r="B354" t="inlineStr">
        <is>
          <t>CUHSL</t>
        </is>
      </c>
      <c r="C354" t="inlineStr">
        <is>
          <t>SHELVES</t>
        </is>
      </c>
      <c r="D354" t="inlineStr">
        <is>
          <t>WA540 W4g 2002</t>
        </is>
      </c>
      <c r="E354" t="inlineStr">
        <is>
          <t>0                      WA 0540000W  4g          2002</t>
        </is>
      </c>
      <c r="F354" t="inlineStr">
        <is>
          <t>Governing health : the politics of health policy / Carol S. Weissert and William G. Weissert.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Yes</t>
        </is>
      </c>
      <c r="L354" t="inlineStr">
        <is>
          <t>0</t>
        </is>
      </c>
      <c r="M354" t="inlineStr">
        <is>
          <t>Weissert, Carol S.</t>
        </is>
      </c>
      <c r="N354" t="inlineStr">
        <is>
          <t>Baltimore : Johns Hopkins University Press, 2002.</t>
        </is>
      </c>
      <c r="O354" t="inlineStr">
        <is>
          <t>2002</t>
        </is>
      </c>
      <c r="P354" t="inlineStr">
        <is>
          <t>2nd ed.</t>
        </is>
      </c>
      <c r="Q354" t="inlineStr">
        <is>
          <t>eng</t>
        </is>
      </c>
      <c r="R354" t="inlineStr">
        <is>
          <t>mdu</t>
        </is>
      </c>
      <c r="T354" t="inlineStr">
        <is>
          <t xml:space="preserve">WA </t>
        </is>
      </c>
      <c r="U354" t="n">
        <v>6</v>
      </c>
      <c r="V354" t="n">
        <v>6</v>
      </c>
      <c r="W354" t="inlineStr">
        <is>
          <t>2008-02-14</t>
        </is>
      </c>
      <c r="X354" t="inlineStr">
        <is>
          <t>2008-02-14</t>
        </is>
      </c>
      <c r="Y354" t="inlineStr">
        <is>
          <t>2003-01-30</t>
        </is>
      </c>
      <c r="Z354" t="inlineStr">
        <is>
          <t>2003-01-30</t>
        </is>
      </c>
      <c r="AA354" t="n">
        <v>292</v>
      </c>
      <c r="AB354" t="n">
        <v>250</v>
      </c>
      <c r="AC354" t="n">
        <v>1420</v>
      </c>
      <c r="AD354" t="n">
        <v>2</v>
      </c>
      <c r="AE354" t="n">
        <v>30</v>
      </c>
      <c r="AF354" t="n">
        <v>9</v>
      </c>
      <c r="AG354" t="n">
        <v>62</v>
      </c>
      <c r="AH354" t="n">
        <v>2</v>
      </c>
      <c r="AI354" t="n">
        <v>21</v>
      </c>
      <c r="AJ354" t="n">
        <v>2</v>
      </c>
      <c r="AK354" t="n">
        <v>10</v>
      </c>
      <c r="AL354" t="n">
        <v>3</v>
      </c>
      <c r="AM354" t="n">
        <v>21</v>
      </c>
      <c r="AN354" t="n">
        <v>1</v>
      </c>
      <c r="AO354" t="n">
        <v>14</v>
      </c>
      <c r="AP354" t="n">
        <v>2</v>
      </c>
      <c r="AQ354" t="n">
        <v>7</v>
      </c>
      <c r="AR354" t="inlineStr">
        <is>
          <t>No</t>
        </is>
      </c>
      <c r="AS354" t="inlineStr">
        <is>
          <t>No</t>
        </is>
      </c>
      <c r="AU354">
        <f>HYPERLINK("https://creighton-primo.hosted.exlibrisgroup.com/primo-explore/search?tab=default_tab&amp;search_scope=EVERYTHING&amp;vid=01CRU&amp;lang=en_US&amp;offset=0&amp;query=any,contains,991000338179702656","Catalog Record")</f>
        <v/>
      </c>
      <c r="AV354">
        <f>HYPERLINK("http://www.worldcat.org/oclc/46785331","WorldCat Record")</f>
        <v/>
      </c>
      <c r="AW354" t="inlineStr">
        <is>
          <t>794169781:eng</t>
        </is>
      </c>
      <c r="AX354" t="inlineStr">
        <is>
          <t>46785331</t>
        </is>
      </c>
      <c r="AY354" t="inlineStr">
        <is>
          <t>991000338179702656</t>
        </is>
      </c>
      <c r="AZ354" t="inlineStr">
        <is>
          <t>991000338179702656</t>
        </is>
      </c>
      <c r="BA354" t="inlineStr">
        <is>
          <t>2263108320002656</t>
        </is>
      </c>
      <c r="BB354" t="inlineStr">
        <is>
          <t>BOOK</t>
        </is>
      </c>
      <c r="BD354" t="inlineStr">
        <is>
          <t>9780801868450</t>
        </is>
      </c>
      <c r="BE354" t="inlineStr">
        <is>
          <t>30001004501831</t>
        </is>
      </c>
      <c r="BF354" t="inlineStr">
        <is>
          <t>893279917</t>
        </is>
      </c>
    </row>
    <row r="355">
      <c r="A355" t="inlineStr">
        <is>
          <t>No</t>
        </is>
      </c>
      <c r="B355" t="inlineStr">
        <is>
          <t>CUHSL</t>
        </is>
      </c>
      <c r="C355" t="inlineStr">
        <is>
          <t>SHELVES</t>
        </is>
      </c>
      <c r="D355" t="inlineStr">
        <is>
          <t>WA 540.1 B298i 1990</t>
        </is>
      </c>
      <c r="E355" t="inlineStr">
        <is>
          <t>0                      WA 0540100B  298i        1990</t>
        </is>
      </c>
      <c r="F355" t="inlineStr">
        <is>
          <t>A textbook of international health / by Paul F. Basch.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Yes</t>
        </is>
      </c>
      <c r="L355" t="inlineStr">
        <is>
          <t>0</t>
        </is>
      </c>
      <c r="M355" t="inlineStr">
        <is>
          <t>Basch, Paul F. (Paul Frederick), 1933-2001.</t>
        </is>
      </c>
      <c r="N355" t="inlineStr">
        <is>
          <t>New York : Oxford University Press, c1990.</t>
        </is>
      </c>
      <c r="O355" t="inlineStr">
        <is>
          <t>1990</t>
        </is>
      </c>
      <c r="Q355" t="inlineStr">
        <is>
          <t>eng</t>
        </is>
      </c>
      <c r="R355" t="inlineStr">
        <is>
          <t>xxu</t>
        </is>
      </c>
      <c r="T355" t="inlineStr">
        <is>
          <t xml:space="preserve">WA </t>
        </is>
      </c>
      <c r="U355" t="n">
        <v>21</v>
      </c>
      <c r="V355" t="n">
        <v>21</v>
      </c>
      <c r="W355" t="inlineStr">
        <is>
          <t>2006-05-30</t>
        </is>
      </c>
      <c r="X355" t="inlineStr">
        <is>
          <t>2006-05-30</t>
        </is>
      </c>
      <c r="Y355" t="inlineStr">
        <is>
          <t>1990-01-10</t>
        </is>
      </c>
      <c r="Z355" t="inlineStr">
        <is>
          <t>1990-01-10</t>
        </is>
      </c>
      <c r="AA355" t="n">
        <v>376</v>
      </c>
      <c r="AB355" t="n">
        <v>285</v>
      </c>
      <c r="AC355" t="n">
        <v>995</v>
      </c>
      <c r="AD355" t="n">
        <v>2</v>
      </c>
      <c r="AE355" t="n">
        <v>8</v>
      </c>
      <c r="AF355" t="n">
        <v>15</v>
      </c>
      <c r="AG355" t="n">
        <v>40</v>
      </c>
      <c r="AH355" t="n">
        <v>6</v>
      </c>
      <c r="AI355" t="n">
        <v>15</v>
      </c>
      <c r="AJ355" t="n">
        <v>2</v>
      </c>
      <c r="AK355" t="n">
        <v>8</v>
      </c>
      <c r="AL355" t="n">
        <v>10</v>
      </c>
      <c r="AM355" t="n">
        <v>18</v>
      </c>
      <c r="AN355" t="n">
        <v>1</v>
      </c>
      <c r="AO355" t="n">
        <v>6</v>
      </c>
      <c r="AP355" t="n">
        <v>0</v>
      </c>
      <c r="AQ355" t="n">
        <v>1</v>
      </c>
      <c r="AR355" t="inlineStr">
        <is>
          <t>No</t>
        </is>
      </c>
      <c r="AS355" t="inlineStr">
        <is>
          <t>No</t>
        </is>
      </c>
      <c r="AU355">
        <f>HYPERLINK("https://creighton-primo.hosted.exlibrisgroup.com/primo-explore/search?tab=default_tab&amp;search_scope=EVERYTHING&amp;vid=01CRU&amp;lang=en_US&amp;offset=0&amp;query=any,contains,991001383479702656","Catalog Record")</f>
        <v/>
      </c>
      <c r="AV355">
        <f>HYPERLINK("http://www.worldcat.org/oclc/19392593","WorldCat Record")</f>
        <v/>
      </c>
      <c r="AW355" t="inlineStr">
        <is>
          <t>793229541:eng</t>
        </is>
      </c>
      <c r="AX355" t="inlineStr">
        <is>
          <t>19392593</t>
        </is>
      </c>
      <c r="AY355" t="inlineStr">
        <is>
          <t>991001383479702656</t>
        </is>
      </c>
      <c r="AZ355" t="inlineStr">
        <is>
          <t>991001383479702656</t>
        </is>
      </c>
      <c r="BA355" t="inlineStr">
        <is>
          <t>2264089170002656</t>
        </is>
      </c>
      <c r="BB355" t="inlineStr">
        <is>
          <t>BOOK</t>
        </is>
      </c>
      <c r="BD355" t="inlineStr">
        <is>
          <t>9780195048971</t>
        </is>
      </c>
      <c r="BE355" t="inlineStr">
        <is>
          <t>30001001799230</t>
        </is>
      </c>
      <c r="BF355" t="inlineStr">
        <is>
          <t>893638279</t>
        </is>
      </c>
    </row>
    <row r="356">
      <c r="A356" t="inlineStr">
        <is>
          <t>No</t>
        </is>
      </c>
      <c r="B356" t="inlineStr">
        <is>
          <t>CUHSL</t>
        </is>
      </c>
      <c r="C356" t="inlineStr">
        <is>
          <t>SHELVES</t>
        </is>
      </c>
      <c r="D356" t="inlineStr">
        <is>
          <t>WA 540.1 C456 1989</t>
        </is>
      </c>
      <c r="E356" t="inlineStr">
        <is>
          <t>0                      WA 0540100C  456         1989</t>
        </is>
      </c>
      <c r="F356" t="inlineStr">
        <is>
          <t>Changing America's health care system : proposals for legislative action / Shelah Leader and Marilyn Moon, editors ; with contributions by Karen Davis ... [et al.].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N356" t="inlineStr">
        <is>
          <t>Washington, D.C. : Public Policy Institute, American Association of Retired Persons ; Glenview, Ill. : Scott, Foresman, c1989.</t>
        </is>
      </c>
      <c r="O356" t="inlineStr">
        <is>
          <t>1989</t>
        </is>
      </c>
      <c r="Q356" t="inlineStr">
        <is>
          <t>eng</t>
        </is>
      </c>
      <c r="R356" t="inlineStr">
        <is>
          <t>dcu</t>
        </is>
      </c>
      <c r="T356" t="inlineStr">
        <is>
          <t xml:space="preserve">WA </t>
        </is>
      </c>
      <c r="U356" t="n">
        <v>15</v>
      </c>
      <c r="V356" t="n">
        <v>15</v>
      </c>
      <c r="W356" t="inlineStr">
        <is>
          <t>1996-08-27</t>
        </is>
      </c>
      <c r="X356" t="inlineStr">
        <is>
          <t>1996-08-27</t>
        </is>
      </c>
      <c r="Y356" t="inlineStr">
        <is>
          <t>1989-06-19</t>
        </is>
      </c>
      <c r="Z356" t="inlineStr">
        <is>
          <t>1989-06-19</t>
        </is>
      </c>
      <c r="AA356" t="n">
        <v>221</v>
      </c>
      <c r="AB356" t="n">
        <v>208</v>
      </c>
      <c r="AC356" t="n">
        <v>209</v>
      </c>
      <c r="AD356" t="n">
        <v>2</v>
      </c>
      <c r="AE356" t="n">
        <v>2</v>
      </c>
      <c r="AF356" t="n">
        <v>3</v>
      </c>
      <c r="AG356" t="n">
        <v>3</v>
      </c>
      <c r="AH356" t="n">
        <v>2</v>
      </c>
      <c r="AI356" t="n">
        <v>2</v>
      </c>
      <c r="AJ356" t="n">
        <v>0</v>
      </c>
      <c r="AK356" t="n">
        <v>0</v>
      </c>
      <c r="AL356" t="n">
        <v>0</v>
      </c>
      <c r="AM356" t="n">
        <v>0</v>
      </c>
      <c r="AN356" t="n">
        <v>1</v>
      </c>
      <c r="AO356" t="n">
        <v>1</v>
      </c>
      <c r="AP356" t="n">
        <v>0</v>
      </c>
      <c r="AQ356" t="n">
        <v>0</v>
      </c>
      <c r="AR356" t="inlineStr">
        <is>
          <t>No</t>
        </is>
      </c>
      <c r="AS356" t="inlineStr">
        <is>
          <t>Yes</t>
        </is>
      </c>
      <c r="AT356">
        <f>HYPERLINK("http://catalog.hathitrust.org/Record/001539744","HathiTrust Record")</f>
        <v/>
      </c>
      <c r="AU356">
        <f>HYPERLINK("https://creighton-primo.hosted.exlibrisgroup.com/primo-explore/search?tab=default_tab&amp;search_scope=EVERYTHING&amp;vid=01CRU&amp;lang=en_US&amp;offset=0&amp;query=any,contains,991001250529702656","Catalog Record")</f>
        <v/>
      </c>
      <c r="AV356">
        <f>HYPERLINK("http://www.worldcat.org/oclc/18071003","WorldCat Record")</f>
        <v/>
      </c>
      <c r="AW356" t="inlineStr">
        <is>
          <t>890303766:eng</t>
        </is>
      </c>
      <c r="AX356" t="inlineStr">
        <is>
          <t>18071003</t>
        </is>
      </c>
      <c r="AY356" t="inlineStr">
        <is>
          <t>991001250529702656</t>
        </is>
      </c>
      <c r="AZ356" t="inlineStr">
        <is>
          <t>991001250529702656</t>
        </is>
      </c>
      <c r="BA356" t="inlineStr">
        <is>
          <t>2270306730002656</t>
        </is>
      </c>
      <c r="BB356" t="inlineStr">
        <is>
          <t>BOOK</t>
        </is>
      </c>
      <c r="BD356" t="inlineStr">
        <is>
          <t>9780673248954</t>
        </is>
      </c>
      <c r="BE356" t="inlineStr">
        <is>
          <t>30001001678764</t>
        </is>
      </c>
      <c r="BF356" t="inlineStr">
        <is>
          <t>893460389</t>
        </is>
      </c>
    </row>
    <row r="357">
      <c r="A357" t="inlineStr">
        <is>
          <t>No</t>
        </is>
      </c>
      <c r="B357" t="inlineStr">
        <is>
          <t>CUHSL</t>
        </is>
      </c>
      <c r="C357" t="inlineStr">
        <is>
          <t>SHELVES</t>
        </is>
      </c>
      <c r="D357" t="inlineStr">
        <is>
          <t>WA 540.1 C737 1984</t>
        </is>
      </c>
      <c r="E357" t="inlineStr">
        <is>
          <t>0                      WA 0540100C  737         1984</t>
        </is>
      </c>
      <c r="F357" t="inlineStr">
        <is>
          <t>Comparative health systems : descriptive analyses of fourteen national health systems / edited by Marshall W. Raffel.</t>
        </is>
      </c>
      <c r="H357" t="inlineStr">
        <is>
          <t>No</t>
        </is>
      </c>
      <c r="I357" t="inlineStr">
        <is>
          <t>1</t>
        </is>
      </c>
      <c r="J357" t="inlineStr">
        <is>
          <t>Yes</t>
        </is>
      </c>
      <c r="K357" t="inlineStr">
        <is>
          <t>No</t>
        </is>
      </c>
      <c r="L357" t="inlineStr">
        <is>
          <t>0</t>
        </is>
      </c>
      <c r="N357" t="inlineStr">
        <is>
          <t>University Park : Pennsylvania State University Press, c1984.</t>
        </is>
      </c>
      <c r="O357" t="inlineStr">
        <is>
          <t>1984</t>
        </is>
      </c>
      <c r="Q357" t="inlineStr">
        <is>
          <t>eng</t>
        </is>
      </c>
      <c r="R357" t="inlineStr">
        <is>
          <t>xxu</t>
        </is>
      </c>
      <c r="T357" t="inlineStr">
        <is>
          <t xml:space="preserve">WA </t>
        </is>
      </c>
      <c r="U357" t="n">
        <v>17</v>
      </c>
      <c r="V357" t="n">
        <v>17</v>
      </c>
      <c r="W357" t="inlineStr">
        <is>
          <t>1996-04-21</t>
        </is>
      </c>
      <c r="X357" t="inlineStr">
        <is>
          <t>1996-04-21</t>
        </is>
      </c>
      <c r="Y357" t="inlineStr">
        <is>
          <t>1988-01-04</t>
        </is>
      </c>
      <c r="Z357" t="inlineStr">
        <is>
          <t>1988-01-04</t>
        </is>
      </c>
      <c r="AA357" t="n">
        <v>548</v>
      </c>
      <c r="AB357" t="n">
        <v>455</v>
      </c>
      <c r="AC357" t="n">
        <v>457</v>
      </c>
      <c r="AD357" t="n">
        <v>5</v>
      </c>
      <c r="AE357" t="n">
        <v>5</v>
      </c>
      <c r="AF357" t="n">
        <v>23</v>
      </c>
      <c r="AG357" t="n">
        <v>23</v>
      </c>
      <c r="AH357" t="n">
        <v>8</v>
      </c>
      <c r="AI357" t="n">
        <v>8</v>
      </c>
      <c r="AJ357" t="n">
        <v>6</v>
      </c>
      <c r="AK357" t="n">
        <v>6</v>
      </c>
      <c r="AL357" t="n">
        <v>11</v>
      </c>
      <c r="AM357" t="n">
        <v>11</v>
      </c>
      <c r="AN357" t="n">
        <v>3</v>
      </c>
      <c r="AO357" t="n">
        <v>3</v>
      </c>
      <c r="AP357" t="n">
        <v>2</v>
      </c>
      <c r="AQ357" t="n">
        <v>2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HYPERLINK("http://catalog.hathitrust.org/Record/000245645","HathiTrust Record")</f>
        <v/>
      </c>
      <c r="AU357">
        <f>HYPERLINK("https://creighton-primo.hosted.exlibrisgroup.com/primo-explore/search?tab=default_tab&amp;search_scope=EVERYTHING&amp;vid=01CRU&amp;lang=en_US&amp;offset=0&amp;query=any,contains,991000729529702656","Catalog Record")</f>
        <v/>
      </c>
      <c r="AV357">
        <f>HYPERLINK("http://www.worldcat.org/oclc/9829400","WorldCat Record")</f>
        <v/>
      </c>
      <c r="AW357" t="inlineStr">
        <is>
          <t>836627445:eng</t>
        </is>
      </c>
      <c r="AX357" t="inlineStr">
        <is>
          <t>9829400</t>
        </is>
      </c>
      <c r="AY357" t="inlineStr">
        <is>
          <t>991000729529702656</t>
        </is>
      </c>
      <c r="AZ357" t="inlineStr">
        <is>
          <t>991000729529702656</t>
        </is>
      </c>
      <c r="BA357" t="inlineStr">
        <is>
          <t>2269895500002656</t>
        </is>
      </c>
      <c r="BB357" t="inlineStr">
        <is>
          <t>BOOK</t>
        </is>
      </c>
      <c r="BD357" t="inlineStr">
        <is>
          <t>9780271003634</t>
        </is>
      </c>
      <c r="BE357" t="inlineStr">
        <is>
          <t>30001000707762</t>
        </is>
      </c>
      <c r="BF357" t="inlineStr">
        <is>
          <t>893283571</t>
        </is>
      </c>
    </row>
    <row r="358">
      <c r="A358" t="inlineStr">
        <is>
          <t>No</t>
        </is>
      </c>
      <c r="B358" t="inlineStr">
        <is>
          <t>CUHSL</t>
        </is>
      </c>
      <c r="C358" t="inlineStr">
        <is>
          <t>SHELVES</t>
        </is>
      </c>
      <c r="D358" t="inlineStr">
        <is>
          <t>WA 540.1 C971e 1991</t>
        </is>
      </c>
      <c r="E358" t="inlineStr">
        <is>
          <t>0                      WA 0540100C  971e        1991</t>
        </is>
      </c>
      <c r="F358" t="inlineStr">
        <is>
          <t>The evaluation of national health systems / George E. Cumper.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Cumper, George E. (George Edward), 1924-</t>
        </is>
      </c>
      <c r="N358" t="inlineStr">
        <is>
          <t>Oxford ; New York : Oxford University Press, c1991.</t>
        </is>
      </c>
      <c r="O358" t="inlineStr">
        <is>
          <t>1991</t>
        </is>
      </c>
      <c r="Q358" t="inlineStr">
        <is>
          <t>eng</t>
        </is>
      </c>
      <c r="R358" t="inlineStr">
        <is>
          <t>enk</t>
        </is>
      </c>
      <c r="S358" t="inlineStr">
        <is>
          <t>Oxford medical publications</t>
        </is>
      </c>
      <c r="T358" t="inlineStr">
        <is>
          <t xml:space="preserve">WA </t>
        </is>
      </c>
      <c r="U358" t="n">
        <v>15</v>
      </c>
      <c r="V358" t="n">
        <v>15</v>
      </c>
      <c r="W358" t="inlineStr">
        <is>
          <t>1998-04-03</t>
        </is>
      </c>
      <c r="X358" t="inlineStr">
        <is>
          <t>1998-04-03</t>
        </is>
      </c>
      <c r="Y358" t="inlineStr">
        <is>
          <t>1992-01-09</t>
        </is>
      </c>
      <c r="Z358" t="inlineStr">
        <is>
          <t>1992-01-09</t>
        </is>
      </c>
      <c r="AA358" t="n">
        <v>233</v>
      </c>
      <c r="AB358" t="n">
        <v>148</v>
      </c>
      <c r="AC358" t="n">
        <v>153</v>
      </c>
      <c r="AD358" t="n">
        <v>1</v>
      </c>
      <c r="AE358" t="n">
        <v>1</v>
      </c>
      <c r="AF358" t="n">
        <v>3</v>
      </c>
      <c r="AG358" t="n">
        <v>3</v>
      </c>
      <c r="AH358" t="n">
        <v>0</v>
      </c>
      <c r="AI358" t="n">
        <v>0</v>
      </c>
      <c r="AJ358" t="n">
        <v>1</v>
      </c>
      <c r="AK358" t="n">
        <v>1</v>
      </c>
      <c r="AL358" t="n">
        <v>2</v>
      </c>
      <c r="AM358" t="n">
        <v>2</v>
      </c>
      <c r="AN358" t="n">
        <v>0</v>
      </c>
      <c r="AO358" t="n">
        <v>0</v>
      </c>
      <c r="AP358" t="n">
        <v>0</v>
      </c>
      <c r="AQ358" t="n">
        <v>0</v>
      </c>
      <c r="AR358" t="inlineStr">
        <is>
          <t>No</t>
        </is>
      </c>
      <c r="AS358" t="inlineStr">
        <is>
          <t>No</t>
        </is>
      </c>
      <c r="AU358">
        <f>HYPERLINK("https://creighton-primo.hosted.exlibrisgroup.com/primo-explore/search?tab=default_tab&amp;search_scope=EVERYTHING&amp;vid=01CRU&amp;lang=en_US&amp;offset=0&amp;query=any,contains,991001024499702656","Catalog Record")</f>
        <v/>
      </c>
      <c r="AV358">
        <f>HYPERLINK("http://www.worldcat.org/oclc/21901447","WorldCat Record")</f>
        <v/>
      </c>
      <c r="AW358" t="inlineStr">
        <is>
          <t>22869129:eng</t>
        </is>
      </c>
      <c r="AX358" t="inlineStr">
        <is>
          <t>21901447</t>
        </is>
      </c>
      <c r="AY358" t="inlineStr">
        <is>
          <t>991001024499702656</t>
        </is>
      </c>
      <c r="AZ358" t="inlineStr">
        <is>
          <t>991001024499702656</t>
        </is>
      </c>
      <c r="BA358" t="inlineStr">
        <is>
          <t>2258860470002656</t>
        </is>
      </c>
      <c r="BB358" t="inlineStr">
        <is>
          <t>BOOK</t>
        </is>
      </c>
      <c r="BD358" t="inlineStr">
        <is>
          <t>9780192618030</t>
        </is>
      </c>
      <c r="BE358" t="inlineStr">
        <is>
          <t>30001002242404</t>
        </is>
      </c>
      <c r="BF358" t="inlineStr">
        <is>
          <t>893455398</t>
        </is>
      </c>
    </row>
    <row r="359">
      <c r="A359" t="inlineStr">
        <is>
          <t>No</t>
        </is>
      </c>
      <c r="B359" t="inlineStr">
        <is>
          <t>CUHSL</t>
        </is>
      </c>
      <c r="C359" t="inlineStr">
        <is>
          <t>SHELVES</t>
        </is>
      </c>
      <c r="D359" t="inlineStr">
        <is>
          <t>WA 540.1 H4318 1999</t>
        </is>
      </c>
      <c r="E359" t="inlineStr">
        <is>
          <t>0                      WA 0540100H  4318        1999</t>
        </is>
      </c>
      <c r="F359" t="inlineStr">
        <is>
          <t>Health care systems in transition : an international perspective / Francis D. Powell, Albert F. Wessen, editors.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N359" t="inlineStr">
        <is>
          <t>Thousand Oaks : Sage Publications, c1999.</t>
        </is>
      </c>
      <c r="O359" t="inlineStr">
        <is>
          <t>1999</t>
        </is>
      </c>
      <c r="Q359" t="inlineStr">
        <is>
          <t>eng</t>
        </is>
      </c>
      <c r="R359" t="inlineStr">
        <is>
          <t>cau</t>
        </is>
      </c>
      <c r="T359" t="inlineStr">
        <is>
          <t xml:space="preserve">WA </t>
        </is>
      </c>
      <c r="U359" t="n">
        <v>2</v>
      </c>
      <c r="V359" t="n">
        <v>2</v>
      </c>
      <c r="W359" t="inlineStr">
        <is>
          <t>2004-08-31</t>
        </is>
      </c>
      <c r="X359" t="inlineStr">
        <is>
          <t>2004-08-31</t>
        </is>
      </c>
      <c r="Y359" t="inlineStr">
        <is>
          <t>2004-08-31</t>
        </is>
      </c>
      <c r="Z359" t="inlineStr">
        <is>
          <t>2004-08-31</t>
        </is>
      </c>
      <c r="AA359" t="n">
        <v>361</v>
      </c>
      <c r="AB359" t="n">
        <v>270</v>
      </c>
      <c r="AC359" t="n">
        <v>277</v>
      </c>
      <c r="AD359" t="n">
        <v>2</v>
      </c>
      <c r="AE359" t="n">
        <v>2</v>
      </c>
      <c r="AF359" t="n">
        <v>15</v>
      </c>
      <c r="AG359" t="n">
        <v>15</v>
      </c>
      <c r="AH359" t="n">
        <v>5</v>
      </c>
      <c r="AI359" t="n">
        <v>5</v>
      </c>
      <c r="AJ359" t="n">
        <v>4</v>
      </c>
      <c r="AK359" t="n">
        <v>4</v>
      </c>
      <c r="AL359" t="n">
        <v>8</v>
      </c>
      <c r="AM359" t="n">
        <v>8</v>
      </c>
      <c r="AN359" t="n">
        <v>1</v>
      </c>
      <c r="AO359" t="n">
        <v>1</v>
      </c>
      <c r="AP359" t="n">
        <v>1</v>
      </c>
      <c r="AQ359" t="n">
        <v>1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HYPERLINK("http://catalog.hathitrust.org/Record/004016177","HathiTrust Record")</f>
        <v/>
      </c>
      <c r="AU359">
        <f>HYPERLINK("https://creighton-primo.hosted.exlibrisgroup.com/primo-explore/search?tab=default_tab&amp;search_scope=EVERYTHING&amp;vid=01CRU&amp;lang=en_US&amp;offset=0&amp;query=any,contains,991000381369702656","Catalog Record")</f>
        <v/>
      </c>
      <c r="AV359">
        <f>HYPERLINK("http://www.worldcat.org/oclc/39051870","WorldCat Record")</f>
        <v/>
      </c>
      <c r="AW359" t="inlineStr">
        <is>
          <t>836922127:eng</t>
        </is>
      </c>
      <c r="AX359" t="inlineStr">
        <is>
          <t>39051870</t>
        </is>
      </c>
      <c r="AY359" t="inlineStr">
        <is>
          <t>991000381369702656</t>
        </is>
      </c>
      <c r="AZ359" t="inlineStr">
        <is>
          <t>991000381369702656</t>
        </is>
      </c>
      <c r="BA359" t="inlineStr">
        <is>
          <t>2255233710002656</t>
        </is>
      </c>
      <c r="BB359" t="inlineStr">
        <is>
          <t>BOOK</t>
        </is>
      </c>
      <c r="BD359" t="inlineStr">
        <is>
          <t>9780761910817</t>
        </is>
      </c>
      <c r="BE359" t="inlineStr">
        <is>
          <t>30001004841245</t>
        </is>
      </c>
      <c r="BF359" t="inlineStr">
        <is>
          <t>893365382</t>
        </is>
      </c>
    </row>
    <row r="360">
      <c r="A360" t="inlineStr">
        <is>
          <t>No</t>
        </is>
      </c>
      <c r="B360" t="inlineStr">
        <is>
          <t>CUHSL</t>
        </is>
      </c>
      <c r="C360" t="inlineStr">
        <is>
          <t>SHELVES</t>
        </is>
      </c>
      <c r="D360" t="inlineStr">
        <is>
          <t>WA 540.1 H4342 1992</t>
        </is>
      </c>
      <c r="E360" t="inlineStr">
        <is>
          <t>0                      WA 0540100H  4342        1992</t>
        </is>
      </c>
      <c r="F360" t="inlineStr">
        <is>
          <t>Healthy cities / edited by John Ashton.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Milton Keynes [England] ; Philadelphia : Open University Press, c1992.</t>
        </is>
      </c>
      <c r="O360" t="inlineStr">
        <is>
          <t>1992</t>
        </is>
      </c>
      <c r="Q360" t="inlineStr">
        <is>
          <t>eng</t>
        </is>
      </c>
      <c r="R360" t="inlineStr">
        <is>
          <t>enk</t>
        </is>
      </c>
      <c r="T360" t="inlineStr">
        <is>
          <t xml:space="preserve">WA </t>
        </is>
      </c>
      <c r="U360" t="n">
        <v>10</v>
      </c>
      <c r="V360" t="n">
        <v>10</v>
      </c>
      <c r="W360" t="inlineStr">
        <is>
          <t>2001-12-30</t>
        </is>
      </c>
      <c r="X360" t="inlineStr">
        <is>
          <t>2001-12-30</t>
        </is>
      </c>
      <c r="Y360" t="inlineStr">
        <is>
          <t>1993-03-04</t>
        </is>
      </c>
      <c r="Z360" t="inlineStr">
        <is>
          <t>1993-03-04</t>
        </is>
      </c>
      <c r="AA360" t="n">
        <v>256</v>
      </c>
      <c r="AB360" t="n">
        <v>114</v>
      </c>
      <c r="AC360" t="n">
        <v>120</v>
      </c>
      <c r="AD360" t="n">
        <v>1</v>
      </c>
      <c r="AE360" t="n">
        <v>1</v>
      </c>
      <c r="AF360" t="n">
        <v>2</v>
      </c>
      <c r="AG360" t="n">
        <v>2</v>
      </c>
      <c r="AH360" t="n">
        <v>0</v>
      </c>
      <c r="AI360" t="n">
        <v>0</v>
      </c>
      <c r="AJ360" t="n">
        <v>2</v>
      </c>
      <c r="AK360" t="n">
        <v>2</v>
      </c>
      <c r="AL360" t="n">
        <v>1</v>
      </c>
      <c r="AM360" t="n">
        <v>1</v>
      </c>
      <c r="AN360" t="n">
        <v>0</v>
      </c>
      <c r="AO360" t="n">
        <v>0</v>
      </c>
      <c r="AP360" t="n">
        <v>0</v>
      </c>
      <c r="AQ360" t="n">
        <v>0</v>
      </c>
      <c r="AR360" t="inlineStr">
        <is>
          <t>No</t>
        </is>
      </c>
      <c r="AS360" t="inlineStr">
        <is>
          <t>No</t>
        </is>
      </c>
      <c r="AU360">
        <f>HYPERLINK("https://creighton-primo.hosted.exlibrisgroup.com/primo-explore/search?tab=default_tab&amp;search_scope=EVERYTHING&amp;vid=01CRU&amp;lang=en_US&amp;offset=0&amp;query=any,contains,991001432099702656","Catalog Record")</f>
        <v/>
      </c>
      <c r="AV360">
        <f>HYPERLINK("http://www.worldcat.org/oclc/24009535","WorldCat Record")</f>
        <v/>
      </c>
      <c r="AW360" t="inlineStr">
        <is>
          <t>63441990:eng</t>
        </is>
      </c>
      <c r="AX360" t="inlineStr">
        <is>
          <t>24009535</t>
        </is>
      </c>
      <c r="AY360" t="inlineStr">
        <is>
          <t>991001432099702656</t>
        </is>
      </c>
      <c r="AZ360" t="inlineStr">
        <is>
          <t>991001432099702656</t>
        </is>
      </c>
      <c r="BA360" t="inlineStr">
        <is>
          <t>2261991870002656</t>
        </is>
      </c>
      <c r="BB360" t="inlineStr">
        <is>
          <t>BOOK</t>
        </is>
      </c>
      <c r="BD360" t="inlineStr">
        <is>
          <t>9780335094769</t>
        </is>
      </c>
      <c r="BE360" t="inlineStr">
        <is>
          <t>30001002529735</t>
        </is>
      </c>
      <c r="BF360" t="inlineStr">
        <is>
          <t>893816392</t>
        </is>
      </c>
    </row>
    <row r="361">
      <c r="A361" t="inlineStr">
        <is>
          <t>No</t>
        </is>
      </c>
      <c r="B361" t="inlineStr">
        <is>
          <t>CUHSL</t>
        </is>
      </c>
      <c r="C361" t="inlineStr">
        <is>
          <t>SHELVES</t>
        </is>
      </c>
      <c r="D361" t="inlineStr">
        <is>
          <t>WA 540.1 I634 1988</t>
        </is>
      </c>
      <c r="E361" t="inlineStr">
        <is>
          <t>0                      WA 0540100I  634         1988</t>
        </is>
      </c>
      <c r="F361" t="inlineStr">
        <is>
          <t>The International handbook of health-care systems / edited by Richard B. Saltman.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N361" t="inlineStr">
        <is>
          <t>New York : Greenwood Press, c1988.</t>
        </is>
      </c>
      <c r="O361" t="inlineStr">
        <is>
          <t>1988</t>
        </is>
      </c>
      <c r="Q361" t="inlineStr">
        <is>
          <t>eng</t>
        </is>
      </c>
      <c r="R361" t="inlineStr">
        <is>
          <t>xxu</t>
        </is>
      </c>
      <c r="T361" t="inlineStr">
        <is>
          <t xml:space="preserve">WA </t>
        </is>
      </c>
      <c r="U361" t="n">
        <v>10</v>
      </c>
      <c r="V361" t="n">
        <v>10</v>
      </c>
      <c r="W361" t="inlineStr">
        <is>
          <t>2002-11-03</t>
        </is>
      </c>
      <c r="X361" t="inlineStr">
        <is>
          <t>2002-11-03</t>
        </is>
      </c>
      <c r="Y361" t="inlineStr">
        <is>
          <t>1989-06-22</t>
        </is>
      </c>
      <c r="Z361" t="inlineStr">
        <is>
          <t>1989-06-22</t>
        </is>
      </c>
      <c r="AA361" t="n">
        <v>292</v>
      </c>
      <c r="AB361" t="n">
        <v>231</v>
      </c>
      <c r="AC361" t="n">
        <v>238</v>
      </c>
      <c r="AD361" t="n">
        <v>1</v>
      </c>
      <c r="AE361" t="n">
        <v>1</v>
      </c>
      <c r="AF361" t="n">
        <v>8</v>
      </c>
      <c r="AG361" t="n">
        <v>8</v>
      </c>
      <c r="AH361" t="n">
        <v>1</v>
      </c>
      <c r="AI361" t="n">
        <v>1</v>
      </c>
      <c r="AJ361" t="n">
        <v>3</v>
      </c>
      <c r="AK361" t="n">
        <v>3</v>
      </c>
      <c r="AL361" t="n">
        <v>5</v>
      </c>
      <c r="AM361" t="n">
        <v>5</v>
      </c>
      <c r="AN361" t="n">
        <v>0</v>
      </c>
      <c r="AO361" t="n">
        <v>0</v>
      </c>
      <c r="AP361" t="n">
        <v>2</v>
      </c>
      <c r="AQ361" t="n">
        <v>2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HYPERLINK("http://catalog.hathitrust.org/Record/001075844","HathiTrust Record")</f>
        <v/>
      </c>
      <c r="AU361">
        <f>HYPERLINK("https://creighton-primo.hosted.exlibrisgroup.com/primo-explore/search?tab=default_tab&amp;search_scope=EVERYTHING&amp;vid=01CRU&amp;lang=en_US&amp;offset=0&amp;query=any,contains,991001251349702656","Catalog Record")</f>
        <v/>
      </c>
      <c r="AV361">
        <f>HYPERLINK("http://www.worldcat.org/oclc/16225436","WorldCat Record")</f>
        <v/>
      </c>
      <c r="AW361" t="inlineStr">
        <is>
          <t>54986769:eng</t>
        </is>
      </c>
      <c r="AX361" t="inlineStr">
        <is>
          <t>16225436</t>
        </is>
      </c>
      <c r="AY361" t="inlineStr">
        <is>
          <t>991001251349702656</t>
        </is>
      </c>
      <c r="AZ361" t="inlineStr">
        <is>
          <t>991001251349702656</t>
        </is>
      </c>
      <c r="BA361" t="inlineStr">
        <is>
          <t>2261641620002656</t>
        </is>
      </c>
      <c r="BB361" t="inlineStr">
        <is>
          <t>BOOK</t>
        </is>
      </c>
      <c r="BD361" t="inlineStr">
        <is>
          <t>9780313241116</t>
        </is>
      </c>
      <c r="BE361" t="inlineStr">
        <is>
          <t>30001001678954</t>
        </is>
      </c>
      <c r="BF361" t="inlineStr">
        <is>
          <t>893278903</t>
        </is>
      </c>
    </row>
    <row r="362">
      <c r="A362" t="inlineStr">
        <is>
          <t>No</t>
        </is>
      </c>
      <c r="B362" t="inlineStr">
        <is>
          <t>CUHSL</t>
        </is>
      </c>
      <c r="C362" t="inlineStr">
        <is>
          <t>SHELVES</t>
        </is>
      </c>
      <c r="D362" t="inlineStr">
        <is>
          <t>WA 540.1 L526f 1991</t>
        </is>
      </c>
      <c r="E362" t="inlineStr">
        <is>
          <t>0                      WA 0540100L  526f        1991</t>
        </is>
      </c>
      <c r="F362" t="inlineStr">
        <is>
          <t>Free to be foolish : politics and health promotion in the United States and Great Britain / Howard M. Leichter.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1</t>
        </is>
      </c>
      <c r="M362" t="inlineStr">
        <is>
          <t>Leichter, Howard M.</t>
        </is>
      </c>
      <c r="N362" t="inlineStr">
        <is>
          <t>Princeton, N.J. : Princeton University Press, c1991.</t>
        </is>
      </c>
      <c r="O362" t="inlineStr">
        <is>
          <t>1991</t>
        </is>
      </c>
      <c r="Q362" t="inlineStr">
        <is>
          <t>eng</t>
        </is>
      </c>
      <c r="R362" t="inlineStr">
        <is>
          <t>nju</t>
        </is>
      </c>
      <c r="T362" t="inlineStr">
        <is>
          <t xml:space="preserve">WA </t>
        </is>
      </c>
      <c r="U362" t="n">
        <v>16</v>
      </c>
      <c r="V362" t="n">
        <v>16</v>
      </c>
      <c r="W362" t="inlineStr">
        <is>
          <t>2006-02-11</t>
        </is>
      </c>
      <c r="X362" t="inlineStr">
        <is>
          <t>2006-02-11</t>
        </is>
      </c>
      <c r="Y362" t="inlineStr">
        <is>
          <t>1992-04-09</t>
        </is>
      </c>
      <c r="Z362" t="inlineStr">
        <is>
          <t>1992-04-09</t>
        </is>
      </c>
      <c r="AA362" t="n">
        <v>388</v>
      </c>
      <c r="AB362" t="n">
        <v>313</v>
      </c>
      <c r="AC362" t="n">
        <v>1006</v>
      </c>
      <c r="AD362" t="n">
        <v>1</v>
      </c>
      <c r="AE362" t="n">
        <v>15</v>
      </c>
      <c r="AF362" t="n">
        <v>11</v>
      </c>
      <c r="AG362" t="n">
        <v>42</v>
      </c>
      <c r="AH362" t="n">
        <v>4</v>
      </c>
      <c r="AI362" t="n">
        <v>15</v>
      </c>
      <c r="AJ362" t="n">
        <v>5</v>
      </c>
      <c r="AK362" t="n">
        <v>8</v>
      </c>
      <c r="AL362" t="n">
        <v>5</v>
      </c>
      <c r="AM362" t="n">
        <v>12</v>
      </c>
      <c r="AN362" t="n">
        <v>0</v>
      </c>
      <c r="AO362" t="n">
        <v>13</v>
      </c>
      <c r="AP362" t="n">
        <v>0</v>
      </c>
      <c r="AQ362" t="n">
        <v>1</v>
      </c>
      <c r="AR362" t="inlineStr">
        <is>
          <t>No</t>
        </is>
      </c>
      <c r="AS362" t="inlineStr">
        <is>
          <t>No</t>
        </is>
      </c>
      <c r="AU362">
        <f>HYPERLINK("https://creighton-primo.hosted.exlibrisgroup.com/primo-explore/search?tab=default_tab&amp;search_scope=EVERYTHING&amp;vid=01CRU&amp;lang=en_US&amp;offset=0&amp;query=any,contains,991001299229702656","Catalog Record")</f>
        <v/>
      </c>
      <c r="AV362">
        <f>HYPERLINK("http://www.worldcat.org/oclc/21873635","WorldCat Record")</f>
        <v/>
      </c>
      <c r="AW362" t="inlineStr">
        <is>
          <t>365306322:eng</t>
        </is>
      </c>
      <c r="AX362" t="inlineStr">
        <is>
          <t>21873635</t>
        </is>
      </c>
      <c r="AY362" t="inlineStr">
        <is>
          <t>991001299229702656</t>
        </is>
      </c>
      <c r="AZ362" t="inlineStr">
        <is>
          <t>991001299229702656</t>
        </is>
      </c>
      <c r="BA362" t="inlineStr">
        <is>
          <t>2269181270002656</t>
        </is>
      </c>
      <c r="BB362" t="inlineStr">
        <is>
          <t>BOOK</t>
        </is>
      </c>
      <c r="BD362" t="inlineStr">
        <is>
          <t>9780691078670</t>
        </is>
      </c>
      <c r="BE362" t="inlineStr">
        <is>
          <t>30001002411207</t>
        </is>
      </c>
      <c r="BF362" t="inlineStr">
        <is>
          <t>893274000</t>
        </is>
      </c>
    </row>
    <row r="363">
      <c r="A363" t="inlineStr">
        <is>
          <t>No</t>
        </is>
      </c>
      <c r="B363" t="inlineStr">
        <is>
          <t>CUHSL</t>
        </is>
      </c>
      <c r="C363" t="inlineStr">
        <is>
          <t>SHELVES</t>
        </is>
      </c>
      <c r="D363" t="inlineStr">
        <is>
          <t>WA 540.1 R715n 1991-93</t>
        </is>
      </c>
      <c r="E363" t="inlineStr">
        <is>
          <t>0                      WA 0540100R  715n        1991                                        -93</t>
        </is>
      </c>
      <c r="F363" t="inlineStr">
        <is>
          <t>National health systems of the world / Milton I. Roemer.</t>
        </is>
      </c>
      <c r="G363" t="inlineStr">
        <is>
          <t>V. 2</t>
        </is>
      </c>
      <c r="H363" t="inlineStr">
        <is>
          <t>Yes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Roemer, Milton Irwin, 1916-2001.</t>
        </is>
      </c>
      <c r="N363" t="inlineStr">
        <is>
          <t>New York : Oxford University Press, c1991-1993.</t>
        </is>
      </c>
      <c r="O363" t="inlineStr">
        <is>
          <t>1991</t>
        </is>
      </c>
      <c r="Q363" t="inlineStr">
        <is>
          <t>eng</t>
        </is>
      </c>
      <c r="R363" t="inlineStr">
        <is>
          <t>nyu</t>
        </is>
      </c>
      <c r="T363" t="inlineStr">
        <is>
          <t xml:space="preserve">WA </t>
        </is>
      </c>
      <c r="U363" t="n">
        <v>13</v>
      </c>
      <c r="V363" t="n">
        <v>28</v>
      </c>
      <c r="W363" t="inlineStr">
        <is>
          <t>1995-11-07</t>
        </is>
      </c>
      <c r="X363" t="inlineStr">
        <is>
          <t>1995-11-07</t>
        </is>
      </c>
      <c r="Y363" t="inlineStr">
        <is>
          <t>1993-01-18</t>
        </is>
      </c>
      <c r="Z363" t="inlineStr">
        <is>
          <t>1993-01-18</t>
        </is>
      </c>
      <c r="AA363" t="n">
        <v>574</v>
      </c>
      <c r="AB363" t="n">
        <v>477</v>
      </c>
      <c r="AC363" t="n">
        <v>642</v>
      </c>
      <c r="AD363" t="n">
        <v>2</v>
      </c>
      <c r="AE363" t="n">
        <v>2</v>
      </c>
      <c r="AF363" t="n">
        <v>19</v>
      </c>
      <c r="AG363" t="n">
        <v>23</v>
      </c>
      <c r="AH363" t="n">
        <v>9</v>
      </c>
      <c r="AI363" t="n">
        <v>12</v>
      </c>
      <c r="AJ363" t="n">
        <v>4</v>
      </c>
      <c r="AK363" t="n">
        <v>6</v>
      </c>
      <c r="AL363" t="n">
        <v>11</v>
      </c>
      <c r="AM363" t="n">
        <v>12</v>
      </c>
      <c r="AN363" t="n">
        <v>1</v>
      </c>
      <c r="AO363" t="n">
        <v>1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HYPERLINK("http://catalog.hathitrust.org/Record/002437499","HathiTrust Record")</f>
        <v/>
      </c>
      <c r="AU363">
        <f>HYPERLINK("https://creighton-primo.hosted.exlibrisgroup.com/primo-explore/search?tab=default_tab&amp;search_scope=EVERYTHING&amp;vid=01CRU&amp;lang=en_US&amp;offset=0&amp;query=any,contains,991000827139702656","Catalog Record")</f>
        <v/>
      </c>
      <c r="AV363">
        <f>HYPERLINK("http://www.worldcat.org/oclc/21525183","WorldCat Record")</f>
        <v/>
      </c>
      <c r="AW363" t="inlineStr">
        <is>
          <t>119227541:eng</t>
        </is>
      </c>
      <c r="AX363" t="inlineStr">
        <is>
          <t>21525183</t>
        </is>
      </c>
      <c r="AY363" t="inlineStr">
        <is>
          <t>991000827139702656</t>
        </is>
      </c>
      <c r="AZ363" t="inlineStr">
        <is>
          <t>991000827139702656</t>
        </is>
      </c>
      <c r="BA363" t="inlineStr">
        <is>
          <t>2255822280002656</t>
        </is>
      </c>
      <c r="BB363" t="inlineStr">
        <is>
          <t>BOOK</t>
        </is>
      </c>
      <c r="BD363" t="inlineStr">
        <is>
          <t>9780195053203</t>
        </is>
      </c>
      <c r="BE363" t="inlineStr">
        <is>
          <t>30001002530212</t>
        </is>
      </c>
      <c r="BF363" t="inlineStr">
        <is>
          <t>893726930</t>
        </is>
      </c>
    </row>
    <row r="364">
      <c r="A364" t="inlineStr">
        <is>
          <t>No</t>
        </is>
      </c>
      <c r="B364" t="inlineStr">
        <is>
          <t>CUHSL</t>
        </is>
      </c>
      <c r="C364" t="inlineStr">
        <is>
          <t>SHELVES</t>
        </is>
      </c>
      <c r="D364" t="inlineStr">
        <is>
          <t>WA540.1 R715N 1992/93</t>
        </is>
      </c>
      <c r="E364" t="inlineStr">
        <is>
          <t>0                      WA 0540100R  715N        1992                                        93</t>
        </is>
      </c>
      <c r="F364" t="inlineStr">
        <is>
          <t>National health systems of the world / Milton I. Roemer.</t>
        </is>
      </c>
      <c r="G364" t="inlineStr">
        <is>
          <t>V. 1</t>
        </is>
      </c>
      <c r="H364" t="inlineStr">
        <is>
          <t>Yes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Roemer, Milton Irwin, 1916-2001.</t>
        </is>
      </c>
      <c r="N364" t="inlineStr">
        <is>
          <t>New York : Oxford University Press, c1991-1993.</t>
        </is>
      </c>
      <c r="O364" t="inlineStr">
        <is>
          <t>1991</t>
        </is>
      </c>
      <c r="Q364" t="inlineStr">
        <is>
          <t>eng</t>
        </is>
      </c>
      <c r="R364" t="inlineStr">
        <is>
          <t>nyu</t>
        </is>
      </c>
      <c r="T364" t="inlineStr">
        <is>
          <t xml:space="preserve">WA </t>
        </is>
      </c>
      <c r="U364" t="n">
        <v>15</v>
      </c>
      <c r="V364" t="n">
        <v>28</v>
      </c>
      <c r="W364" t="inlineStr">
        <is>
          <t>1995-03-29</t>
        </is>
      </c>
      <c r="X364" t="inlineStr">
        <is>
          <t>1995-11-07</t>
        </is>
      </c>
      <c r="Y364" t="inlineStr">
        <is>
          <t>1991-04-11</t>
        </is>
      </c>
      <c r="Z364" t="inlineStr">
        <is>
          <t>1993-01-18</t>
        </is>
      </c>
      <c r="AA364" t="n">
        <v>574</v>
      </c>
      <c r="AB364" t="n">
        <v>477</v>
      </c>
      <c r="AC364" t="n">
        <v>642</v>
      </c>
      <c r="AD364" t="n">
        <v>2</v>
      </c>
      <c r="AE364" t="n">
        <v>2</v>
      </c>
      <c r="AF364" t="n">
        <v>19</v>
      </c>
      <c r="AG364" t="n">
        <v>23</v>
      </c>
      <c r="AH364" t="n">
        <v>9</v>
      </c>
      <c r="AI364" t="n">
        <v>12</v>
      </c>
      <c r="AJ364" t="n">
        <v>4</v>
      </c>
      <c r="AK364" t="n">
        <v>6</v>
      </c>
      <c r="AL364" t="n">
        <v>11</v>
      </c>
      <c r="AM364" t="n">
        <v>12</v>
      </c>
      <c r="AN364" t="n">
        <v>1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HYPERLINK("http://catalog.hathitrust.org/Record/002437499","HathiTrust Record")</f>
        <v/>
      </c>
      <c r="AU364">
        <f>HYPERLINK("https://creighton-primo.hosted.exlibrisgroup.com/primo-explore/search?tab=default_tab&amp;search_scope=EVERYTHING&amp;vid=01CRU&amp;lang=en_US&amp;offset=0&amp;query=any,contains,991000827139702656","Catalog Record")</f>
        <v/>
      </c>
      <c r="AV364">
        <f>HYPERLINK("http://www.worldcat.org/oclc/21525183","WorldCat Record")</f>
        <v/>
      </c>
      <c r="AW364" t="inlineStr">
        <is>
          <t>119227541:eng</t>
        </is>
      </c>
      <c r="AX364" t="inlineStr">
        <is>
          <t>21525183</t>
        </is>
      </c>
      <c r="AY364" t="inlineStr">
        <is>
          <t>991000827139702656</t>
        </is>
      </c>
      <c r="AZ364" t="inlineStr">
        <is>
          <t>991000827139702656</t>
        </is>
      </c>
      <c r="BA364" t="inlineStr">
        <is>
          <t>2255822280002656</t>
        </is>
      </c>
      <c r="BB364" t="inlineStr">
        <is>
          <t>BOOK</t>
        </is>
      </c>
      <c r="BD364" t="inlineStr">
        <is>
          <t>9780195053203</t>
        </is>
      </c>
      <c r="BE364" t="inlineStr">
        <is>
          <t>30001002089276</t>
        </is>
      </c>
      <c r="BF364" t="inlineStr">
        <is>
          <t>893731347</t>
        </is>
      </c>
    </row>
    <row r="365">
      <c r="A365" t="inlineStr">
        <is>
          <t>No</t>
        </is>
      </c>
      <c r="B365" t="inlineStr">
        <is>
          <t>CUHSL</t>
        </is>
      </c>
      <c r="C365" t="inlineStr">
        <is>
          <t>SHELVES</t>
        </is>
      </c>
      <c r="D365" t="inlineStr">
        <is>
          <t>WA 540.1 S942 1989</t>
        </is>
      </c>
      <c r="E365" t="inlineStr">
        <is>
          <t>0                      WA 0540100S  942         1989</t>
        </is>
      </c>
      <c r="F365" t="inlineStr">
        <is>
          <t>Success and crisis in national health systems : a comparative approach / edited by Mark G. Field.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N365" t="inlineStr">
        <is>
          <t>New York : Routledge, c1989.</t>
        </is>
      </c>
      <c r="O365" t="inlineStr">
        <is>
          <t>1989</t>
        </is>
      </c>
      <c r="Q365" t="inlineStr">
        <is>
          <t>eng</t>
        </is>
      </c>
      <c r="R365" t="inlineStr">
        <is>
          <t>xxu</t>
        </is>
      </c>
      <c r="S365" t="inlineStr">
        <is>
          <t>Contemporary issues in health, medicine, and social policy</t>
        </is>
      </c>
      <c r="T365" t="inlineStr">
        <is>
          <t xml:space="preserve">WA </t>
        </is>
      </c>
      <c r="U365" t="n">
        <v>16</v>
      </c>
      <c r="V365" t="n">
        <v>16</v>
      </c>
      <c r="W365" t="inlineStr">
        <is>
          <t>2002-07-24</t>
        </is>
      </c>
      <c r="X365" t="inlineStr">
        <is>
          <t>2002-07-24</t>
        </is>
      </c>
      <c r="Y365" t="inlineStr">
        <is>
          <t>1990-09-12</t>
        </is>
      </c>
      <c r="Z365" t="inlineStr">
        <is>
          <t>1990-09-12</t>
        </is>
      </c>
      <c r="AA365" t="n">
        <v>335</v>
      </c>
      <c r="AB365" t="n">
        <v>197</v>
      </c>
      <c r="AC365" t="n">
        <v>202</v>
      </c>
      <c r="AD365" t="n">
        <v>1</v>
      </c>
      <c r="AE365" t="n">
        <v>1</v>
      </c>
      <c r="AF365" t="n">
        <v>6</v>
      </c>
      <c r="AG365" t="n">
        <v>6</v>
      </c>
      <c r="AH365" t="n">
        <v>2</v>
      </c>
      <c r="AI365" t="n">
        <v>2</v>
      </c>
      <c r="AJ365" t="n">
        <v>2</v>
      </c>
      <c r="AK365" t="n">
        <v>2</v>
      </c>
      <c r="AL365" t="n">
        <v>2</v>
      </c>
      <c r="AM365" t="n">
        <v>2</v>
      </c>
      <c r="AN365" t="n">
        <v>0</v>
      </c>
      <c r="AO365" t="n">
        <v>0</v>
      </c>
      <c r="AP365" t="n">
        <v>1</v>
      </c>
      <c r="AQ365" t="n">
        <v>1</v>
      </c>
      <c r="AR365" t="inlineStr">
        <is>
          <t>No</t>
        </is>
      </c>
      <c r="AS365" t="inlineStr">
        <is>
          <t>No</t>
        </is>
      </c>
      <c r="AU365">
        <f>HYPERLINK("https://creighton-primo.hosted.exlibrisgroup.com/primo-explore/search?tab=default_tab&amp;search_scope=EVERYTHING&amp;vid=01CRU&amp;lang=en_US&amp;offset=0&amp;query=any,contains,991001454849702656","Catalog Record")</f>
        <v/>
      </c>
      <c r="AV365">
        <f>HYPERLINK("http://www.worldcat.org/oclc/17768682","WorldCat Record")</f>
        <v/>
      </c>
      <c r="AW365" t="inlineStr">
        <is>
          <t>836851262:eng</t>
        </is>
      </c>
      <c r="AX365" t="inlineStr">
        <is>
          <t>17768682</t>
        </is>
      </c>
      <c r="AY365" t="inlineStr">
        <is>
          <t>991001454849702656</t>
        </is>
      </c>
      <c r="AZ365" t="inlineStr">
        <is>
          <t>991001454849702656</t>
        </is>
      </c>
      <c r="BA365" t="inlineStr">
        <is>
          <t>2264714750002656</t>
        </is>
      </c>
      <c r="BB365" t="inlineStr">
        <is>
          <t>BOOK</t>
        </is>
      </c>
      <c r="BD365" t="inlineStr">
        <is>
          <t>9780415012904</t>
        </is>
      </c>
      <c r="BE365" t="inlineStr">
        <is>
          <t>30001001884719</t>
        </is>
      </c>
      <c r="BF365" t="inlineStr">
        <is>
          <t>893832206</t>
        </is>
      </c>
    </row>
    <row r="366">
      <c r="A366" t="inlineStr">
        <is>
          <t>No</t>
        </is>
      </c>
      <c r="B366" t="inlineStr">
        <is>
          <t>CUHSL</t>
        </is>
      </c>
      <c r="C366" t="inlineStr">
        <is>
          <t>SHELVES</t>
        </is>
      </c>
      <c r="D366" t="inlineStr">
        <is>
          <t>WA 546 AA1 B799b 2000</t>
        </is>
      </c>
      <c r="E366" t="inlineStr">
        <is>
          <t>0                      WA 0546000AA 1                  B  799b        2000</t>
        </is>
      </c>
      <c r="F366" t="inlineStr">
        <is>
          <t>Building health coalitions in the Black community / Ronald L. Braithwaite, Sandra E. Taylor, John N. Austin.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1</t>
        </is>
      </c>
      <c r="M366" t="inlineStr">
        <is>
          <t>Braithwaite, Ronald L., 1945-</t>
        </is>
      </c>
      <c r="N366" t="inlineStr">
        <is>
          <t>Thousand Oaks, Calif. : Sage Publications, c2000.</t>
        </is>
      </c>
      <c r="O366" t="inlineStr">
        <is>
          <t>2000</t>
        </is>
      </c>
      <c r="Q366" t="inlineStr">
        <is>
          <t>eng</t>
        </is>
      </c>
      <c r="R366" t="inlineStr">
        <is>
          <t>cau</t>
        </is>
      </c>
      <c r="T366" t="inlineStr">
        <is>
          <t xml:space="preserve">WA </t>
        </is>
      </c>
      <c r="U366" t="n">
        <v>0</v>
      </c>
      <c r="V366" t="n">
        <v>0</v>
      </c>
      <c r="W366" t="inlineStr">
        <is>
          <t>2004-06-06</t>
        </is>
      </c>
      <c r="X366" t="inlineStr">
        <is>
          <t>2004-06-06</t>
        </is>
      </c>
      <c r="Y366" t="inlineStr">
        <is>
          <t>2004-06-05</t>
        </is>
      </c>
      <c r="Z366" t="inlineStr">
        <is>
          <t>2004-06-05</t>
        </is>
      </c>
      <c r="AA366" t="n">
        <v>371</v>
      </c>
      <c r="AB366" t="n">
        <v>347</v>
      </c>
      <c r="AC366" t="n">
        <v>1050</v>
      </c>
      <c r="AD366" t="n">
        <v>2</v>
      </c>
      <c r="AE366" t="n">
        <v>14</v>
      </c>
      <c r="AF366" t="n">
        <v>20</v>
      </c>
      <c r="AG366" t="n">
        <v>43</v>
      </c>
      <c r="AH366" t="n">
        <v>5</v>
      </c>
      <c r="AI366" t="n">
        <v>12</v>
      </c>
      <c r="AJ366" t="n">
        <v>6</v>
      </c>
      <c r="AK366" t="n">
        <v>10</v>
      </c>
      <c r="AL366" t="n">
        <v>12</v>
      </c>
      <c r="AM366" t="n">
        <v>16</v>
      </c>
      <c r="AN366" t="n">
        <v>1</v>
      </c>
      <c r="AO366" t="n">
        <v>12</v>
      </c>
      <c r="AP366" t="n">
        <v>0</v>
      </c>
      <c r="AQ366" t="n">
        <v>1</v>
      </c>
      <c r="AR366" t="inlineStr">
        <is>
          <t>No</t>
        </is>
      </c>
      <c r="AS366" t="inlineStr">
        <is>
          <t>Yes</t>
        </is>
      </c>
      <c r="AT366">
        <f>HYPERLINK("http://catalog.hathitrust.org/Record/004119150","HathiTrust Record")</f>
        <v/>
      </c>
      <c r="AU366">
        <f>HYPERLINK("https://creighton-primo.hosted.exlibrisgroup.com/primo-explore/search?tab=default_tab&amp;search_scope=EVERYTHING&amp;vid=01CRU&amp;lang=en_US&amp;offset=0&amp;query=any,contains,991000372249702656","Catalog Record")</f>
        <v/>
      </c>
      <c r="AV366">
        <f>HYPERLINK("http://www.worldcat.org/oclc/41662237","WorldCat Record")</f>
        <v/>
      </c>
      <c r="AW366" t="inlineStr">
        <is>
          <t>26775333:eng</t>
        </is>
      </c>
      <c r="AX366" t="inlineStr">
        <is>
          <t>41662237</t>
        </is>
      </c>
      <c r="AY366" t="inlineStr">
        <is>
          <t>991000372249702656</t>
        </is>
      </c>
      <c r="AZ366" t="inlineStr">
        <is>
          <t>991000372249702656</t>
        </is>
      </c>
      <c r="BA366" t="inlineStr">
        <is>
          <t>2254759880002656</t>
        </is>
      </c>
      <c r="BB366" t="inlineStr">
        <is>
          <t>BOOK</t>
        </is>
      </c>
      <c r="BD366" t="inlineStr">
        <is>
          <t>9780803973091</t>
        </is>
      </c>
      <c r="BE366" t="inlineStr">
        <is>
          <t>30001004921344</t>
        </is>
      </c>
      <c r="BF366" t="inlineStr">
        <is>
          <t>893370429</t>
        </is>
      </c>
    </row>
    <row r="367">
      <c r="A367" t="inlineStr">
        <is>
          <t>No</t>
        </is>
      </c>
      <c r="B367" t="inlineStr">
        <is>
          <t>CUHSL</t>
        </is>
      </c>
      <c r="C367" t="inlineStr">
        <is>
          <t>SHELVES</t>
        </is>
      </c>
      <c r="D367" t="inlineStr">
        <is>
          <t>WA 546 AA1 C658 1990</t>
        </is>
      </c>
      <c r="E367" t="inlineStr">
        <is>
          <t>0                      WA 0546000AA 1                  C  658         1990</t>
        </is>
      </c>
      <c r="F367" t="inlineStr">
        <is>
          <t>Community care for homeless families : a program design manual / the Better Homes Foundation ; edited by Ellen L. Bassuk ... [et. al].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N367" t="inlineStr">
        <is>
          <t>Newton Centre, MA (189 Wells Ave., Newton Centre, 02159) : The Foundation, [1990]</t>
        </is>
      </c>
      <c r="O367" t="inlineStr">
        <is>
          <t>1990</t>
        </is>
      </c>
      <c r="Q367" t="inlineStr">
        <is>
          <t>eng</t>
        </is>
      </c>
      <c r="R367" t="inlineStr">
        <is>
          <t>xxu</t>
        </is>
      </c>
      <c r="T367" t="inlineStr">
        <is>
          <t xml:space="preserve">WA </t>
        </is>
      </c>
      <c r="U367" t="n">
        <v>2</v>
      </c>
      <c r="V367" t="n">
        <v>2</v>
      </c>
      <c r="W367" t="inlineStr">
        <is>
          <t>1992-08-05</t>
        </is>
      </c>
      <c r="X367" t="inlineStr">
        <is>
          <t>1992-08-05</t>
        </is>
      </c>
      <c r="Y367" t="inlineStr">
        <is>
          <t>1992-06-05</t>
        </is>
      </c>
      <c r="Z367" t="inlineStr">
        <is>
          <t>1992-06-05</t>
        </is>
      </c>
      <c r="AA367" t="n">
        <v>258</v>
      </c>
      <c r="AB367" t="n">
        <v>253</v>
      </c>
      <c r="AC367" t="n">
        <v>264</v>
      </c>
      <c r="AD367" t="n">
        <v>1</v>
      </c>
      <c r="AE367" t="n">
        <v>1</v>
      </c>
      <c r="AF367" t="n">
        <v>7</v>
      </c>
      <c r="AG367" t="n">
        <v>7</v>
      </c>
      <c r="AH367" t="n">
        <v>1</v>
      </c>
      <c r="AI367" t="n">
        <v>1</v>
      </c>
      <c r="AJ367" t="n">
        <v>1</v>
      </c>
      <c r="AK367" t="n">
        <v>1</v>
      </c>
      <c r="AL367" t="n">
        <v>4</v>
      </c>
      <c r="AM367" t="n">
        <v>4</v>
      </c>
      <c r="AN367" t="n">
        <v>0</v>
      </c>
      <c r="AO367" t="n">
        <v>0</v>
      </c>
      <c r="AP367" t="n">
        <v>2</v>
      </c>
      <c r="AQ367" t="n">
        <v>2</v>
      </c>
      <c r="AR367" t="inlineStr">
        <is>
          <t>Yes</t>
        </is>
      </c>
      <c r="AS367" t="inlineStr">
        <is>
          <t>No</t>
        </is>
      </c>
      <c r="AT367">
        <f>HYPERLINK("http://catalog.hathitrust.org/Record/002481939","HathiTrust Record")</f>
        <v/>
      </c>
      <c r="AU367">
        <f>HYPERLINK("https://creighton-primo.hosted.exlibrisgroup.com/primo-explore/search?tab=default_tab&amp;search_scope=EVERYTHING&amp;vid=01CRU&amp;lang=en_US&amp;offset=0&amp;query=any,contains,991001305279702656","Catalog Record")</f>
        <v/>
      </c>
      <c r="AV367">
        <f>HYPERLINK("http://www.worldcat.org/oclc/25675286","WorldCat Record")</f>
        <v/>
      </c>
      <c r="AW367" t="inlineStr">
        <is>
          <t>918064146:eng</t>
        </is>
      </c>
      <c r="AX367" t="inlineStr">
        <is>
          <t>25675286</t>
        </is>
      </c>
      <c r="AY367" t="inlineStr">
        <is>
          <t>991001305279702656</t>
        </is>
      </c>
      <c r="AZ367" t="inlineStr">
        <is>
          <t>991001305279702656</t>
        </is>
      </c>
      <c r="BA367" t="inlineStr">
        <is>
          <t>2267205410002656</t>
        </is>
      </c>
      <c r="BB367" t="inlineStr">
        <is>
          <t>BOOK</t>
        </is>
      </c>
      <c r="BE367" t="inlineStr">
        <is>
          <t>30001002413575</t>
        </is>
      </c>
      <c r="BF367" t="inlineStr">
        <is>
          <t>893121388</t>
        </is>
      </c>
    </row>
    <row r="368">
      <c r="A368" t="inlineStr">
        <is>
          <t>No</t>
        </is>
      </c>
      <c r="B368" t="inlineStr">
        <is>
          <t>CUHSL</t>
        </is>
      </c>
      <c r="C368" t="inlineStr">
        <is>
          <t>SHELVES</t>
        </is>
      </c>
      <c r="D368" t="inlineStr">
        <is>
          <t>WA 546 AA1 D3c 1998</t>
        </is>
      </c>
      <c r="E368" t="inlineStr">
        <is>
          <t>0                      WA 0546000AA 1                  D  3c          1998</t>
        </is>
      </c>
      <c r="F368" t="inlineStr">
        <is>
          <t>Community health psychology : empowerment for diverse communities / Victor de La Cancela, Jean Lau Chin, and Yvonne M. Jenkins ; foreword by J. Emilio Carrillo.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De La Cancela, Victor.</t>
        </is>
      </c>
      <c r="N368" t="inlineStr">
        <is>
          <t>New York : Routledge, 1998.</t>
        </is>
      </c>
      <c r="O368" t="inlineStr">
        <is>
          <t>1998</t>
        </is>
      </c>
      <c r="Q368" t="inlineStr">
        <is>
          <t>eng</t>
        </is>
      </c>
      <c r="R368" t="inlineStr">
        <is>
          <t>nyu</t>
        </is>
      </c>
      <c r="T368" t="inlineStr">
        <is>
          <t xml:space="preserve">WA </t>
        </is>
      </c>
      <c r="U368" t="n">
        <v>1</v>
      </c>
      <c r="V368" t="n">
        <v>1</v>
      </c>
      <c r="W368" t="inlineStr">
        <is>
          <t>2004-09-11</t>
        </is>
      </c>
      <c r="X368" t="inlineStr">
        <is>
          <t>2004-09-11</t>
        </is>
      </c>
      <c r="Y368" t="inlineStr">
        <is>
          <t>2004-09-03</t>
        </is>
      </c>
      <c r="Z368" t="inlineStr">
        <is>
          <t>2004-09-03</t>
        </is>
      </c>
      <c r="AA368" t="n">
        <v>255</v>
      </c>
      <c r="AB368" t="n">
        <v>188</v>
      </c>
      <c r="AC368" t="n">
        <v>215</v>
      </c>
      <c r="AD368" t="n">
        <v>2</v>
      </c>
      <c r="AE368" t="n">
        <v>2</v>
      </c>
      <c r="AF368" t="n">
        <v>10</v>
      </c>
      <c r="AG368" t="n">
        <v>10</v>
      </c>
      <c r="AH368" t="n">
        <v>2</v>
      </c>
      <c r="AI368" t="n">
        <v>2</v>
      </c>
      <c r="AJ368" t="n">
        <v>4</v>
      </c>
      <c r="AK368" t="n">
        <v>4</v>
      </c>
      <c r="AL368" t="n">
        <v>6</v>
      </c>
      <c r="AM368" t="n">
        <v>6</v>
      </c>
      <c r="AN368" t="n">
        <v>1</v>
      </c>
      <c r="AO368" t="n">
        <v>1</v>
      </c>
      <c r="AP368" t="n">
        <v>0</v>
      </c>
      <c r="AQ368" t="n">
        <v>0</v>
      </c>
      <c r="AR368" t="inlineStr">
        <is>
          <t>No</t>
        </is>
      </c>
      <c r="AS368" t="inlineStr">
        <is>
          <t>No</t>
        </is>
      </c>
      <c r="AU368">
        <f>HYPERLINK("https://creighton-primo.hosted.exlibrisgroup.com/primo-explore/search?tab=default_tab&amp;search_scope=EVERYTHING&amp;vid=01CRU&amp;lang=en_US&amp;offset=0&amp;query=any,contains,991000383139702656","Catalog Record")</f>
        <v/>
      </c>
      <c r="AV368">
        <f>HYPERLINK("http://www.worldcat.org/oclc/36915874","WorldCat Record")</f>
        <v/>
      </c>
      <c r="AW368" t="inlineStr">
        <is>
          <t>543167:eng</t>
        </is>
      </c>
      <c r="AX368" t="inlineStr">
        <is>
          <t>36915874</t>
        </is>
      </c>
      <c r="AY368" t="inlineStr">
        <is>
          <t>991000383139702656</t>
        </is>
      </c>
      <c r="AZ368" t="inlineStr">
        <is>
          <t>991000383139702656</t>
        </is>
      </c>
      <c r="BA368" t="inlineStr">
        <is>
          <t>2259400920002656</t>
        </is>
      </c>
      <c r="BB368" t="inlineStr">
        <is>
          <t>BOOK</t>
        </is>
      </c>
      <c r="BD368" t="inlineStr">
        <is>
          <t>9780415914260</t>
        </is>
      </c>
      <c r="BE368" t="inlineStr">
        <is>
          <t>30001004921799</t>
        </is>
      </c>
      <c r="BF368" t="inlineStr">
        <is>
          <t>893354263</t>
        </is>
      </c>
    </row>
    <row r="369">
      <c r="A369" t="inlineStr">
        <is>
          <t>No</t>
        </is>
      </c>
      <c r="B369" t="inlineStr">
        <is>
          <t>CUHSL</t>
        </is>
      </c>
      <c r="C369" t="inlineStr">
        <is>
          <t>SHELVES</t>
        </is>
      </c>
      <c r="D369" t="inlineStr">
        <is>
          <t>WA 546 AA1 H434 1991</t>
        </is>
      </c>
      <c r="E369" t="inlineStr">
        <is>
          <t>0                      WA 0546000AA 1                  H  434         1991</t>
        </is>
      </c>
      <c r="F369" t="inlineStr">
        <is>
          <t>Healthy communities 2000 : model standards : guidelines for community attainment of the year 2000 national health objectives / American Public Health Association.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Washington, DC : American Public Health Association, c1991.</t>
        </is>
      </c>
      <c r="O369" t="inlineStr">
        <is>
          <t>1991</t>
        </is>
      </c>
      <c r="P369" t="inlineStr">
        <is>
          <t>3rd ed.</t>
        </is>
      </c>
      <c r="Q369" t="inlineStr">
        <is>
          <t>eng</t>
        </is>
      </c>
      <c r="R369" t="inlineStr">
        <is>
          <t>dcu</t>
        </is>
      </c>
      <c r="T369" t="inlineStr">
        <is>
          <t xml:space="preserve">WA </t>
        </is>
      </c>
      <c r="U369" t="n">
        <v>10</v>
      </c>
      <c r="V369" t="n">
        <v>10</v>
      </c>
      <c r="W369" t="inlineStr">
        <is>
          <t>1999-11-23</t>
        </is>
      </c>
      <c r="X369" t="inlineStr">
        <is>
          <t>1999-11-23</t>
        </is>
      </c>
      <c r="Y369" t="inlineStr">
        <is>
          <t>1992-08-19</t>
        </is>
      </c>
      <c r="Z369" t="inlineStr">
        <is>
          <t>1992-08-19</t>
        </is>
      </c>
      <c r="AA369" t="n">
        <v>335</v>
      </c>
      <c r="AB369" t="n">
        <v>285</v>
      </c>
      <c r="AC369" t="n">
        <v>287</v>
      </c>
      <c r="AD369" t="n">
        <v>2</v>
      </c>
      <c r="AE369" t="n">
        <v>2</v>
      </c>
      <c r="AF369" t="n">
        <v>13</v>
      </c>
      <c r="AG369" t="n">
        <v>13</v>
      </c>
      <c r="AH369" t="n">
        <v>4</v>
      </c>
      <c r="AI369" t="n">
        <v>4</v>
      </c>
      <c r="AJ369" t="n">
        <v>3</v>
      </c>
      <c r="AK369" t="n">
        <v>3</v>
      </c>
      <c r="AL369" t="n">
        <v>9</v>
      </c>
      <c r="AM369" t="n">
        <v>9</v>
      </c>
      <c r="AN369" t="n">
        <v>1</v>
      </c>
      <c r="AO369" t="n">
        <v>1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HYPERLINK("http://catalog.hathitrust.org/Record/004512219","HathiTrust Record")</f>
        <v/>
      </c>
      <c r="AU369">
        <f>HYPERLINK("https://creighton-primo.hosted.exlibrisgroup.com/primo-explore/search?tab=default_tab&amp;search_scope=EVERYTHING&amp;vid=01CRU&amp;lang=en_US&amp;offset=0&amp;query=any,contains,991001340099702656","Catalog Record")</f>
        <v/>
      </c>
      <c r="AV369">
        <f>HYPERLINK("http://www.worldcat.org/oclc/27729108","WorldCat Record")</f>
        <v/>
      </c>
      <c r="AW369" t="inlineStr">
        <is>
          <t>859822030:eng</t>
        </is>
      </c>
      <c r="AX369" t="inlineStr">
        <is>
          <t>27729108</t>
        </is>
      </c>
      <c r="AY369" t="inlineStr">
        <is>
          <t>991001340099702656</t>
        </is>
      </c>
      <c r="AZ369" t="inlineStr">
        <is>
          <t>991001340099702656</t>
        </is>
      </c>
      <c r="BA369" t="inlineStr">
        <is>
          <t>2270657540002656</t>
        </is>
      </c>
      <c r="BB369" t="inlineStr">
        <is>
          <t>BOOK</t>
        </is>
      </c>
      <c r="BD369" t="inlineStr">
        <is>
          <t>9780875532042</t>
        </is>
      </c>
      <c r="BE369" t="inlineStr">
        <is>
          <t>30001002455329</t>
        </is>
      </c>
      <c r="BF369" t="inlineStr">
        <is>
          <t>893552377</t>
        </is>
      </c>
    </row>
    <row r="370">
      <c r="A370" t="inlineStr">
        <is>
          <t>No</t>
        </is>
      </c>
      <c r="B370" t="inlineStr">
        <is>
          <t>CUHSL</t>
        </is>
      </c>
      <c r="C370" t="inlineStr">
        <is>
          <t>SHELVES</t>
        </is>
      </c>
      <c r="D370" t="inlineStr">
        <is>
          <t>WA 546 AA1 N213a 1987</t>
        </is>
      </c>
      <c r="E370" t="inlineStr">
        <is>
          <t>0                      WA 0546000AA 1                  N  213a        1987</t>
        </is>
      </c>
      <c r="F370" t="inlineStr">
        <is>
          <t>Accreditation criteria, standards, and substantiating evidences / Accreditation Division for Home Care and Community Health, National League for Nursing.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M370" t="inlineStr">
        <is>
          <t>National League for Nursing. Accreditation Division for Home Care and Community Health.</t>
        </is>
      </c>
      <c r="N370" t="inlineStr">
        <is>
          <t>New York, N.Y. : The League, c1987.</t>
        </is>
      </c>
      <c r="O370" t="inlineStr">
        <is>
          <t>1987</t>
        </is>
      </c>
      <c r="Q370" t="inlineStr">
        <is>
          <t>eng</t>
        </is>
      </c>
      <c r="R370" t="inlineStr">
        <is>
          <t>xxu</t>
        </is>
      </c>
      <c r="S370" t="inlineStr">
        <is>
          <t>NLN pub. no. 21-1306.</t>
        </is>
      </c>
      <c r="T370" t="inlineStr">
        <is>
          <t xml:space="preserve">WA </t>
        </is>
      </c>
      <c r="U370" t="n">
        <v>2</v>
      </c>
      <c r="V370" t="n">
        <v>2</v>
      </c>
      <c r="W370" t="inlineStr">
        <is>
          <t>1989-10-30</t>
        </is>
      </c>
      <c r="X370" t="inlineStr">
        <is>
          <t>1989-10-30</t>
        </is>
      </c>
      <c r="Y370" t="inlineStr">
        <is>
          <t>1987-10-27</t>
        </is>
      </c>
      <c r="Z370" t="inlineStr">
        <is>
          <t>1987-10-27</t>
        </is>
      </c>
      <c r="AA370" t="n">
        <v>118</v>
      </c>
      <c r="AB370" t="n">
        <v>110</v>
      </c>
      <c r="AC370" t="n">
        <v>110</v>
      </c>
      <c r="AD370" t="n">
        <v>2</v>
      </c>
      <c r="AE370" t="n">
        <v>2</v>
      </c>
      <c r="AF370" t="n">
        <v>5</v>
      </c>
      <c r="AG370" t="n">
        <v>5</v>
      </c>
      <c r="AH370" t="n">
        <v>0</v>
      </c>
      <c r="AI370" t="n">
        <v>0</v>
      </c>
      <c r="AJ370" t="n">
        <v>2</v>
      </c>
      <c r="AK370" t="n">
        <v>2</v>
      </c>
      <c r="AL370" t="n">
        <v>4</v>
      </c>
      <c r="AM370" t="n">
        <v>4</v>
      </c>
      <c r="AN370" t="n">
        <v>0</v>
      </c>
      <c r="AO370" t="n">
        <v>0</v>
      </c>
      <c r="AP370" t="n">
        <v>0</v>
      </c>
      <c r="AQ370" t="n">
        <v>0</v>
      </c>
      <c r="AR370" t="inlineStr">
        <is>
          <t>No</t>
        </is>
      </c>
      <c r="AS370" t="inlineStr">
        <is>
          <t>No</t>
        </is>
      </c>
      <c r="AU370">
        <f>HYPERLINK("https://creighton-primo.hosted.exlibrisgroup.com/primo-explore/search?tab=default_tab&amp;search_scope=EVERYTHING&amp;vid=01CRU&amp;lang=en_US&amp;offset=0&amp;query=any,contains,991001386249702656","Catalog Record")</f>
        <v/>
      </c>
      <c r="AV370">
        <f>HYPERLINK("http://www.worldcat.org/oclc/15220116","WorldCat Record")</f>
        <v/>
      </c>
      <c r="AW370" t="inlineStr">
        <is>
          <t>10170419:eng</t>
        </is>
      </c>
      <c r="AX370" t="inlineStr">
        <is>
          <t>15220116</t>
        </is>
      </c>
      <c r="AY370" t="inlineStr">
        <is>
          <t>991001386249702656</t>
        </is>
      </c>
      <c r="AZ370" t="inlineStr">
        <is>
          <t>991001386249702656</t>
        </is>
      </c>
      <c r="BA370" t="inlineStr">
        <is>
          <t>2255594430002656</t>
        </is>
      </c>
      <c r="BB370" t="inlineStr">
        <is>
          <t>BOOK</t>
        </is>
      </c>
      <c r="BD370" t="inlineStr">
        <is>
          <t>9780887373633</t>
        </is>
      </c>
      <c r="BE370" t="inlineStr">
        <is>
          <t>30001000463754</t>
        </is>
      </c>
      <c r="BF370" t="inlineStr">
        <is>
          <t>893731967</t>
        </is>
      </c>
    </row>
    <row r="371">
      <c r="A371" t="inlineStr">
        <is>
          <t>No</t>
        </is>
      </c>
      <c r="B371" t="inlineStr">
        <is>
          <t>CUHSL</t>
        </is>
      </c>
      <c r="C371" t="inlineStr">
        <is>
          <t>SHELVES</t>
        </is>
      </c>
      <c r="D371" t="inlineStr">
        <is>
          <t>WA 546 AA1 R745 1984</t>
        </is>
      </c>
      <c r="E371" t="inlineStr">
        <is>
          <t>0                      WA 0546000AA 1                  R  745         1984</t>
        </is>
      </c>
      <c r="F371" t="inlineStr">
        <is>
          <t>The Roles of U.S. institutions of higher education in community health care : proceedings of an invitational workshop / Institute of Medicine.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N371" t="inlineStr">
        <is>
          <t>Washington, D.C. : National Academy Press, 1984.</t>
        </is>
      </c>
      <c r="O371" t="inlineStr">
        <is>
          <t>1984</t>
        </is>
      </c>
      <c r="Q371" t="inlineStr">
        <is>
          <t>eng</t>
        </is>
      </c>
      <c r="R371" t="inlineStr">
        <is>
          <t>dcu</t>
        </is>
      </c>
      <c r="S371" t="inlineStr">
        <is>
          <t>IOM-84-001</t>
        </is>
      </c>
      <c r="T371" t="inlineStr">
        <is>
          <t xml:space="preserve">WA </t>
        </is>
      </c>
      <c r="U371" t="n">
        <v>2</v>
      </c>
      <c r="V371" t="n">
        <v>2</v>
      </c>
      <c r="W371" t="inlineStr">
        <is>
          <t>2000-11-21</t>
        </is>
      </c>
      <c r="X371" t="inlineStr">
        <is>
          <t>2000-11-21</t>
        </is>
      </c>
      <c r="Y371" t="inlineStr">
        <is>
          <t>1988-01-04</t>
        </is>
      </c>
      <c r="Z371" t="inlineStr">
        <is>
          <t>1988-01-04</t>
        </is>
      </c>
      <c r="AA371" t="n">
        <v>17</v>
      </c>
      <c r="AB371" t="n">
        <v>17</v>
      </c>
      <c r="AC371" t="n">
        <v>18</v>
      </c>
      <c r="AD371" t="n">
        <v>1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HYPERLINK("https://creighton-primo.hosted.exlibrisgroup.com/primo-explore/search?tab=default_tab&amp;search_scope=EVERYTHING&amp;vid=01CRU&amp;lang=en_US&amp;offset=0&amp;query=any,contains,991000730819702656","Catalog Record")</f>
        <v/>
      </c>
      <c r="AV371">
        <f>HYPERLINK("http://www.worldcat.org/oclc/12016079","WorldCat Record")</f>
        <v/>
      </c>
      <c r="AW371" t="inlineStr">
        <is>
          <t>8926659199:eng</t>
        </is>
      </c>
      <c r="AX371" t="inlineStr">
        <is>
          <t>12016079</t>
        </is>
      </c>
      <c r="AY371" t="inlineStr">
        <is>
          <t>991000730819702656</t>
        </is>
      </c>
      <c r="AZ371" t="inlineStr">
        <is>
          <t>991000730819702656</t>
        </is>
      </c>
      <c r="BA371" t="inlineStr">
        <is>
          <t>2255727160002656</t>
        </is>
      </c>
      <c r="BB371" t="inlineStr">
        <is>
          <t>BOOK</t>
        </is>
      </c>
      <c r="BE371" t="inlineStr">
        <is>
          <t>30001000708075</t>
        </is>
      </c>
      <c r="BF371" t="inlineStr">
        <is>
          <t>893560466</t>
        </is>
      </c>
    </row>
    <row r="372">
      <c r="A372" t="inlineStr">
        <is>
          <t>No</t>
        </is>
      </c>
      <c r="B372" t="inlineStr">
        <is>
          <t>CUHSL</t>
        </is>
      </c>
      <c r="C372" t="inlineStr">
        <is>
          <t>SHELVES</t>
        </is>
      </c>
      <c r="D372" t="inlineStr">
        <is>
          <t>WA546 AA1 T915i 2000</t>
        </is>
      </c>
      <c r="E372" t="inlineStr">
        <is>
          <t>0                      WA 0546000AA 1                  T  915i        2000</t>
        </is>
      </c>
      <c r="F372" t="inlineStr">
        <is>
          <t>It is well with my soul : churches and institutions collaborating for public health / Melvin Tuggle.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Tuggle, Melvin, Reverend.</t>
        </is>
      </c>
      <c r="N372" t="inlineStr">
        <is>
          <t>Washington, DC : American Public Health Association, c2000.</t>
        </is>
      </c>
      <c r="O372" t="inlineStr">
        <is>
          <t>2000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WA </t>
        </is>
      </c>
      <c r="U372" t="n">
        <v>8</v>
      </c>
      <c r="V372" t="n">
        <v>8</v>
      </c>
      <c r="W372" t="inlineStr">
        <is>
          <t>2008-12-01</t>
        </is>
      </c>
      <c r="X372" t="inlineStr">
        <is>
          <t>2008-12-01</t>
        </is>
      </c>
      <c r="Y372" t="inlineStr">
        <is>
          <t>2002-03-04</t>
        </is>
      </c>
      <c r="Z372" t="inlineStr">
        <is>
          <t>2002-03-04</t>
        </is>
      </c>
      <c r="AA372" t="n">
        <v>149</v>
      </c>
      <c r="AB372" t="n">
        <v>147</v>
      </c>
      <c r="AC372" t="n">
        <v>147</v>
      </c>
      <c r="AD372" t="n">
        <v>2</v>
      </c>
      <c r="AE372" t="n">
        <v>2</v>
      </c>
      <c r="AF372" t="n">
        <v>7</v>
      </c>
      <c r="AG372" t="n">
        <v>7</v>
      </c>
      <c r="AH372" t="n">
        <v>0</v>
      </c>
      <c r="AI372" t="n">
        <v>0</v>
      </c>
      <c r="AJ372" t="n">
        <v>1</v>
      </c>
      <c r="AK372" t="n">
        <v>1</v>
      </c>
      <c r="AL372" t="n">
        <v>5</v>
      </c>
      <c r="AM372" t="n">
        <v>5</v>
      </c>
      <c r="AN372" t="n">
        <v>1</v>
      </c>
      <c r="AO372" t="n">
        <v>1</v>
      </c>
      <c r="AP372" t="n">
        <v>0</v>
      </c>
      <c r="AQ372" t="n">
        <v>0</v>
      </c>
      <c r="AR372" t="inlineStr">
        <is>
          <t>No</t>
        </is>
      </c>
      <c r="AS372" t="inlineStr">
        <is>
          <t>No</t>
        </is>
      </c>
      <c r="AU372">
        <f>HYPERLINK("https://creighton-primo.hosted.exlibrisgroup.com/primo-explore/search?tab=default_tab&amp;search_scope=EVERYTHING&amp;vid=01CRU&amp;lang=en_US&amp;offset=0&amp;query=any,contains,991000306429702656","Catalog Record")</f>
        <v/>
      </c>
      <c r="AV372">
        <f>HYPERLINK("http://www.worldcat.org/oclc/46318203","WorldCat Record")</f>
        <v/>
      </c>
      <c r="AW372" t="inlineStr">
        <is>
          <t>35356565:eng</t>
        </is>
      </c>
      <c r="AX372" t="inlineStr">
        <is>
          <t>46318203</t>
        </is>
      </c>
      <c r="AY372" t="inlineStr">
        <is>
          <t>991000306429702656</t>
        </is>
      </c>
      <c r="AZ372" t="inlineStr">
        <is>
          <t>991000306429702656</t>
        </is>
      </c>
      <c r="BA372" t="inlineStr">
        <is>
          <t>2261246880002656</t>
        </is>
      </c>
      <c r="BB372" t="inlineStr">
        <is>
          <t>BOOK</t>
        </is>
      </c>
      <c r="BD372" t="inlineStr">
        <is>
          <t>9780875531809</t>
        </is>
      </c>
      <c r="BE372" t="inlineStr">
        <is>
          <t>30001004237006</t>
        </is>
      </c>
      <c r="BF372" t="inlineStr">
        <is>
          <t>893109390</t>
        </is>
      </c>
    </row>
    <row r="373">
      <c r="A373" t="inlineStr">
        <is>
          <t>No</t>
        </is>
      </c>
      <c r="B373" t="inlineStr">
        <is>
          <t>CUHSL</t>
        </is>
      </c>
      <c r="C373" t="inlineStr">
        <is>
          <t>SHELVES</t>
        </is>
      </c>
      <c r="D373" t="inlineStr">
        <is>
          <t>WA 546 D911c 1998</t>
        </is>
      </c>
      <c r="E373" t="inlineStr">
        <is>
          <t>0                      WA 0546000D  911c        1998</t>
        </is>
      </c>
      <c r="F373" t="inlineStr">
        <is>
          <t>Community health information systems : lessons for the future / Karen A. Duncan.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Duncan, Karen A.</t>
        </is>
      </c>
      <c r="N373" t="inlineStr">
        <is>
          <t>Chicago, Ill. : Health Administration Press, c1998.</t>
        </is>
      </c>
      <c r="O373" t="inlineStr">
        <is>
          <t>1998</t>
        </is>
      </c>
      <c r="Q373" t="inlineStr">
        <is>
          <t>eng</t>
        </is>
      </c>
      <c r="R373" t="inlineStr">
        <is>
          <t>ilu</t>
        </is>
      </c>
      <c r="T373" t="inlineStr">
        <is>
          <t xml:space="preserve">WA </t>
        </is>
      </c>
      <c r="U373" t="n">
        <v>4</v>
      </c>
      <c r="V373" t="n">
        <v>4</v>
      </c>
      <c r="W373" t="inlineStr">
        <is>
          <t>2001-11-28</t>
        </is>
      </c>
      <c r="X373" t="inlineStr">
        <is>
          <t>2001-11-28</t>
        </is>
      </c>
      <c r="Y373" t="inlineStr">
        <is>
          <t>1999-02-16</t>
        </is>
      </c>
      <c r="Z373" t="inlineStr">
        <is>
          <t>1999-02-16</t>
        </is>
      </c>
      <c r="AA373" t="n">
        <v>102</v>
      </c>
      <c r="AB373" t="n">
        <v>92</v>
      </c>
      <c r="AC373" t="n">
        <v>92</v>
      </c>
      <c r="AD373" t="n">
        <v>2</v>
      </c>
      <c r="AE373" t="n">
        <v>2</v>
      </c>
      <c r="AF373" t="n">
        <v>5</v>
      </c>
      <c r="AG373" t="n">
        <v>5</v>
      </c>
      <c r="AH373" t="n">
        <v>0</v>
      </c>
      <c r="AI373" t="n">
        <v>0</v>
      </c>
      <c r="AJ373" t="n">
        <v>2</v>
      </c>
      <c r="AK373" t="n">
        <v>2</v>
      </c>
      <c r="AL373" t="n">
        <v>4</v>
      </c>
      <c r="AM373" t="n">
        <v>4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HYPERLINK("https://creighton-primo.hosted.exlibrisgroup.com/primo-explore/search?tab=default_tab&amp;search_scope=EVERYTHING&amp;vid=01CRU&amp;lang=en_US&amp;offset=0&amp;query=any,contains,991001531269702656","Catalog Record")</f>
        <v/>
      </c>
      <c r="AV373">
        <f>HYPERLINK("http://www.worldcat.org/oclc/37513178","WorldCat Record")</f>
        <v/>
      </c>
      <c r="AW373" t="inlineStr">
        <is>
          <t>5575056909:eng</t>
        </is>
      </c>
      <c r="AX373" t="inlineStr">
        <is>
          <t>37513178</t>
        </is>
      </c>
      <c r="AY373" t="inlineStr">
        <is>
          <t>991001531269702656</t>
        </is>
      </c>
      <c r="AZ373" t="inlineStr">
        <is>
          <t>991001531269702656</t>
        </is>
      </c>
      <c r="BA373" t="inlineStr">
        <is>
          <t>2269745470002656</t>
        </is>
      </c>
      <c r="BB373" t="inlineStr">
        <is>
          <t>BOOK</t>
        </is>
      </c>
      <c r="BD373" t="inlineStr">
        <is>
          <t>9781567930719</t>
        </is>
      </c>
      <c r="BE373" t="inlineStr">
        <is>
          <t>30001003961515</t>
        </is>
      </c>
      <c r="BF373" t="inlineStr">
        <is>
          <t>893834714</t>
        </is>
      </c>
    </row>
    <row r="374">
      <c r="A374" t="inlineStr">
        <is>
          <t>No</t>
        </is>
      </c>
      <c r="B374" t="inlineStr">
        <is>
          <t>CUHSL</t>
        </is>
      </c>
      <c r="C374" t="inlineStr">
        <is>
          <t>SHELVES</t>
        </is>
      </c>
      <c r="D374" t="inlineStr">
        <is>
          <t>WA 546 M644c 1975</t>
        </is>
      </c>
      <c r="E374" t="inlineStr">
        <is>
          <t>0                      WA 0546000M  644c        1975</t>
        </is>
      </c>
      <c r="F374" t="inlineStr">
        <is>
          <t>The care of health in communities : access for outcasts / Nancy Milio.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Milio, Nancy.</t>
        </is>
      </c>
      <c r="N374" t="inlineStr">
        <is>
          <t>New York : Macmillan, c1975.</t>
        </is>
      </c>
      <c r="O374" t="inlineStr">
        <is>
          <t>1975</t>
        </is>
      </c>
      <c r="Q374" t="inlineStr">
        <is>
          <t>eng</t>
        </is>
      </c>
      <c r="R374" t="inlineStr">
        <is>
          <t>nyu</t>
        </is>
      </c>
      <c r="T374" t="inlineStr">
        <is>
          <t xml:space="preserve">WA </t>
        </is>
      </c>
      <c r="U374" t="n">
        <v>3</v>
      </c>
      <c r="V374" t="n">
        <v>3</v>
      </c>
      <c r="W374" t="inlineStr">
        <is>
          <t>1988-11-04</t>
        </is>
      </c>
      <c r="X374" t="inlineStr">
        <is>
          <t>1988-11-04</t>
        </is>
      </c>
      <c r="Y374" t="inlineStr">
        <is>
          <t>1988-01-04</t>
        </is>
      </c>
      <c r="Z374" t="inlineStr">
        <is>
          <t>1988-01-04</t>
        </is>
      </c>
      <c r="AA374" t="n">
        <v>452</v>
      </c>
      <c r="AB374" t="n">
        <v>366</v>
      </c>
      <c r="AC374" t="n">
        <v>373</v>
      </c>
      <c r="AD374" t="n">
        <v>3</v>
      </c>
      <c r="AE374" t="n">
        <v>3</v>
      </c>
      <c r="AF374" t="n">
        <v>12</v>
      </c>
      <c r="AG374" t="n">
        <v>12</v>
      </c>
      <c r="AH374" t="n">
        <v>3</v>
      </c>
      <c r="AI374" t="n">
        <v>3</v>
      </c>
      <c r="AJ374" t="n">
        <v>3</v>
      </c>
      <c r="AK374" t="n">
        <v>3</v>
      </c>
      <c r="AL374" t="n">
        <v>8</v>
      </c>
      <c r="AM374" t="n">
        <v>8</v>
      </c>
      <c r="AN374" t="n">
        <v>2</v>
      </c>
      <c r="AO374" t="n">
        <v>2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HYPERLINK("http://catalog.hathitrust.org/Record/000033559","HathiTrust Record")</f>
        <v/>
      </c>
      <c r="AU374">
        <f>HYPERLINK("https://creighton-primo.hosted.exlibrisgroup.com/primo-explore/search?tab=default_tab&amp;search_scope=EVERYTHING&amp;vid=01CRU&amp;lang=en_US&amp;offset=0&amp;query=any,contains,991000731009702656","Catalog Record")</f>
        <v/>
      </c>
      <c r="AV374">
        <f>HYPERLINK("http://www.worldcat.org/oclc/1119443","WorldCat Record")</f>
        <v/>
      </c>
      <c r="AW374" t="inlineStr">
        <is>
          <t>308607911:eng</t>
        </is>
      </c>
      <c r="AX374" t="inlineStr">
        <is>
          <t>1119443</t>
        </is>
      </c>
      <c r="AY374" t="inlineStr">
        <is>
          <t>991000731009702656</t>
        </is>
      </c>
      <c r="AZ374" t="inlineStr">
        <is>
          <t>991000731009702656</t>
        </is>
      </c>
      <c r="BA374" t="inlineStr">
        <is>
          <t>2256121240002656</t>
        </is>
      </c>
      <c r="BB374" t="inlineStr">
        <is>
          <t>BOOK</t>
        </is>
      </c>
      <c r="BD374" t="inlineStr">
        <is>
          <t>9780023811302</t>
        </is>
      </c>
      <c r="BE374" t="inlineStr">
        <is>
          <t>30001000708190</t>
        </is>
      </c>
      <c r="BF374" t="inlineStr">
        <is>
          <t>893831132</t>
        </is>
      </c>
    </row>
    <row r="375">
      <c r="A375" t="inlineStr">
        <is>
          <t>No</t>
        </is>
      </c>
      <c r="B375" t="inlineStr">
        <is>
          <t>CUHSL</t>
        </is>
      </c>
      <c r="C375" t="inlineStr">
        <is>
          <t>SHELVES</t>
        </is>
      </c>
      <c r="D375" t="inlineStr">
        <is>
          <t>WA 546.1 A672i 1984</t>
        </is>
      </c>
      <c r="E375" t="inlineStr">
        <is>
          <t>0                      WA 0546100A  672i        1984</t>
        </is>
      </c>
      <c r="F375" t="inlineStr">
        <is>
          <t>Implementing change in communities : a collaborative process / Sarah Ellen Archer, Carole D. Kelly, Sally Ann Bisch.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Archer, Sarah Ellen.</t>
        </is>
      </c>
      <c r="N375" t="inlineStr">
        <is>
          <t>St. Louis : Mosby, c1984.</t>
        </is>
      </c>
      <c r="O375" t="inlineStr">
        <is>
          <t>1984</t>
        </is>
      </c>
      <c r="Q375" t="inlineStr">
        <is>
          <t>eng</t>
        </is>
      </c>
      <c r="R375" t="inlineStr">
        <is>
          <t>xxu</t>
        </is>
      </c>
      <c r="T375" t="inlineStr">
        <is>
          <t xml:space="preserve">WA </t>
        </is>
      </c>
      <c r="U375" t="n">
        <v>5</v>
      </c>
      <c r="V375" t="n">
        <v>5</v>
      </c>
      <c r="W375" t="inlineStr">
        <is>
          <t>2000-11-21</t>
        </is>
      </c>
      <c r="X375" t="inlineStr">
        <is>
          <t>2000-11-21</t>
        </is>
      </c>
      <c r="Y375" t="inlineStr">
        <is>
          <t>1987-10-05</t>
        </is>
      </c>
      <c r="Z375" t="inlineStr">
        <is>
          <t>1987-10-05</t>
        </is>
      </c>
      <c r="AA375" t="n">
        <v>339</v>
      </c>
      <c r="AB375" t="n">
        <v>277</v>
      </c>
      <c r="AC375" t="n">
        <v>284</v>
      </c>
      <c r="AD375" t="n">
        <v>2</v>
      </c>
      <c r="AE375" t="n">
        <v>2</v>
      </c>
      <c r="AF375" t="n">
        <v>8</v>
      </c>
      <c r="AG375" t="n">
        <v>8</v>
      </c>
      <c r="AH375" t="n">
        <v>4</v>
      </c>
      <c r="AI375" t="n">
        <v>4</v>
      </c>
      <c r="AJ375" t="n">
        <v>1</v>
      </c>
      <c r="AK375" t="n">
        <v>1</v>
      </c>
      <c r="AL375" t="n">
        <v>6</v>
      </c>
      <c r="AM375" t="n">
        <v>6</v>
      </c>
      <c r="AN375" t="n">
        <v>1</v>
      </c>
      <c r="AO375" t="n">
        <v>1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HYPERLINK("http://catalog.hathitrust.org/Record/000448349","HathiTrust Record")</f>
        <v/>
      </c>
      <c r="AU375">
        <f>HYPERLINK("https://creighton-primo.hosted.exlibrisgroup.com/primo-explore/search?tab=default_tab&amp;search_scope=EVERYTHING&amp;vid=01CRU&amp;lang=en_US&amp;offset=0&amp;query=any,contains,991000754239702656","Catalog Record")</f>
        <v/>
      </c>
      <c r="AV375">
        <f>HYPERLINK("http://www.worldcat.org/oclc/9853861","WorldCat Record")</f>
        <v/>
      </c>
      <c r="AW375" t="inlineStr">
        <is>
          <t>312614620:eng</t>
        </is>
      </c>
      <c r="AX375" t="inlineStr">
        <is>
          <t>9853861</t>
        </is>
      </c>
      <c r="AY375" t="inlineStr">
        <is>
          <t>991000754239702656</t>
        </is>
      </c>
      <c r="AZ375" t="inlineStr">
        <is>
          <t>991000754239702656</t>
        </is>
      </c>
      <c r="BA375" t="inlineStr">
        <is>
          <t>2271695290002656</t>
        </is>
      </c>
      <c r="BB375" t="inlineStr">
        <is>
          <t>BOOK</t>
        </is>
      </c>
      <c r="BD375" t="inlineStr">
        <is>
          <t>9780801603006</t>
        </is>
      </c>
      <c r="BE375" t="inlineStr">
        <is>
          <t>30001000052060</t>
        </is>
      </c>
      <c r="BF375" t="inlineStr">
        <is>
          <t>893120343</t>
        </is>
      </c>
    </row>
    <row r="376">
      <c r="A376" t="inlineStr">
        <is>
          <t>No</t>
        </is>
      </c>
      <c r="B376" t="inlineStr">
        <is>
          <t>CUHSL</t>
        </is>
      </c>
      <c r="C376" t="inlineStr">
        <is>
          <t>SHELVES</t>
        </is>
      </c>
      <c r="D376" t="inlineStr">
        <is>
          <t>WA 546.1 D491c 1991</t>
        </is>
      </c>
      <c r="E376" t="inlineStr">
        <is>
          <t>0                      WA 0546100D  491c        1991</t>
        </is>
      </c>
      <c r="F376" t="inlineStr">
        <is>
          <t>Community health analysis : global awareness at the local level / G.E. Alan Dever.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Dever, G. E. Alan.</t>
        </is>
      </c>
      <c r="N376" t="inlineStr">
        <is>
          <t>Gaithersburg, Md. : Aspen Publishers, c1991.</t>
        </is>
      </c>
      <c r="O376" t="inlineStr">
        <is>
          <t>1991</t>
        </is>
      </c>
      <c r="P376" t="inlineStr">
        <is>
          <t>2nd ed.</t>
        </is>
      </c>
      <c r="Q376" t="inlineStr">
        <is>
          <t>eng</t>
        </is>
      </c>
      <c r="R376" t="inlineStr">
        <is>
          <t>mdu</t>
        </is>
      </c>
      <c r="T376" t="inlineStr">
        <is>
          <t xml:space="preserve">WA </t>
        </is>
      </c>
      <c r="U376" t="n">
        <v>7</v>
      </c>
      <c r="V376" t="n">
        <v>7</v>
      </c>
      <c r="W376" t="inlineStr">
        <is>
          <t>2003-07-19</t>
        </is>
      </c>
      <c r="X376" t="inlineStr">
        <is>
          <t>2003-07-19</t>
        </is>
      </c>
      <c r="Y376" t="inlineStr">
        <is>
          <t>1991-06-13</t>
        </is>
      </c>
      <c r="Z376" t="inlineStr">
        <is>
          <t>1991-06-13</t>
        </is>
      </c>
      <c r="AA376" t="n">
        <v>304</v>
      </c>
      <c r="AB376" t="n">
        <v>266</v>
      </c>
      <c r="AC376" t="n">
        <v>266</v>
      </c>
      <c r="AD376" t="n">
        <v>2</v>
      </c>
      <c r="AE376" t="n">
        <v>2</v>
      </c>
      <c r="AF376" t="n">
        <v>12</v>
      </c>
      <c r="AG376" t="n">
        <v>12</v>
      </c>
      <c r="AH376" t="n">
        <v>4</v>
      </c>
      <c r="AI376" t="n">
        <v>4</v>
      </c>
      <c r="AJ376" t="n">
        <v>3</v>
      </c>
      <c r="AK376" t="n">
        <v>3</v>
      </c>
      <c r="AL376" t="n">
        <v>9</v>
      </c>
      <c r="AM376" t="n">
        <v>9</v>
      </c>
      <c r="AN376" t="n">
        <v>1</v>
      </c>
      <c r="AO376" t="n">
        <v>1</v>
      </c>
      <c r="AP376" t="n">
        <v>0</v>
      </c>
      <c r="AQ376" t="n">
        <v>0</v>
      </c>
      <c r="AR376" t="inlineStr">
        <is>
          <t>No</t>
        </is>
      </c>
      <c r="AS376" t="inlineStr">
        <is>
          <t>No</t>
        </is>
      </c>
      <c r="AU376">
        <f>HYPERLINK("https://creighton-primo.hosted.exlibrisgroup.com/primo-explore/search?tab=default_tab&amp;search_scope=EVERYTHING&amp;vid=01CRU&amp;lang=en_US&amp;offset=0&amp;query=any,contains,991000938729702656","Catalog Record")</f>
        <v/>
      </c>
      <c r="AV376">
        <f>HYPERLINK("http://www.worldcat.org/oclc/22665350","WorldCat Record")</f>
        <v/>
      </c>
      <c r="AW376" t="inlineStr">
        <is>
          <t>250175609:eng</t>
        </is>
      </c>
      <c r="AX376" t="inlineStr">
        <is>
          <t>22665350</t>
        </is>
      </c>
      <c r="AY376" t="inlineStr">
        <is>
          <t>991000938729702656</t>
        </is>
      </c>
      <c r="AZ376" t="inlineStr">
        <is>
          <t>991000938729702656</t>
        </is>
      </c>
      <c r="BA376" t="inlineStr">
        <is>
          <t>2257329830002656</t>
        </is>
      </c>
      <c r="BB376" t="inlineStr">
        <is>
          <t>BOOK</t>
        </is>
      </c>
      <c r="BD376" t="inlineStr">
        <is>
          <t>9780834201910</t>
        </is>
      </c>
      <c r="BE376" t="inlineStr">
        <is>
          <t>30001002192013</t>
        </is>
      </c>
      <c r="BF376" t="inlineStr">
        <is>
          <t>893278503</t>
        </is>
      </c>
    </row>
    <row r="377">
      <c r="A377" t="inlineStr">
        <is>
          <t>No</t>
        </is>
      </c>
      <c r="B377" t="inlineStr">
        <is>
          <t>CUHSL</t>
        </is>
      </c>
      <c r="C377" t="inlineStr">
        <is>
          <t>SHELVES</t>
        </is>
      </c>
      <c r="D377" t="inlineStr">
        <is>
          <t>WA546.1 H4343 2004</t>
        </is>
      </c>
      <c r="E377" t="inlineStr">
        <is>
          <t>0                      WA 0546100H  4343        2004</t>
        </is>
      </c>
      <c r="F377" t="inlineStr">
        <is>
          <t>Health financing for poor people : resource mobilization and risk sharing / editors, Alexander S. Preker and Guy Carrin.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N377" t="inlineStr">
        <is>
          <t>Washington, DC : World Bank ; Geneva : Worlh Health Organization : International Labour Office, 2004.</t>
        </is>
      </c>
      <c r="O377" t="inlineStr">
        <is>
          <t>2004</t>
        </is>
      </c>
      <c r="Q377" t="inlineStr">
        <is>
          <t>eng</t>
        </is>
      </c>
      <c r="R377" t="inlineStr">
        <is>
          <t>dcu</t>
        </is>
      </c>
      <c r="T377" t="inlineStr">
        <is>
          <t xml:space="preserve">WA </t>
        </is>
      </c>
      <c r="U377" t="n">
        <v>1</v>
      </c>
      <c r="V377" t="n">
        <v>1</v>
      </c>
      <c r="W377" t="inlineStr">
        <is>
          <t>2007-09-20</t>
        </is>
      </c>
      <c r="X377" t="inlineStr">
        <is>
          <t>2007-09-20</t>
        </is>
      </c>
      <c r="Y377" t="inlineStr">
        <is>
          <t>2007-03-28</t>
        </is>
      </c>
      <c r="Z377" t="inlineStr">
        <is>
          <t>2007-03-28</t>
        </is>
      </c>
      <c r="AA377" t="n">
        <v>201</v>
      </c>
      <c r="AB377" t="n">
        <v>136</v>
      </c>
      <c r="AC377" t="n">
        <v>1145</v>
      </c>
      <c r="AD377" t="n">
        <v>2</v>
      </c>
      <c r="AE377" t="n">
        <v>31</v>
      </c>
      <c r="AF377" t="n">
        <v>5</v>
      </c>
      <c r="AG377" t="n">
        <v>37</v>
      </c>
      <c r="AH377" t="n">
        <v>0</v>
      </c>
      <c r="AI377" t="n">
        <v>12</v>
      </c>
      <c r="AJ377" t="n">
        <v>3</v>
      </c>
      <c r="AK377" t="n">
        <v>7</v>
      </c>
      <c r="AL377" t="n">
        <v>2</v>
      </c>
      <c r="AM377" t="n">
        <v>9</v>
      </c>
      <c r="AN377" t="n">
        <v>1</v>
      </c>
      <c r="AO377" t="n">
        <v>12</v>
      </c>
      <c r="AP377" t="n">
        <v>0</v>
      </c>
      <c r="AQ377" t="n">
        <v>1</v>
      </c>
      <c r="AR377" t="inlineStr">
        <is>
          <t>No</t>
        </is>
      </c>
      <c r="AS377" t="inlineStr">
        <is>
          <t>No</t>
        </is>
      </c>
      <c r="AU377">
        <f>HYPERLINK("https://creighton-primo.hosted.exlibrisgroup.com/primo-explore/search?tab=default_tab&amp;search_scope=EVERYTHING&amp;vid=01CRU&amp;lang=en_US&amp;offset=0&amp;query=any,contains,991000604679702656","Catalog Record")</f>
        <v/>
      </c>
      <c r="AV377">
        <f>HYPERLINK("http://www.worldcat.org/oclc/52520644","WorldCat Record")</f>
        <v/>
      </c>
      <c r="AW377" t="inlineStr">
        <is>
          <t>896238971:eng</t>
        </is>
      </c>
      <c r="AX377" t="inlineStr">
        <is>
          <t>52520644</t>
        </is>
      </c>
      <c r="AY377" t="inlineStr">
        <is>
          <t>991000604679702656</t>
        </is>
      </c>
      <c r="AZ377" t="inlineStr">
        <is>
          <t>991000604679702656</t>
        </is>
      </c>
      <c r="BA377" t="inlineStr">
        <is>
          <t>2269572810002656</t>
        </is>
      </c>
      <c r="BB377" t="inlineStr">
        <is>
          <t>BOOK</t>
        </is>
      </c>
      <c r="BD377" t="inlineStr">
        <is>
          <t>9780821355251</t>
        </is>
      </c>
      <c r="BE377" t="inlineStr">
        <is>
          <t>30001005127248</t>
        </is>
      </c>
      <c r="BF377" t="inlineStr">
        <is>
          <t>893266876</t>
        </is>
      </c>
    </row>
    <row r="378">
      <c r="A378" t="inlineStr">
        <is>
          <t>No</t>
        </is>
      </c>
      <c r="B378" t="inlineStr">
        <is>
          <t>CUHSL</t>
        </is>
      </c>
      <c r="C378" t="inlineStr">
        <is>
          <t>SHELVES</t>
        </is>
      </c>
      <c r="D378" t="inlineStr">
        <is>
          <t>WA 590 B829c 1994</t>
        </is>
      </c>
      <c r="E378" t="inlineStr">
        <is>
          <t>0                      WA 0590000B  829c        1994</t>
        </is>
      </c>
      <c r="F378" t="inlineStr">
        <is>
          <t>Community health education : settings, roles, and skills for the 21st century / Donald J. Breckon, John R. Harvey, R. Brick Lancaster.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Breckon, David J.</t>
        </is>
      </c>
      <c r="N378" t="inlineStr">
        <is>
          <t>Gaithersburg, Md. : Aspen Publishers, Inc., c1994.</t>
        </is>
      </c>
      <c r="O378" t="inlineStr">
        <is>
          <t>1994</t>
        </is>
      </c>
      <c r="P378" t="inlineStr">
        <is>
          <t>3rd ed.</t>
        </is>
      </c>
      <c r="Q378" t="inlineStr">
        <is>
          <t>eng</t>
        </is>
      </c>
      <c r="R378" t="inlineStr">
        <is>
          <t>mdu</t>
        </is>
      </c>
      <c r="T378" t="inlineStr">
        <is>
          <t xml:space="preserve">WA </t>
        </is>
      </c>
      <c r="U378" t="n">
        <v>8</v>
      </c>
      <c r="V378" t="n">
        <v>8</v>
      </c>
      <c r="W378" t="inlineStr">
        <is>
          <t>2000-04-06</t>
        </is>
      </c>
      <c r="X378" t="inlineStr">
        <is>
          <t>2000-04-06</t>
        </is>
      </c>
      <c r="Y378" t="inlineStr">
        <is>
          <t>1994-03-31</t>
        </is>
      </c>
      <c r="Z378" t="inlineStr">
        <is>
          <t>1994-03-31</t>
        </is>
      </c>
      <c r="AA378" t="n">
        <v>242</v>
      </c>
      <c r="AB378" t="n">
        <v>207</v>
      </c>
      <c r="AC378" t="n">
        <v>543</v>
      </c>
      <c r="AD378" t="n">
        <v>3</v>
      </c>
      <c r="AE378" t="n">
        <v>7</v>
      </c>
      <c r="AF378" t="n">
        <v>6</v>
      </c>
      <c r="AG378" t="n">
        <v>21</v>
      </c>
      <c r="AH378" t="n">
        <v>2</v>
      </c>
      <c r="AI378" t="n">
        <v>6</v>
      </c>
      <c r="AJ378" t="n">
        <v>0</v>
      </c>
      <c r="AK378" t="n">
        <v>4</v>
      </c>
      <c r="AL378" t="n">
        <v>3</v>
      </c>
      <c r="AM378" t="n">
        <v>12</v>
      </c>
      <c r="AN378" t="n">
        <v>2</v>
      </c>
      <c r="AO378" t="n">
        <v>5</v>
      </c>
      <c r="AP378" t="n">
        <v>0</v>
      </c>
      <c r="AQ378" t="n">
        <v>1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HYPERLINK("http://catalog.hathitrust.org/Record/004547728","HathiTrust Record")</f>
        <v/>
      </c>
      <c r="AU378">
        <f>HYPERLINK("https://creighton-primo.hosted.exlibrisgroup.com/primo-explore/search?tab=default_tab&amp;search_scope=EVERYTHING&amp;vid=01CRU&amp;lang=en_US&amp;offset=0&amp;query=any,contains,991001161449702656","Catalog Record")</f>
        <v/>
      </c>
      <c r="AV378">
        <f>HYPERLINK("http://www.worldcat.org/oclc/29430077","WorldCat Record")</f>
        <v/>
      </c>
      <c r="AW378" t="inlineStr">
        <is>
          <t>903518591:eng</t>
        </is>
      </c>
      <c r="AX378" t="inlineStr">
        <is>
          <t>29430077</t>
        </is>
      </c>
      <c r="AY378" t="inlineStr">
        <is>
          <t>991001161449702656</t>
        </is>
      </c>
      <c r="AZ378" t="inlineStr">
        <is>
          <t>991001161449702656</t>
        </is>
      </c>
      <c r="BA378" t="inlineStr">
        <is>
          <t>2259851240002656</t>
        </is>
      </c>
      <c r="BB378" t="inlineStr">
        <is>
          <t>BOOK</t>
        </is>
      </c>
      <c r="BD378" t="inlineStr">
        <is>
          <t>9780834205260</t>
        </is>
      </c>
      <c r="BE378" t="inlineStr">
        <is>
          <t>30001002974170</t>
        </is>
      </c>
      <c r="BF378" t="inlineStr">
        <is>
          <t>893358290</t>
        </is>
      </c>
    </row>
    <row r="379">
      <c r="A379" t="inlineStr">
        <is>
          <t>No</t>
        </is>
      </c>
      <c r="B379" t="inlineStr">
        <is>
          <t>CUHSL</t>
        </is>
      </c>
      <c r="C379" t="inlineStr">
        <is>
          <t>SHELVES</t>
        </is>
      </c>
      <c r="D379" t="inlineStr">
        <is>
          <t>WA590 B918e 2000</t>
        </is>
      </c>
      <c r="E379" t="inlineStr">
        <is>
          <t>0                      WA 0590000B  918e        2000</t>
        </is>
      </c>
      <c r="F379" t="inlineStr">
        <is>
          <t>An ethic for health promotion : rethinking the sources of human well-being / David R. Buchanan.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1</t>
        </is>
      </c>
      <c r="M379" t="inlineStr">
        <is>
          <t>Buchanan, David Ross.</t>
        </is>
      </c>
      <c r="N379" t="inlineStr">
        <is>
          <t>New York : Oxford University Press, 2000.</t>
        </is>
      </c>
      <c r="O379" t="inlineStr">
        <is>
          <t>2000</t>
        </is>
      </c>
      <c r="Q379" t="inlineStr">
        <is>
          <t>eng</t>
        </is>
      </c>
      <c r="R379" t="inlineStr">
        <is>
          <t>nyu</t>
        </is>
      </c>
      <c r="T379" t="inlineStr">
        <is>
          <t xml:space="preserve">WA </t>
        </is>
      </c>
      <c r="U379" t="n">
        <v>16</v>
      </c>
      <c r="V379" t="n">
        <v>16</v>
      </c>
      <c r="W379" t="inlineStr">
        <is>
          <t>2008-12-18</t>
        </is>
      </c>
      <c r="X379" t="inlineStr">
        <is>
          <t>2008-12-18</t>
        </is>
      </c>
      <c r="Y379" t="inlineStr">
        <is>
          <t>2002-06-06</t>
        </is>
      </c>
      <c r="Z379" t="inlineStr">
        <is>
          <t>2002-06-06</t>
        </is>
      </c>
      <c r="AA379" t="n">
        <v>372</v>
      </c>
      <c r="AB379" t="n">
        <v>280</v>
      </c>
      <c r="AC379" t="n">
        <v>1134</v>
      </c>
      <c r="AD379" t="n">
        <v>1</v>
      </c>
      <c r="AE379" t="n">
        <v>14</v>
      </c>
      <c r="AF379" t="n">
        <v>14</v>
      </c>
      <c r="AG379" t="n">
        <v>49</v>
      </c>
      <c r="AH379" t="n">
        <v>5</v>
      </c>
      <c r="AI379" t="n">
        <v>16</v>
      </c>
      <c r="AJ379" t="n">
        <v>4</v>
      </c>
      <c r="AK379" t="n">
        <v>12</v>
      </c>
      <c r="AL379" t="n">
        <v>9</v>
      </c>
      <c r="AM379" t="n">
        <v>16</v>
      </c>
      <c r="AN379" t="n">
        <v>0</v>
      </c>
      <c r="AO379" t="n">
        <v>12</v>
      </c>
      <c r="AP379" t="n">
        <v>0</v>
      </c>
      <c r="AQ379" t="n">
        <v>2</v>
      </c>
      <c r="AR379" t="inlineStr">
        <is>
          <t>No</t>
        </is>
      </c>
      <c r="AS379" t="inlineStr">
        <is>
          <t>Yes</t>
        </is>
      </c>
      <c r="AT379">
        <f>HYPERLINK("http://catalog.hathitrust.org/Record/003452281","HathiTrust Record")</f>
        <v/>
      </c>
      <c r="AU379">
        <f>HYPERLINK("https://creighton-primo.hosted.exlibrisgroup.com/primo-explore/search?tab=default_tab&amp;search_scope=EVERYTHING&amp;vid=01CRU&amp;lang=en_US&amp;offset=0&amp;query=any,contains,991001713949702656","Catalog Record")</f>
        <v/>
      </c>
      <c r="AV379">
        <f>HYPERLINK("http://www.worldcat.org/oclc/41266034","WorldCat Record")</f>
        <v/>
      </c>
      <c r="AW379" t="inlineStr">
        <is>
          <t>797258282:eng</t>
        </is>
      </c>
      <c r="AX379" t="inlineStr">
        <is>
          <t>41266034</t>
        </is>
      </c>
      <c r="AY379" t="inlineStr">
        <is>
          <t>991001713949702656</t>
        </is>
      </c>
      <c r="AZ379" t="inlineStr">
        <is>
          <t>991001713949702656</t>
        </is>
      </c>
      <c r="BA379" t="inlineStr">
        <is>
          <t>2262767130002656</t>
        </is>
      </c>
      <c r="BB379" t="inlineStr">
        <is>
          <t>BOOK</t>
        </is>
      </c>
      <c r="BD379" t="inlineStr">
        <is>
          <t>9780195130577</t>
        </is>
      </c>
      <c r="BE379" t="inlineStr">
        <is>
          <t>30001004237857</t>
        </is>
      </c>
      <c r="BF379" t="inlineStr">
        <is>
          <t>893274405</t>
        </is>
      </c>
    </row>
    <row r="380">
      <c r="A380" t="inlineStr">
        <is>
          <t>No</t>
        </is>
      </c>
      <c r="B380" t="inlineStr">
        <is>
          <t>CUHSL</t>
        </is>
      </c>
      <c r="C380" t="inlineStr">
        <is>
          <t>SHELVES</t>
        </is>
      </c>
      <c r="D380" t="inlineStr">
        <is>
          <t>WA590 C734 1997</t>
        </is>
      </c>
      <c r="E380" t="inlineStr">
        <is>
          <t>0                      WA 0590000C  734         1997</t>
        </is>
      </c>
      <c r="F380" t="inlineStr">
        <is>
          <t>Community health education and promotion : a guide to program design and evaluation / Aspen Reference Group ; Sara Nell Di Lima, manager ; Christina S. Schust, editor.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Gaithersburg, Md. : Aspen Publishers, c1997.</t>
        </is>
      </c>
      <c r="O380" t="inlineStr">
        <is>
          <t>1997</t>
        </is>
      </c>
      <c r="Q380" t="inlineStr">
        <is>
          <t>eng</t>
        </is>
      </c>
      <c r="R380" t="inlineStr">
        <is>
          <t>mdu</t>
        </is>
      </c>
      <c r="T380" t="inlineStr">
        <is>
          <t xml:space="preserve">WA </t>
        </is>
      </c>
      <c r="U380" t="n">
        <v>25</v>
      </c>
      <c r="V380" t="n">
        <v>25</v>
      </c>
      <c r="W380" t="inlineStr">
        <is>
          <t>2000-03-12</t>
        </is>
      </c>
      <c r="X380" t="inlineStr">
        <is>
          <t>2000-03-12</t>
        </is>
      </c>
      <c r="Y380" t="inlineStr">
        <is>
          <t>1998-02-25</t>
        </is>
      </c>
      <c r="Z380" t="inlineStr">
        <is>
          <t>1998-02-25</t>
        </is>
      </c>
      <c r="AA380" t="n">
        <v>257</v>
      </c>
      <c r="AB380" t="n">
        <v>226</v>
      </c>
      <c r="AC380" t="n">
        <v>233</v>
      </c>
      <c r="AD380" t="n">
        <v>2</v>
      </c>
      <c r="AE380" t="n">
        <v>2</v>
      </c>
      <c r="AF380" t="n">
        <v>7</v>
      </c>
      <c r="AG380" t="n">
        <v>7</v>
      </c>
      <c r="AH380" t="n">
        <v>1</v>
      </c>
      <c r="AI380" t="n">
        <v>1</v>
      </c>
      <c r="AJ380" t="n">
        <v>4</v>
      </c>
      <c r="AK380" t="n">
        <v>4</v>
      </c>
      <c r="AL380" t="n">
        <v>5</v>
      </c>
      <c r="AM380" t="n">
        <v>5</v>
      </c>
      <c r="AN380" t="n">
        <v>1</v>
      </c>
      <c r="AO380" t="n">
        <v>1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HYPERLINK("http://catalog.hathitrust.org/Record/004567895","HathiTrust Record")</f>
        <v/>
      </c>
      <c r="AU380">
        <f>HYPERLINK("https://creighton-primo.hosted.exlibrisgroup.com/primo-explore/search?tab=default_tab&amp;search_scope=EVERYTHING&amp;vid=01CRU&amp;lang=en_US&amp;offset=0&amp;query=any,contains,991001261989702656","Catalog Record")</f>
        <v/>
      </c>
      <c r="AV380">
        <f>HYPERLINK("http://www.worldcat.org/oclc/36252762","WorldCat Record")</f>
        <v/>
      </c>
      <c r="AW380" t="inlineStr">
        <is>
          <t>927312209:eng</t>
        </is>
      </c>
      <c r="AX380" t="inlineStr">
        <is>
          <t>36252762</t>
        </is>
      </c>
      <c r="AY380" t="inlineStr">
        <is>
          <t>991001261989702656</t>
        </is>
      </c>
      <c r="AZ380" t="inlineStr">
        <is>
          <t>991001261989702656</t>
        </is>
      </c>
      <c r="BA380" t="inlineStr">
        <is>
          <t>2261722300002656</t>
        </is>
      </c>
      <c r="BB380" t="inlineStr">
        <is>
          <t>BOOK</t>
        </is>
      </c>
      <c r="BD380" t="inlineStr">
        <is>
          <t>9780834209534</t>
        </is>
      </c>
      <c r="BE380" t="inlineStr">
        <is>
          <t>30001003691435</t>
        </is>
      </c>
      <c r="BF380" t="inlineStr">
        <is>
          <t>893134401</t>
        </is>
      </c>
    </row>
    <row r="381">
      <c r="A381" t="inlineStr">
        <is>
          <t>No</t>
        </is>
      </c>
      <c r="B381" t="inlineStr">
        <is>
          <t>CUHSL</t>
        </is>
      </c>
      <c r="C381" t="inlineStr">
        <is>
          <t>SHELVES</t>
        </is>
      </c>
      <c r="D381" t="inlineStr">
        <is>
          <t>WA590 C968 2001</t>
        </is>
      </c>
      <c r="E381" t="inlineStr">
        <is>
          <t>0                      WA 0590000C  968         2001</t>
        </is>
      </c>
      <c r="F381" t="inlineStr">
        <is>
          <t>Cultivating health : cultural perspectives on promoting health / edited by Malcolm MacLachlan.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N381" t="inlineStr">
        <is>
          <t>Chichester ; New York : Wiley, c2001.</t>
        </is>
      </c>
      <c r="O381" t="inlineStr">
        <is>
          <t>2001</t>
        </is>
      </c>
      <c r="Q381" t="inlineStr">
        <is>
          <t>eng</t>
        </is>
      </c>
      <c r="R381" t="inlineStr">
        <is>
          <t>enk</t>
        </is>
      </c>
      <c r="T381" t="inlineStr">
        <is>
          <t xml:space="preserve">WA </t>
        </is>
      </c>
      <c r="U381" t="n">
        <v>0</v>
      </c>
      <c r="V381" t="n">
        <v>0</v>
      </c>
      <c r="W381" t="inlineStr">
        <is>
          <t>2004-06-06</t>
        </is>
      </c>
      <c r="X381" t="inlineStr">
        <is>
          <t>2004-06-06</t>
        </is>
      </c>
      <c r="Y381" t="inlineStr">
        <is>
          <t>2004-06-06</t>
        </is>
      </c>
      <c r="Z381" t="inlineStr">
        <is>
          <t>2004-06-06</t>
        </is>
      </c>
      <c r="AA381" t="n">
        <v>234</v>
      </c>
      <c r="AB381" t="n">
        <v>167</v>
      </c>
      <c r="AC381" t="n">
        <v>174</v>
      </c>
      <c r="AD381" t="n">
        <v>1</v>
      </c>
      <c r="AE381" t="n">
        <v>1</v>
      </c>
      <c r="AF381" t="n">
        <v>6</v>
      </c>
      <c r="AG381" t="n">
        <v>6</v>
      </c>
      <c r="AH381" t="n">
        <v>3</v>
      </c>
      <c r="AI381" t="n">
        <v>3</v>
      </c>
      <c r="AJ381" t="n">
        <v>2</v>
      </c>
      <c r="AK381" t="n">
        <v>2</v>
      </c>
      <c r="AL381" t="n">
        <v>3</v>
      </c>
      <c r="AM381" t="n">
        <v>3</v>
      </c>
      <c r="AN381" t="n">
        <v>0</v>
      </c>
      <c r="AO381" t="n">
        <v>0</v>
      </c>
      <c r="AP381" t="n">
        <v>0</v>
      </c>
      <c r="AQ381" t="n">
        <v>0</v>
      </c>
      <c r="AR381" t="inlineStr">
        <is>
          <t>No</t>
        </is>
      </c>
      <c r="AS381" t="inlineStr">
        <is>
          <t>Yes</t>
        </is>
      </c>
      <c r="AT381">
        <f>HYPERLINK("http://catalog.hathitrust.org/Record/004146572","HathiTrust Record")</f>
        <v/>
      </c>
      <c r="AU381">
        <f>HYPERLINK("https://creighton-primo.hosted.exlibrisgroup.com/primo-explore/search?tab=default_tab&amp;search_scope=EVERYTHING&amp;vid=01CRU&amp;lang=en_US&amp;offset=0&amp;query=any,contains,991000372959702656","Catalog Record")</f>
        <v/>
      </c>
      <c r="AV381">
        <f>HYPERLINK("http://www.worldcat.org/oclc/44578884","WorldCat Record")</f>
        <v/>
      </c>
      <c r="AW381" t="inlineStr">
        <is>
          <t>837039118:eng</t>
        </is>
      </c>
      <c r="AX381" t="inlineStr">
        <is>
          <t>44578884</t>
        </is>
      </c>
      <c r="AY381" t="inlineStr">
        <is>
          <t>991000372959702656</t>
        </is>
      </c>
      <c r="AZ381" t="inlineStr">
        <is>
          <t>991000372959702656</t>
        </is>
      </c>
      <c r="BA381" t="inlineStr">
        <is>
          <t>2269995210002656</t>
        </is>
      </c>
      <c r="BB381" t="inlineStr">
        <is>
          <t>BOOK</t>
        </is>
      </c>
      <c r="BD381" t="inlineStr">
        <is>
          <t>9780471496205</t>
        </is>
      </c>
      <c r="BE381" t="inlineStr">
        <is>
          <t>30001004921294</t>
        </is>
      </c>
      <c r="BF381" t="inlineStr">
        <is>
          <t>893537125</t>
        </is>
      </c>
    </row>
    <row r="382">
      <c r="A382" t="inlineStr">
        <is>
          <t>No</t>
        </is>
      </c>
      <c r="B382" t="inlineStr">
        <is>
          <t>CUHSL</t>
        </is>
      </c>
      <c r="C382" t="inlineStr">
        <is>
          <t>SHELVES</t>
        </is>
      </c>
      <c r="D382" t="inlineStr">
        <is>
          <t>WA 590 D751h 1990</t>
        </is>
      </c>
      <c r="E382" t="inlineStr">
        <is>
          <t>0                      WA 0590000D  751h        1990</t>
        </is>
      </c>
      <c r="F382" t="inlineStr">
        <is>
          <t>Health promotion : models and values / R.S. Downie, Carol Fyfe, and Andrew Tannahill.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Downie, R. S. (Robert Silcock)</t>
        </is>
      </c>
      <c r="N382" t="inlineStr">
        <is>
          <t>Oxford ; New York : Oxford University Press, c1990.</t>
        </is>
      </c>
      <c r="O382" t="inlineStr">
        <is>
          <t>1990</t>
        </is>
      </c>
      <c r="Q382" t="inlineStr">
        <is>
          <t>eng</t>
        </is>
      </c>
      <c r="R382" t="inlineStr">
        <is>
          <t>enk</t>
        </is>
      </c>
      <c r="S382" t="inlineStr">
        <is>
          <t>Oxford medical publications</t>
        </is>
      </c>
      <c r="T382" t="inlineStr">
        <is>
          <t xml:space="preserve">WA </t>
        </is>
      </c>
      <c r="U382" t="n">
        <v>13</v>
      </c>
      <c r="V382" t="n">
        <v>13</v>
      </c>
      <c r="W382" t="inlineStr">
        <is>
          <t>2000-04-06</t>
        </is>
      </c>
      <c r="X382" t="inlineStr">
        <is>
          <t>2000-04-06</t>
        </is>
      </c>
      <c r="Y382" t="inlineStr">
        <is>
          <t>1991-03-08</t>
        </is>
      </c>
      <c r="Z382" t="inlineStr">
        <is>
          <t>1991-03-08</t>
        </is>
      </c>
      <c r="AA382" t="n">
        <v>328</v>
      </c>
      <c r="AB382" t="n">
        <v>207</v>
      </c>
      <c r="AC382" t="n">
        <v>293</v>
      </c>
      <c r="AD382" t="n">
        <v>2</v>
      </c>
      <c r="AE382" t="n">
        <v>2</v>
      </c>
      <c r="AF382" t="n">
        <v>9</v>
      </c>
      <c r="AG382" t="n">
        <v>11</v>
      </c>
      <c r="AH382" t="n">
        <v>5</v>
      </c>
      <c r="AI382" t="n">
        <v>6</v>
      </c>
      <c r="AJ382" t="n">
        <v>1</v>
      </c>
      <c r="AK382" t="n">
        <v>2</v>
      </c>
      <c r="AL382" t="n">
        <v>4</v>
      </c>
      <c r="AM382" t="n">
        <v>5</v>
      </c>
      <c r="AN382" t="n">
        <v>1</v>
      </c>
      <c r="AO382" t="n">
        <v>1</v>
      </c>
      <c r="AP382" t="n">
        <v>0</v>
      </c>
      <c r="AQ382" t="n">
        <v>0</v>
      </c>
      <c r="AR382" t="inlineStr">
        <is>
          <t>No</t>
        </is>
      </c>
      <c r="AS382" t="inlineStr">
        <is>
          <t>No</t>
        </is>
      </c>
      <c r="AU382">
        <f>HYPERLINK("https://creighton-primo.hosted.exlibrisgroup.com/primo-explore/search?tab=default_tab&amp;search_scope=EVERYTHING&amp;vid=01CRU&amp;lang=en_US&amp;offset=0&amp;query=any,contains,991000825599702656","Catalog Record")</f>
        <v/>
      </c>
      <c r="AV382">
        <f>HYPERLINK("http://www.worldcat.org/oclc/20393408","WorldCat Record")</f>
        <v/>
      </c>
      <c r="AW382" t="inlineStr">
        <is>
          <t>22694849:eng</t>
        </is>
      </c>
      <c r="AX382" t="inlineStr">
        <is>
          <t>20393408</t>
        </is>
      </c>
      <c r="AY382" t="inlineStr">
        <is>
          <t>991000825599702656</t>
        </is>
      </c>
      <c r="AZ382" t="inlineStr">
        <is>
          <t>991000825599702656</t>
        </is>
      </c>
      <c r="BA382" t="inlineStr">
        <is>
          <t>2256504670002656</t>
        </is>
      </c>
      <c r="BB382" t="inlineStr">
        <is>
          <t>BOOK</t>
        </is>
      </c>
      <c r="BD382" t="inlineStr">
        <is>
          <t>9780192617392</t>
        </is>
      </c>
      <c r="BE382" t="inlineStr">
        <is>
          <t>30001002088559</t>
        </is>
      </c>
      <c r="BF382" t="inlineStr">
        <is>
          <t>893459893</t>
        </is>
      </c>
    </row>
    <row r="383">
      <c r="A383" t="inlineStr">
        <is>
          <t>No</t>
        </is>
      </c>
      <c r="B383" t="inlineStr">
        <is>
          <t>CUHSL</t>
        </is>
      </c>
      <c r="C383" t="inlineStr">
        <is>
          <t>SHELVES</t>
        </is>
      </c>
      <c r="D383" t="inlineStr">
        <is>
          <t>WA 590 H2356 1990</t>
        </is>
      </c>
      <c r="E383" t="inlineStr">
        <is>
          <t>0                      WA 0590000H  2356        1990</t>
        </is>
      </c>
      <c r="F383" t="inlineStr">
        <is>
          <t>The Handbook of health behavior change / Sally A. Shumaker, Eleanor Schron, Judith K. Ockene, senior editors ; Christine Parker, Jeffrey Probstfield, Joan Wolle, co-editors.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1</t>
        </is>
      </c>
      <c r="N383" t="inlineStr">
        <is>
          <t>New York : Springer Pub. Co., c1990.</t>
        </is>
      </c>
      <c r="O383" t="inlineStr">
        <is>
          <t>1990</t>
        </is>
      </c>
      <c r="Q383" t="inlineStr">
        <is>
          <t>eng</t>
        </is>
      </c>
      <c r="R383" t="inlineStr">
        <is>
          <t>xxu</t>
        </is>
      </c>
      <c r="T383" t="inlineStr">
        <is>
          <t xml:space="preserve">WA </t>
        </is>
      </c>
      <c r="U383" t="n">
        <v>19</v>
      </c>
      <c r="V383" t="n">
        <v>19</v>
      </c>
      <c r="W383" t="inlineStr">
        <is>
          <t>2004-06-07</t>
        </is>
      </c>
      <c r="X383" t="inlineStr">
        <is>
          <t>2004-06-07</t>
        </is>
      </c>
      <c r="Y383" t="inlineStr">
        <is>
          <t>1991-04-05</t>
        </is>
      </c>
      <c r="Z383" t="inlineStr">
        <is>
          <t>1991-04-05</t>
        </is>
      </c>
      <c r="AA383" t="n">
        <v>335</v>
      </c>
      <c r="AB383" t="n">
        <v>273</v>
      </c>
      <c r="AC383" t="n">
        <v>1514</v>
      </c>
      <c r="AD383" t="n">
        <v>2</v>
      </c>
      <c r="AE383" t="n">
        <v>15</v>
      </c>
      <c r="AF383" t="n">
        <v>16</v>
      </c>
      <c r="AG383" t="n">
        <v>62</v>
      </c>
      <c r="AH383" t="n">
        <v>4</v>
      </c>
      <c r="AI383" t="n">
        <v>24</v>
      </c>
      <c r="AJ383" t="n">
        <v>4</v>
      </c>
      <c r="AK383" t="n">
        <v>12</v>
      </c>
      <c r="AL383" t="n">
        <v>12</v>
      </c>
      <c r="AM383" t="n">
        <v>22</v>
      </c>
      <c r="AN383" t="n">
        <v>1</v>
      </c>
      <c r="AO383" t="n">
        <v>13</v>
      </c>
      <c r="AP383" t="n">
        <v>0</v>
      </c>
      <c r="AQ383" t="n">
        <v>2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HYPERLINK("http://catalog.hathitrust.org/Record/004488555","HathiTrust Record")</f>
        <v/>
      </c>
      <c r="AU383">
        <f>HYPERLINK("https://creighton-primo.hosted.exlibrisgroup.com/primo-explore/search?tab=default_tab&amp;search_scope=EVERYTHING&amp;vid=01CRU&amp;lang=en_US&amp;offset=0&amp;query=any,contains,991000827199702656","Catalog Record")</f>
        <v/>
      </c>
      <c r="AV383">
        <f>HYPERLINK("http://www.worldcat.org/oclc/20827936","WorldCat Record")</f>
        <v/>
      </c>
      <c r="AW383" t="inlineStr">
        <is>
          <t>1044586178:eng</t>
        </is>
      </c>
      <c r="AX383" t="inlineStr">
        <is>
          <t>20827936</t>
        </is>
      </c>
      <c r="AY383" t="inlineStr">
        <is>
          <t>991000827199702656</t>
        </is>
      </c>
      <c r="AZ383" t="inlineStr">
        <is>
          <t>991000827199702656</t>
        </is>
      </c>
      <c r="BA383" t="inlineStr">
        <is>
          <t>2267871580002656</t>
        </is>
      </c>
      <c r="BB383" t="inlineStr">
        <is>
          <t>BOOK</t>
        </is>
      </c>
      <c r="BD383" t="inlineStr">
        <is>
          <t>9780826167804</t>
        </is>
      </c>
      <c r="BE383" t="inlineStr">
        <is>
          <t>30001002089318</t>
        </is>
      </c>
      <c r="BF383" t="inlineStr">
        <is>
          <t>893642648</t>
        </is>
      </c>
    </row>
    <row r="384">
      <c r="A384" t="inlineStr">
        <is>
          <t>No</t>
        </is>
      </c>
      <c r="B384" t="inlineStr">
        <is>
          <t>CUHSL</t>
        </is>
      </c>
      <c r="C384" t="inlineStr">
        <is>
          <t>SHELVES</t>
        </is>
      </c>
      <c r="D384" t="inlineStr">
        <is>
          <t>WA 590 H4332 1986</t>
        </is>
      </c>
      <c r="E384" t="inlineStr">
        <is>
          <t>0                      WA 0590000H  4332        1986</t>
        </is>
      </c>
      <c r="F384" t="inlineStr">
        <is>
          <t>Health behaviour research and health promotion / edited by Robert Anderson ... [et al.].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N384" t="inlineStr">
        <is>
          <t>Oxford ; New York : Oxford University Press, c1988.</t>
        </is>
      </c>
      <c r="O384" t="inlineStr">
        <is>
          <t>1988</t>
        </is>
      </c>
      <c r="Q384" t="inlineStr">
        <is>
          <t>eng</t>
        </is>
      </c>
      <c r="R384" t="inlineStr">
        <is>
          <t>enk</t>
        </is>
      </c>
      <c r="S384" t="inlineStr">
        <is>
          <t>Oxford medical publications</t>
        </is>
      </c>
      <c r="T384" t="inlineStr">
        <is>
          <t xml:space="preserve">WA </t>
        </is>
      </c>
      <c r="U384" t="n">
        <v>5</v>
      </c>
      <c r="V384" t="n">
        <v>5</v>
      </c>
      <c r="W384" t="inlineStr">
        <is>
          <t>1994-07-01</t>
        </is>
      </c>
      <c r="X384" t="inlineStr">
        <is>
          <t>1994-07-01</t>
        </is>
      </c>
      <c r="Y384" t="inlineStr">
        <is>
          <t>1991-03-08</t>
        </is>
      </c>
      <c r="Z384" t="inlineStr">
        <is>
          <t>1991-03-08</t>
        </is>
      </c>
      <c r="AA384" t="n">
        <v>223</v>
      </c>
      <c r="AB384" t="n">
        <v>131</v>
      </c>
      <c r="AC384" t="n">
        <v>135</v>
      </c>
      <c r="AD384" t="n">
        <v>2</v>
      </c>
      <c r="AE384" t="n">
        <v>2</v>
      </c>
      <c r="AF384" t="n">
        <v>5</v>
      </c>
      <c r="AG384" t="n">
        <v>5</v>
      </c>
      <c r="AH384" t="n">
        <v>1</v>
      </c>
      <c r="AI384" t="n">
        <v>1</v>
      </c>
      <c r="AJ384" t="n">
        <v>2</v>
      </c>
      <c r="AK384" t="n">
        <v>2</v>
      </c>
      <c r="AL384" t="n">
        <v>2</v>
      </c>
      <c r="AM384" t="n">
        <v>2</v>
      </c>
      <c r="AN384" t="n">
        <v>1</v>
      </c>
      <c r="AO384" t="n">
        <v>1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HYPERLINK("http://catalog.hathitrust.org/Record/001090365","HathiTrust Record")</f>
        <v/>
      </c>
      <c r="AU384">
        <f>HYPERLINK("https://creighton-primo.hosted.exlibrisgroup.com/primo-explore/search?tab=default_tab&amp;search_scope=EVERYTHING&amp;vid=01CRU&amp;lang=en_US&amp;offset=0&amp;query=any,contains,991000814739702656","Catalog Record")</f>
        <v/>
      </c>
      <c r="AV384">
        <f>HYPERLINK("http://www.worldcat.org/oclc/17954464","WorldCat Record")</f>
        <v/>
      </c>
      <c r="AW384" t="inlineStr">
        <is>
          <t>55092896:eng</t>
        </is>
      </c>
      <c r="AX384" t="inlineStr">
        <is>
          <t>17954464</t>
        </is>
      </c>
      <c r="AY384" t="inlineStr">
        <is>
          <t>991000814739702656</t>
        </is>
      </c>
      <c r="AZ384" t="inlineStr">
        <is>
          <t>991000814739702656</t>
        </is>
      </c>
      <c r="BA384" t="inlineStr">
        <is>
          <t>2259203010002656</t>
        </is>
      </c>
      <c r="BB384" t="inlineStr">
        <is>
          <t>BOOK</t>
        </is>
      </c>
      <c r="BD384" t="inlineStr">
        <is>
          <t>9780192616005</t>
        </is>
      </c>
      <c r="BE384" t="inlineStr">
        <is>
          <t>30001002085787</t>
        </is>
      </c>
      <c r="BF384" t="inlineStr">
        <is>
          <t>893459888</t>
        </is>
      </c>
    </row>
    <row r="385">
      <c r="A385" t="inlineStr">
        <is>
          <t>No</t>
        </is>
      </c>
      <c r="B385" t="inlineStr">
        <is>
          <t>CUHSL</t>
        </is>
      </c>
      <c r="C385" t="inlineStr">
        <is>
          <t>SHELVES</t>
        </is>
      </c>
      <c r="D385" t="inlineStr">
        <is>
          <t>WA 590 H434 1991</t>
        </is>
      </c>
      <c r="E385" t="inlineStr">
        <is>
          <t>0                      WA 0590000H  434         1991</t>
        </is>
      </c>
      <c r="F385" t="inlineStr">
        <is>
          <t>A healthy America : the challenge for states.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N385" t="inlineStr">
        <is>
          <t>Washington : National Governors' Association, c1991.</t>
        </is>
      </c>
      <c r="O385" t="inlineStr">
        <is>
          <t>1991</t>
        </is>
      </c>
      <c r="Q385" t="inlineStr">
        <is>
          <t>eng</t>
        </is>
      </c>
      <c r="R385" t="inlineStr">
        <is>
          <t>dcu</t>
        </is>
      </c>
      <c r="T385" t="inlineStr">
        <is>
          <t xml:space="preserve">WA </t>
        </is>
      </c>
      <c r="U385" t="n">
        <v>2</v>
      </c>
      <c r="V385" t="n">
        <v>2</v>
      </c>
      <c r="W385" t="inlineStr">
        <is>
          <t>1991-10-21</t>
        </is>
      </c>
      <c r="X385" t="inlineStr">
        <is>
          <t>1991-10-21</t>
        </is>
      </c>
      <c r="Y385" t="inlineStr">
        <is>
          <t>1991-09-24</t>
        </is>
      </c>
      <c r="Z385" t="inlineStr">
        <is>
          <t>1991-09-24</t>
        </is>
      </c>
      <c r="AA385" t="n">
        <v>60</v>
      </c>
      <c r="AB385" t="n">
        <v>57</v>
      </c>
      <c r="AC385" t="n">
        <v>57</v>
      </c>
      <c r="AD385" t="n">
        <v>2</v>
      </c>
      <c r="AE385" t="n">
        <v>2</v>
      </c>
      <c r="AF385" t="n">
        <v>4</v>
      </c>
      <c r="AG385" t="n">
        <v>4</v>
      </c>
      <c r="AH385" t="n">
        <v>1</v>
      </c>
      <c r="AI385" t="n">
        <v>1</v>
      </c>
      <c r="AJ385" t="n">
        <v>1</v>
      </c>
      <c r="AK385" t="n">
        <v>1</v>
      </c>
      <c r="AL385" t="n">
        <v>2</v>
      </c>
      <c r="AM385" t="n">
        <v>2</v>
      </c>
      <c r="AN385" t="n">
        <v>0</v>
      </c>
      <c r="AO385" t="n">
        <v>0</v>
      </c>
      <c r="AP385" t="n">
        <v>1</v>
      </c>
      <c r="AQ385" t="n">
        <v>1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HYPERLINK("https://creighton-primo.hosted.exlibrisgroup.com/primo-explore/search?tab=default_tab&amp;search_scope=EVERYTHING&amp;vid=01CRU&amp;lang=en_US&amp;offset=0&amp;query=any,contains,991000947409702656","Catalog Record")</f>
        <v/>
      </c>
      <c r="AV385">
        <f>HYPERLINK("http://www.worldcat.org/oclc/24384137","WorldCat Record")</f>
        <v/>
      </c>
      <c r="AW385" t="inlineStr">
        <is>
          <t>29418155:eng</t>
        </is>
      </c>
      <c r="AX385" t="inlineStr">
        <is>
          <t>24384137</t>
        </is>
      </c>
      <c r="AY385" t="inlineStr">
        <is>
          <t>991000947409702656</t>
        </is>
      </c>
      <c r="AZ385" t="inlineStr">
        <is>
          <t>991000947409702656</t>
        </is>
      </c>
      <c r="BA385" t="inlineStr">
        <is>
          <t>2259907040002656</t>
        </is>
      </c>
      <c r="BB385" t="inlineStr">
        <is>
          <t>BOOK</t>
        </is>
      </c>
      <c r="BD385" t="inlineStr">
        <is>
          <t>9781558771253</t>
        </is>
      </c>
      <c r="BE385" t="inlineStr">
        <is>
          <t>30001002194175</t>
        </is>
      </c>
      <c r="BF385" t="inlineStr">
        <is>
          <t>893546232</t>
        </is>
      </c>
    </row>
    <row r="386">
      <c r="A386" t="inlineStr">
        <is>
          <t>No</t>
        </is>
      </c>
      <c r="B386" t="inlineStr">
        <is>
          <t>CUHSL</t>
        </is>
      </c>
      <c r="C386" t="inlineStr">
        <is>
          <t>SHELVES</t>
        </is>
      </c>
      <c r="D386" t="inlineStr">
        <is>
          <t>WA 590 H4348 1980</t>
        </is>
      </c>
      <c r="E386" t="inlineStr">
        <is>
          <t>0                      WA 0590000H  4348        1980</t>
        </is>
      </c>
      <c r="F386" t="inlineStr">
        <is>
          <t>Health education planning : a diagnostic approach / Lawrence W. Green ... [et al.].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N386" t="inlineStr">
        <is>
          <t>Palo Alto, Calif. : Mayfield Publishing Co., c1980.</t>
        </is>
      </c>
      <c r="O386" t="inlineStr">
        <is>
          <t>1980</t>
        </is>
      </c>
      <c r="P386" t="inlineStr">
        <is>
          <t>1st ed.</t>
        </is>
      </c>
      <c r="Q386" t="inlineStr">
        <is>
          <t>eng</t>
        </is>
      </c>
      <c r="R386" t="inlineStr">
        <is>
          <t>xxu</t>
        </is>
      </c>
      <c r="T386" t="inlineStr">
        <is>
          <t xml:space="preserve">WA </t>
        </is>
      </c>
      <c r="U386" t="n">
        <v>17</v>
      </c>
      <c r="V386" t="n">
        <v>17</v>
      </c>
      <c r="W386" t="inlineStr">
        <is>
          <t>2001-02-25</t>
        </is>
      </c>
      <c r="X386" t="inlineStr">
        <is>
          <t>2001-02-25</t>
        </is>
      </c>
      <c r="Y386" t="inlineStr">
        <is>
          <t>1987-10-05</t>
        </is>
      </c>
      <c r="Z386" t="inlineStr">
        <is>
          <t>1987-10-05</t>
        </is>
      </c>
      <c r="AA386" t="n">
        <v>374</v>
      </c>
      <c r="AB386" t="n">
        <v>293</v>
      </c>
      <c r="AC386" t="n">
        <v>300</v>
      </c>
      <c r="AD386" t="n">
        <v>3</v>
      </c>
      <c r="AE386" t="n">
        <v>3</v>
      </c>
      <c r="AF386" t="n">
        <v>5</v>
      </c>
      <c r="AG386" t="n">
        <v>5</v>
      </c>
      <c r="AH386" t="n">
        <v>2</v>
      </c>
      <c r="AI386" t="n">
        <v>2</v>
      </c>
      <c r="AJ386" t="n">
        <v>1</v>
      </c>
      <c r="AK386" t="n">
        <v>1</v>
      </c>
      <c r="AL386" t="n">
        <v>1</v>
      </c>
      <c r="AM386" t="n">
        <v>1</v>
      </c>
      <c r="AN386" t="n">
        <v>1</v>
      </c>
      <c r="AO386" t="n">
        <v>1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HYPERLINK("http://catalog.hathitrust.org/Record/000266262","HathiTrust Record")</f>
        <v/>
      </c>
      <c r="AU386">
        <f>HYPERLINK("https://creighton-primo.hosted.exlibrisgroup.com/primo-explore/search?tab=default_tab&amp;search_scope=EVERYTHING&amp;vid=01CRU&amp;lang=en_US&amp;offset=0&amp;query=any,contains,991000754409702656","Catalog Record")</f>
        <v/>
      </c>
      <c r="AV386">
        <f>HYPERLINK("http://www.worldcat.org/oclc/5935187","WorldCat Record")</f>
        <v/>
      </c>
      <c r="AW386" t="inlineStr">
        <is>
          <t>522514:eng</t>
        </is>
      </c>
      <c r="AX386" t="inlineStr">
        <is>
          <t>5935187</t>
        </is>
      </c>
      <c r="AY386" t="inlineStr">
        <is>
          <t>991000754409702656</t>
        </is>
      </c>
      <c r="AZ386" t="inlineStr">
        <is>
          <t>991000754409702656</t>
        </is>
      </c>
      <c r="BA386" t="inlineStr">
        <is>
          <t>2255771010002656</t>
        </is>
      </c>
      <c r="BB386" t="inlineStr">
        <is>
          <t>BOOK</t>
        </is>
      </c>
      <c r="BD386" t="inlineStr">
        <is>
          <t>9780874844719</t>
        </is>
      </c>
      <c r="BE386" t="inlineStr">
        <is>
          <t>30001000052110</t>
        </is>
      </c>
      <c r="BF386" t="inlineStr">
        <is>
          <t>893825594</t>
        </is>
      </c>
    </row>
    <row r="387">
      <c r="A387" t="inlineStr">
        <is>
          <t>No</t>
        </is>
      </c>
      <c r="B387" t="inlineStr">
        <is>
          <t>CUHSL</t>
        </is>
      </c>
      <c r="C387" t="inlineStr">
        <is>
          <t>SHELVES</t>
        </is>
      </c>
      <c r="D387" t="inlineStr">
        <is>
          <t>WA 590 H439 1982</t>
        </is>
      </c>
      <c r="E387" t="inlineStr">
        <is>
          <t>0                      WA 0590000H  439         1982</t>
        </is>
      </c>
      <c r="F387" t="inlineStr">
        <is>
          <t>Health promotion, principles and clinical applications / editor, Robert B. Taylor, associate editors, John R. Ureda and John W. Denham.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N387" t="inlineStr">
        <is>
          <t>Norwalk, Conn. : Appleton-Century-Crofts, c1982.</t>
        </is>
      </c>
      <c r="O387" t="inlineStr">
        <is>
          <t>1982</t>
        </is>
      </c>
      <c r="Q387" t="inlineStr">
        <is>
          <t>eng</t>
        </is>
      </c>
      <c r="R387" t="inlineStr">
        <is>
          <t>xxu</t>
        </is>
      </c>
      <c r="T387" t="inlineStr">
        <is>
          <t xml:space="preserve">WA </t>
        </is>
      </c>
      <c r="U387" t="n">
        <v>8</v>
      </c>
      <c r="V387" t="n">
        <v>8</v>
      </c>
      <c r="W387" t="inlineStr">
        <is>
          <t>2004-10-09</t>
        </is>
      </c>
      <c r="X387" t="inlineStr">
        <is>
          <t>2004-10-09</t>
        </is>
      </c>
      <c r="Y387" t="inlineStr">
        <is>
          <t>1988-01-04</t>
        </is>
      </c>
      <c r="Z387" t="inlineStr">
        <is>
          <t>1988-01-04</t>
        </is>
      </c>
      <c r="AA387" t="n">
        <v>189</v>
      </c>
      <c r="AB387" t="n">
        <v>147</v>
      </c>
      <c r="AC387" t="n">
        <v>152</v>
      </c>
      <c r="AD387" t="n">
        <v>1</v>
      </c>
      <c r="AE387" t="n">
        <v>1</v>
      </c>
      <c r="AF387" t="n">
        <v>2</v>
      </c>
      <c r="AG387" t="n">
        <v>2</v>
      </c>
      <c r="AH387" t="n">
        <v>1</v>
      </c>
      <c r="AI387" t="n">
        <v>1</v>
      </c>
      <c r="AJ387" t="n">
        <v>0</v>
      </c>
      <c r="AK387" t="n">
        <v>0</v>
      </c>
      <c r="AL387" t="n">
        <v>2</v>
      </c>
      <c r="AM387" t="n">
        <v>2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HYPERLINK("https://creighton-primo.hosted.exlibrisgroup.com/primo-explore/search?tab=default_tab&amp;search_scope=EVERYTHING&amp;vid=01CRU&amp;lang=en_US&amp;offset=0&amp;query=any,contains,991000731279702656","Catalog Record")</f>
        <v/>
      </c>
      <c r="AV387">
        <f>HYPERLINK("http://www.worldcat.org/oclc/8051910","WorldCat Record")</f>
        <v/>
      </c>
      <c r="AW387" t="inlineStr">
        <is>
          <t>427447382:eng</t>
        </is>
      </c>
      <c r="AX387" t="inlineStr">
        <is>
          <t>8051910</t>
        </is>
      </c>
      <c r="AY387" t="inlineStr">
        <is>
          <t>991000731279702656</t>
        </is>
      </c>
      <c r="AZ387" t="inlineStr">
        <is>
          <t>991000731279702656</t>
        </is>
      </c>
      <c r="BA387" t="inlineStr">
        <is>
          <t>2259502420002656</t>
        </is>
      </c>
      <c r="BB387" t="inlineStr">
        <is>
          <t>BOOK</t>
        </is>
      </c>
      <c r="BD387" t="inlineStr">
        <is>
          <t>9780838536704</t>
        </is>
      </c>
      <c r="BE387" t="inlineStr">
        <is>
          <t>30001000708232</t>
        </is>
      </c>
      <c r="BF387" t="inlineStr">
        <is>
          <t>893735447</t>
        </is>
      </c>
    </row>
    <row r="388">
      <c r="A388" t="inlineStr">
        <is>
          <t>No</t>
        </is>
      </c>
      <c r="B388" t="inlineStr">
        <is>
          <t>CUHSL</t>
        </is>
      </c>
      <c r="C388" t="inlineStr">
        <is>
          <t>SHELVES</t>
        </is>
      </c>
      <c r="D388" t="inlineStr">
        <is>
          <t>WA 590 H646s 1990</t>
        </is>
      </c>
      <c r="E388" t="inlineStr">
        <is>
          <t>0                      WA 0590000H  646s        1990</t>
        </is>
      </c>
      <c r="F388" t="inlineStr">
        <is>
          <t>Self-care nursing : promotion of health / Lyda Hill, Nancy Smith.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Hill, Lyda, 1947-</t>
        </is>
      </c>
      <c r="N388" t="inlineStr">
        <is>
          <t>Norwalk, Conn. : Appleton &amp; Lange, c1990.</t>
        </is>
      </c>
      <c r="O388" t="inlineStr">
        <is>
          <t>1990</t>
        </is>
      </c>
      <c r="P388" t="inlineStr">
        <is>
          <t>2nd ed.</t>
        </is>
      </c>
      <c r="Q388" t="inlineStr">
        <is>
          <t>eng</t>
        </is>
      </c>
      <c r="R388" t="inlineStr">
        <is>
          <t>ctu</t>
        </is>
      </c>
      <c r="T388" t="inlineStr">
        <is>
          <t xml:space="preserve">WA </t>
        </is>
      </c>
      <c r="U388" t="n">
        <v>6</v>
      </c>
      <c r="V388" t="n">
        <v>6</v>
      </c>
      <c r="W388" t="inlineStr">
        <is>
          <t>1994-09-13</t>
        </is>
      </c>
      <c r="X388" t="inlineStr">
        <is>
          <t>1994-09-13</t>
        </is>
      </c>
      <c r="Y388" t="inlineStr">
        <is>
          <t>1993-03-26</t>
        </is>
      </c>
      <c r="Z388" t="inlineStr">
        <is>
          <t>1993-03-26</t>
        </is>
      </c>
      <c r="AA388" t="n">
        <v>222</v>
      </c>
      <c r="AB388" t="n">
        <v>169</v>
      </c>
      <c r="AC388" t="n">
        <v>305</v>
      </c>
      <c r="AD388" t="n">
        <v>2</v>
      </c>
      <c r="AE388" t="n">
        <v>3</v>
      </c>
      <c r="AF388" t="n">
        <v>8</v>
      </c>
      <c r="AG388" t="n">
        <v>12</v>
      </c>
      <c r="AH388" t="n">
        <v>2</v>
      </c>
      <c r="AI388" t="n">
        <v>4</v>
      </c>
      <c r="AJ388" t="n">
        <v>3</v>
      </c>
      <c r="AK388" t="n">
        <v>3</v>
      </c>
      <c r="AL388" t="n">
        <v>5</v>
      </c>
      <c r="AM388" t="n">
        <v>7</v>
      </c>
      <c r="AN388" t="n">
        <v>0</v>
      </c>
      <c r="AO388" t="n">
        <v>1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HYPERLINK("http://catalog.hathitrust.org/Record/001827645","HathiTrust Record")</f>
        <v/>
      </c>
      <c r="AU388">
        <f>HYPERLINK("https://creighton-primo.hosted.exlibrisgroup.com/primo-explore/search?tab=default_tab&amp;search_scope=EVERYTHING&amp;vid=01CRU&amp;lang=en_US&amp;offset=0&amp;query=any,contains,991001473549702656","Catalog Record")</f>
        <v/>
      </c>
      <c r="AV388">
        <f>HYPERLINK("http://www.worldcat.org/oclc/20352468","WorldCat Record")</f>
        <v/>
      </c>
      <c r="AW388" t="inlineStr">
        <is>
          <t>4096782:eng</t>
        </is>
      </c>
      <c r="AX388" t="inlineStr">
        <is>
          <t>20352468</t>
        </is>
      </c>
      <c r="AY388" t="inlineStr">
        <is>
          <t>991001473549702656</t>
        </is>
      </c>
      <c r="AZ388" t="inlineStr">
        <is>
          <t>991001473549702656</t>
        </is>
      </c>
      <c r="BA388" t="inlineStr">
        <is>
          <t>2268041880002656</t>
        </is>
      </c>
      <c r="BB388" t="inlineStr">
        <is>
          <t>BOOK</t>
        </is>
      </c>
      <c r="BD388" t="inlineStr">
        <is>
          <t>9780838585283</t>
        </is>
      </c>
      <c r="BE388" t="inlineStr">
        <is>
          <t>30001002563270</t>
        </is>
      </c>
      <c r="BF388" t="inlineStr">
        <is>
          <t>893546741</t>
        </is>
      </c>
    </row>
    <row r="389">
      <c r="A389" t="inlineStr">
        <is>
          <t>No</t>
        </is>
      </c>
      <c r="B389" t="inlineStr">
        <is>
          <t>CUHSL</t>
        </is>
      </c>
      <c r="C389" t="inlineStr">
        <is>
          <t>SHELVES</t>
        </is>
      </c>
      <c r="D389" t="inlineStr">
        <is>
          <t>WA590 L472h 2006</t>
        </is>
      </c>
      <c r="E389" t="inlineStr">
        <is>
          <t>0                      WA 0590000L  472h        2006</t>
        </is>
      </c>
      <c r="F389" t="inlineStr">
        <is>
          <t>Health promotion : mobilizing strengths to enhance health, wellness, and well-being / Susan Kun Leddy.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Leddy, Susan.</t>
        </is>
      </c>
      <c r="N389" t="inlineStr">
        <is>
          <t>Philadelphia : F.A. Davis, c2006.</t>
        </is>
      </c>
      <c r="O389" t="inlineStr">
        <is>
          <t>2006</t>
        </is>
      </c>
      <c r="Q389" t="inlineStr">
        <is>
          <t>eng</t>
        </is>
      </c>
      <c r="R389" t="inlineStr">
        <is>
          <t>pau</t>
        </is>
      </c>
      <c r="T389" t="inlineStr">
        <is>
          <t xml:space="preserve">WA </t>
        </is>
      </c>
      <c r="U389" t="n">
        <v>1</v>
      </c>
      <c r="V389" t="n">
        <v>1</v>
      </c>
      <c r="W389" t="inlineStr">
        <is>
          <t>2006-11-28</t>
        </is>
      </c>
      <c r="X389" t="inlineStr">
        <is>
          <t>2006-11-28</t>
        </is>
      </c>
      <c r="Y389" t="inlineStr">
        <is>
          <t>2006-11-09</t>
        </is>
      </c>
      <c r="Z389" t="inlineStr">
        <is>
          <t>2006-11-09</t>
        </is>
      </c>
      <c r="AA389" t="n">
        <v>257</v>
      </c>
      <c r="AB389" t="n">
        <v>182</v>
      </c>
      <c r="AC389" t="n">
        <v>532</v>
      </c>
      <c r="AD389" t="n">
        <v>1</v>
      </c>
      <c r="AE389" t="n">
        <v>13</v>
      </c>
      <c r="AF389" t="n">
        <v>13</v>
      </c>
      <c r="AG389" t="n">
        <v>26</v>
      </c>
      <c r="AH389" t="n">
        <v>5</v>
      </c>
      <c r="AI389" t="n">
        <v>10</v>
      </c>
      <c r="AJ389" t="n">
        <v>2</v>
      </c>
      <c r="AK389" t="n">
        <v>3</v>
      </c>
      <c r="AL389" t="n">
        <v>9</v>
      </c>
      <c r="AM389" t="n">
        <v>10</v>
      </c>
      <c r="AN389" t="n">
        <v>0</v>
      </c>
      <c r="AO389" t="n">
        <v>8</v>
      </c>
      <c r="AP389" t="n">
        <v>0</v>
      </c>
      <c r="AQ389" t="n">
        <v>0</v>
      </c>
      <c r="AR389" t="inlineStr">
        <is>
          <t>No</t>
        </is>
      </c>
      <c r="AS389" t="inlineStr">
        <is>
          <t>No</t>
        </is>
      </c>
      <c r="AU389">
        <f>HYPERLINK("https://creighton-primo.hosted.exlibrisgroup.com/primo-explore/search?tab=default_tab&amp;search_scope=EVERYTHING&amp;vid=01CRU&amp;lang=en_US&amp;offset=0&amp;query=any,contains,991001745889702656","Catalog Record")</f>
        <v/>
      </c>
      <c r="AV389">
        <f>HYPERLINK("http://www.worldcat.org/oclc/62302242","WorldCat Record")</f>
        <v/>
      </c>
      <c r="AW389" t="inlineStr">
        <is>
          <t>797223806:eng</t>
        </is>
      </c>
      <c r="AX389" t="inlineStr">
        <is>
          <t>62302242</t>
        </is>
      </c>
      <c r="AY389" t="inlineStr">
        <is>
          <t>991001745889702656</t>
        </is>
      </c>
      <c r="AZ389" t="inlineStr">
        <is>
          <t>991001745889702656</t>
        </is>
      </c>
      <c r="BA389" t="inlineStr">
        <is>
          <t>2260128690002656</t>
        </is>
      </c>
      <c r="BB389" t="inlineStr">
        <is>
          <t>BOOK</t>
        </is>
      </c>
      <c r="BD389" t="inlineStr">
        <is>
          <t>9780803614055</t>
        </is>
      </c>
      <c r="BE389" t="inlineStr">
        <is>
          <t>30001005176393</t>
        </is>
      </c>
      <c r="BF389" t="inlineStr">
        <is>
          <t>893541684</t>
        </is>
      </c>
    </row>
    <row r="390">
      <c r="A390" t="inlineStr">
        <is>
          <t>No</t>
        </is>
      </c>
      <c r="B390" t="inlineStr">
        <is>
          <t>CUHSL</t>
        </is>
      </c>
      <c r="C390" t="inlineStr">
        <is>
          <t>SHELVES</t>
        </is>
      </c>
      <c r="D390" t="inlineStr">
        <is>
          <t>WA 590 L654 2003</t>
        </is>
      </c>
      <c r="E390" t="inlineStr">
        <is>
          <t>0                      WA 0590000L  654         2003</t>
        </is>
      </c>
      <c r="F390" t="inlineStr">
        <is>
          <t>Meaningful life skills : reproducible activity handouts for older adults / by Estelle A. Leutenberg and Kathy L. Khalsa ; illustrated by Amy L. Brodsky.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Leutenberg, Estelle A.</t>
        </is>
      </c>
      <c r="N390" t="inlineStr">
        <is>
          <t>Plainview, NY : Wellness Reproductions &amp; Pub., c2003.</t>
        </is>
      </c>
      <c r="O390" t="inlineStr">
        <is>
          <t>2003</t>
        </is>
      </c>
      <c r="Q390" t="inlineStr">
        <is>
          <t>eng</t>
        </is>
      </c>
      <c r="R390" t="inlineStr">
        <is>
          <t>nyu</t>
        </is>
      </c>
      <c r="T390" t="inlineStr">
        <is>
          <t xml:space="preserve">WA </t>
        </is>
      </c>
      <c r="U390" t="n">
        <v>1</v>
      </c>
      <c r="V390" t="n">
        <v>1</v>
      </c>
      <c r="W390" t="inlineStr">
        <is>
          <t>2009-10-09</t>
        </is>
      </c>
      <c r="X390" t="inlineStr">
        <is>
          <t>2009-10-09</t>
        </is>
      </c>
      <c r="Y390" t="inlineStr">
        <is>
          <t>2009-09-08</t>
        </is>
      </c>
      <c r="Z390" t="inlineStr">
        <is>
          <t>2009-09-08</t>
        </is>
      </c>
      <c r="AA390" t="n">
        <v>43</v>
      </c>
      <c r="AB390" t="n">
        <v>34</v>
      </c>
      <c r="AC390" t="n">
        <v>34</v>
      </c>
      <c r="AD390" t="n">
        <v>1</v>
      </c>
      <c r="AE390" t="n">
        <v>1</v>
      </c>
      <c r="AF390" t="n">
        <v>1</v>
      </c>
      <c r="AG390" t="n">
        <v>1</v>
      </c>
      <c r="AH390" t="n">
        <v>0</v>
      </c>
      <c r="AI390" t="n">
        <v>0</v>
      </c>
      <c r="AJ390" t="n">
        <v>1</v>
      </c>
      <c r="AK390" t="n">
        <v>1</v>
      </c>
      <c r="AL390" t="n">
        <v>1</v>
      </c>
      <c r="AM390" t="n">
        <v>1</v>
      </c>
      <c r="AN390" t="n">
        <v>0</v>
      </c>
      <c r="AO390" t="n">
        <v>0</v>
      </c>
      <c r="AP390" t="n">
        <v>0</v>
      </c>
      <c r="AQ390" t="n">
        <v>0</v>
      </c>
      <c r="AR390" t="inlineStr">
        <is>
          <t>No</t>
        </is>
      </c>
      <c r="AS390" t="inlineStr">
        <is>
          <t>No</t>
        </is>
      </c>
      <c r="AU390">
        <f>HYPERLINK("https://creighton-primo.hosted.exlibrisgroup.com/primo-explore/search?tab=default_tab&amp;search_scope=EVERYTHING&amp;vid=01CRU&amp;lang=en_US&amp;offset=0&amp;query=any,contains,991001491509702656","Catalog Record")</f>
        <v/>
      </c>
      <c r="AV390">
        <f>HYPERLINK("http://www.worldcat.org/oclc/55657627","WorldCat Record")</f>
        <v/>
      </c>
      <c r="AW390" t="inlineStr">
        <is>
          <t>13719700:eng</t>
        </is>
      </c>
      <c r="AX390" t="inlineStr">
        <is>
          <t>55657627</t>
        </is>
      </c>
      <c r="AY390" t="inlineStr">
        <is>
          <t>991001491509702656</t>
        </is>
      </c>
      <c r="AZ390" t="inlineStr">
        <is>
          <t>991001491509702656</t>
        </is>
      </c>
      <c r="BA390" t="inlineStr">
        <is>
          <t>2259560640002656</t>
        </is>
      </c>
      <c r="BB390" t="inlineStr">
        <is>
          <t>BOOK</t>
        </is>
      </c>
      <c r="BD390" t="inlineStr">
        <is>
          <t>9781893277168</t>
        </is>
      </c>
      <c r="BE390" t="inlineStr">
        <is>
          <t>30001004919553</t>
        </is>
      </c>
      <c r="BF390" t="inlineStr">
        <is>
          <t>893460639</t>
        </is>
      </c>
    </row>
    <row r="391">
      <c r="A391" t="inlineStr">
        <is>
          <t>No</t>
        </is>
      </c>
      <c r="B391" t="inlineStr">
        <is>
          <t>CUHSL</t>
        </is>
      </c>
      <c r="C391" t="inlineStr">
        <is>
          <t>SHELVES</t>
        </is>
      </c>
      <c r="D391" t="inlineStr">
        <is>
          <t>WA 590 M629i 1989</t>
        </is>
      </c>
      <c r="E391" t="inlineStr">
        <is>
          <t>0                      WA 0590000M  629i        1989</t>
        </is>
      </c>
      <c r="F391" t="inlineStr">
        <is>
          <t>Individual, family, and community interventions to improve exercise and nutrition behaviors : report of proceedings of a Midwest Nursing Research Society Synthesis Conference, April 1, 1989, Cincinnati, Ohio / sponsored by Midwest Nursing Research Society ... [et al.] ; editors, Marie L. Lobo, Carol Loveland Cherry.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Midwest Nursing Research Society Synthesis Conference (1st : 1989 : Cincinnati, Ohio)</t>
        </is>
      </c>
      <c r="N391" t="inlineStr">
        <is>
          <t>Indianapolis, Ind. (550 W. North Street, Indianapolis, 46202) : Sigma Theta Tau International Honor Society of Nursing, c1989.</t>
        </is>
      </c>
      <c r="O391" t="inlineStr">
        <is>
          <t>1989</t>
        </is>
      </c>
      <c r="Q391" t="inlineStr">
        <is>
          <t>eng</t>
        </is>
      </c>
      <c r="R391" t="inlineStr">
        <is>
          <t>xxu</t>
        </is>
      </c>
      <c r="S391" t="inlineStr">
        <is>
          <t>Monograph ; ser. 89, 1</t>
        </is>
      </c>
      <c r="T391" t="inlineStr">
        <is>
          <t xml:space="preserve">WA </t>
        </is>
      </c>
      <c r="U391" t="n">
        <v>4</v>
      </c>
      <c r="V391" t="n">
        <v>4</v>
      </c>
      <c r="W391" t="inlineStr">
        <is>
          <t>1993-02-23</t>
        </is>
      </c>
      <c r="X391" t="inlineStr">
        <is>
          <t>1993-02-23</t>
        </is>
      </c>
      <c r="Y391" t="inlineStr">
        <is>
          <t>1990-05-09</t>
        </is>
      </c>
      <c r="Z391" t="inlineStr">
        <is>
          <t>1990-05-09</t>
        </is>
      </c>
      <c r="AA391" t="n">
        <v>6</v>
      </c>
      <c r="AB391" t="n">
        <v>5</v>
      </c>
      <c r="AC391" t="n">
        <v>5</v>
      </c>
      <c r="AD391" t="n">
        <v>1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inlineStr">
        <is>
          <t>No</t>
        </is>
      </c>
      <c r="AS391" t="inlineStr">
        <is>
          <t>No</t>
        </is>
      </c>
      <c r="AU391">
        <f>HYPERLINK("https://creighton-primo.hosted.exlibrisgroup.com/primo-explore/search?tab=default_tab&amp;search_scope=EVERYTHING&amp;vid=01CRU&amp;lang=en_US&amp;offset=0&amp;query=any,contains,991001371699702656","Catalog Record")</f>
        <v/>
      </c>
      <c r="AV391">
        <f>HYPERLINK("http://www.worldcat.org/oclc/22544241","WorldCat Record")</f>
        <v/>
      </c>
      <c r="AW391" t="inlineStr">
        <is>
          <t>24611723:eng</t>
        </is>
      </c>
      <c r="AX391" t="inlineStr">
        <is>
          <t>22544241</t>
        </is>
      </c>
      <c r="AY391" t="inlineStr">
        <is>
          <t>991001371699702656</t>
        </is>
      </c>
      <c r="AZ391" t="inlineStr">
        <is>
          <t>991001371699702656</t>
        </is>
      </c>
      <c r="BA391" t="inlineStr">
        <is>
          <t>2267064180002656</t>
        </is>
      </c>
      <c r="BB391" t="inlineStr">
        <is>
          <t>BOOK</t>
        </is>
      </c>
      <c r="BE391" t="inlineStr">
        <is>
          <t>30001001797937</t>
        </is>
      </c>
      <c r="BF391" t="inlineStr">
        <is>
          <t>893465441</t>
        </is>
      </c>
    </row>
    <row r="392">
      <c r="A392" t="inlineStr">
        <is>
          <t>No</t>
        </is>
      </c>
      <c r="B392" t="inlineStr">
        <is>
          <t>CUHSL</t>
        </is>
      </c>
      <c r="C392" t="inlineStr">
        <is>
          <t>SHELVES</t>
        </is>
      </c>
      <c r="D392" t="inlineStr">
        <is>
          <t>WA 590 O61p 1985</t>
        </is>
      </c>
      <c r="E392" t="inlineStr">
        <is>
          <t>0                      WA 0590000O  61p         1985</t>
        </is>
      </c>
      <c r="F392" t="inlineStr">
        <is>
          <t>A primer of health promotion : creating healthy organizational cultures / Joseph P. Opatz.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Opatz, Joseph P.</t>
        </is>
      </c>
      <c r="N392" t="inlineStr">
        <is>
          <t>Washington, D.C. : Oryn Publications, c1985.</t>
        </is>
      </c>
      <c r="O392" t="inlineStr">
        <is>
          <t>1985</t>
        </is>
      </c>
      <c r="Q392" t="inlineStr">
        <is>
          <t>eng</t>
        </is>
      </c>
      <c r="R392" t="inlineStr">
        <is>
          <t>xxu</t>
        </is>
      </c>
      <c r="T392" t="inlineStr">
        <is>
          <t xml:space="preserve">WA </t>
        </is>
      </c>
      <c r="U392" t="n">
        <v>13</v>
      </c>
      <c r="V392" t="n">
        <v>13</v>
      </c>
      <c r="W392" t="inlineStr">
        <is>
          <t>1994-07-26</t>
        </is>
      </c>
      <c r="X392" t="inlineStr">
        <is>
          <t>1994-07-26</t>
        </is>
      </c>
      <c r="Y392" t="inlineStr">
        <is>
          <t>1988-09-02</t>
        </is>
      </c>
      <c r="Z392" t="inlineStr">
        <is>
          <t>1988-09-02</t>
        </is>
      </c>
      <c r="AA392" t="n">
        <v>57</v>
      </c>
      <c r="AB392" t="n">
        <v>50</v>
      </c>
      <c r="AC392" t="n">
        <v>50</v>
      </c>
      <c r="AD392" t="n">
        <v>2</v>
      </c>
      <c r="AE392" t="n">
        <v>2</v>
      </c>
      <c r="AF392" t="n">
        <v>2</v>
      </c>
      <c r="AG392" t="n">
        <v>2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1</v>
      </c>
      <c r="AN392" t="n">
        <v>1</v>
      </c>
      <c r="AO392" t="n">
        <v>1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HYPERLINK("https://creighton-primo.hosted.exlibrisgroup.com/primo-explore/search?tab=default_tab&amp;search_scope=EVERYTHING&amp;vid=01CRU&amp;lang=en_US&amp;offset=0&amp;query=any,contains,991000731319702656","Catalog Record")</f>
        <v/>
      </c>
      <c r="AV392">
        <f>HYPERLINK("http://www.worldcat.org/oclc/11371957","WorldCat Record")</f>
        <v/>
      </c>
      <c r="AW392" t="inlineStr">
        <is>
          <t>3937973:eng</t>
        </is>
      </c>
      <c r="AX392" t="inlineStr">
        <is>
          <t>11371957</t>
        </is>
      </c>
      <c r="AY392" t="inlineStr">
        <is>
          <t>991000731319702656</t>
        </is>
      </c>
      <c r="AZ392" t="inlineStr">
        <is>
          <t>991000731319702656</t>
        </is>
      </c>
      <c r="BA392" t="inlineStr">
        <is>
          <t>2258833880002656</t>
        </is>
      </c>
      <c r="BB392" t="inlineStr">
        <is>
          <t>BOOK</t>
        </is>
      </c>
      <c r="BD392" t="inlineStr">
        <is>
          <t>9780916207090</t>
        </is>
      </c>
      <c r="BE392" t="inlineStr">
        <is>
          <t>30001000708265</t>
        </is>
      </c>
      <c r="BF392" t="inlineStr">
        <is>
          <t>893560467</t>
        </is>
      </c>
    </row>
    <row r="393">
      <c r="A393" t="inlineStr">
        <is>
          <t>No</t>
        </is>
      </c>
      <c r="B393" t="inlineStr">
        <is>
          <t>CUHSL</t>
        </is>
      </c>
      <c r="C393" t="inlineStr">
        <is>
          <t>SHELVES</t>
        </is>
      </c>
      <c r="D393" t="inlineStr">
        <is>
          <t>WA 590 P298 1979</t>
        </is>
      </c>
      <c r="E393" t="inlineStr">
        <is>
          <t>0                      WA 0590000P  298         1979</t>
        </is>
      </c>
      <c r="F393" t="inlineStr">
        <is>
          <t>Patient and family education : tools, techniques, and theory / edited by Rose-Marie Duda McCormick, Tamar Gilson-Parkevich.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N393" t="inlineStr">
        <is>
          <t>New York : Wiley, c1979.</t>
        </is>
      </c>
      <c r="O393" t="inlineStr">
        <is>
          <t>1979</t>
        </is>
      </c>
      <c r="Q393" t="inlineStr">
        <is>
          <t>eng</t>
        </is>
      </c>
      <c r="R393" t="inlineStr">
        <is>
          <t>nyu</t>
        </is>
      </c>
      <c r="S393" t="inlineStr">
        <is>
          <t>A Wiley medical publication</t>
        </is>
      </c>
      <c r="T393" t="inlineStr">
        <is>
          <t xml:space="preserve">WA </t>
        </is>
      </c>
      <c r="U393" t="n">
        <v>3</v>
      </c>
      <c r="V393" t="n">
        <v>3</v>
      </c>
      <c r="W393" t="inlineStr">
        <is>
          <t>1997-09-22</t>
        </is>
      </c>
      <c r="X393" t="inlineStr">
        <is>
          <t>1997-09-22</t>
        </is>
      </c>
      <c r="Y393" t="inlineStr">
        <is>
          <t>1988-01-04</t>
        </is>
      </c>
      <c r="Z393" t="inlineStr">
        <is>
          <t>1988-01-04</t>
        </is>
      </c>
      <c r="AA393" t="n">
        <v>286</v>
      </c>
      <c r="AB393" t="n">
        <v>228</v>
      </c>
      <c r="AC393" t="n">
        <v>231</v>
      </c>
      <c r="AD393" t="n">
        <v>3</v>
      </c>
      <c r="AE393" t="n">
        <v>3</v>
      </c>
      <c r="AF393" t="n">
        <v>10</v>
      </c>
      <c r="AG393" t="n">
        <v>10</v>
      </c>
      <c r="AH393" t="n">
        <v>2</v>
      </c>
      <c r="AI393" t="n">
        <v>2</v>
      </c>
      <c r="AJ393" t="n">
        <v>3</v>
      </c>
      <c r="AK393" t="n">
        <v>3</v>
      </c>
      <c r="AL393" t="n">
        <v>6</v>
      </c>
      <c r="AM393" t="n">
        <v>6</v>
      </c>
      <c r="AN393" t="n">
        <v>2</v>
      </c>
      <c r="AO393" t="n">
        <v>2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HYPERLINK("http://catalog.hathitrust.org/Record/000028493","HathiTrust Record")</f>
        <v/>
      </c>
      <c r="AU393">
        <f>HYPERLINK("https://creighton-primo.hosted.exlibrisgroup.com/primo-explore/search?tab=default_tab&amp;search_scope=EVERYTHING&amp;vid=01CRU&amp;lang=en_US&amp;offset=0&amp;query=any,contains,991000731469702656","Catalog Record")</f>
        <v/>
      </c>
      <c r="AV393">
        <f>HYPERLINK("http://www.worldcat.org/oclc/4775333","WorldCat Record")</f>
        <v/>
      </c>
      <c r="AW393" t="inlineStr">
        <is>
          <t>905816063:eng</t>
        </is>
      </c>
      <c r="AX393" t="inlineStr">
        <is>
          <t>4775333</t>
        </is>
      </c>
      <c r="AY393" t="inlineStr">
        <is>
          <t>991000731469702656</t>
        </is>
      </c>
      <c r="AZ393" t="inlineStr">
        <is>
          <t>991000731469702656</t>
        </is>
      </c>
      <c r="BA393" t="inlineStr">
        <is>
          <t>2255370460002656</t>
        </is>
      </c>
      <c r="BB393" t="inlineStr">
        <is>
          <t>BOOK</t>
        </is>
      </c>
      <c r="BD393" t="inlineStr">
        <is>
          <t>9780471042693</t>
        </is>
      </c>
      <c r="BE393" t="inlineStr">
        <is>
          <t>30001000708281</t>
        </is>
      </c>
      <c r="BF393" t="inlineStr">
        <is>
          <t>893464593</t>
        </is>
      </c>
    </row>
    <row r="394">
      <c r="A394" t="inlineStr">
        <is>
          <t>No</t>
        </is>
      </c>
      <c r="B394" t="inlineStr">
        <is>
          <t>CUHSL</t>
        </is>
      </c>
      <c r="C394" t="inlineStr">
        <is>
          <t>SHELVES</t>
        </is>
      </c>
      <c r="D394" t="inlineStr">
        <is>
          <t>WA 590 P965 1989</t>
        </is>
      </c>
      <c r="E394" t="inlineStr">
        <is>
          <t>0                      WA 0590000P  965         1989</t>
        </is>
      </c>
      <c r="F394" t="inlineStr">
        <is>
          <t>Promoting health in America : breakthroughs and harbingers.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N394" t="inlineStr">
        <is>
          <t>Battle Creek, Mich. : W.K. Kellogg Foundation, 1989.</t>
        </is>
      </c>
      <c r="O394" t="inlineStr">
        <is>
          <t>1989</t>
        </is>
      </c>
      <c r="Q394" t="inlineStr">
        <is>
          <t>eng</t>
        </is>
      </c>
      <c r="R394" t="inlineStr">
        <is>
          <t>miu</t>
        </is>
      </c>
      <c r="T394" t="inlineStr">
        <is>
          <t xml:space="preserve">WA </t>
        </is>
      </c>
      <c r="U394" t="n">
        <v>10</v>
      </c>
      <c r="V394" t="n">
        <v>10</v>
      </c>
      <c r="W394" t="inlineStr">
        <is>
          <t>1994-11-07</t>
        </is>
      </c>
      <c r="X394" t="inlineStr">
        <is>
          <t>1994-11-07</t>
        </is>
      </c>
      <c r="Y394" t="inlineStr">
        <is>
          <t>1989-06-28</t>
        </is>
      </c>
      <c r="Z394" t="inlineStr">
        <is>
          <t>1989-06-28</t>
        </is>
      </c>
      <c r="AA394" t="n">
        <v>34</v>
      </c>
      <c r="AB394" t="n">
        <v>34</v>
      </c>
      <c r="AC394" t="n">
        <v>34</v>
      </c>
      <c r="AD394" t="n">
        <v>1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HYPERLINK("https://creighton-primo.hosted.exlibrisgroup.com/primo-explore/search?tab=default_tab&amp;search_scope=EVERYTHING&amp;vid=01CRU&amp;lang=en_US&amp;offset=0&amp;query=any,contains,991001244939702656","Catalog Record")</f>
        <v/>
      </c>
      <c r="AV394">
        <f>HYPERLINK("http://www.worldcat.org/oclc/19678658","WorldCat Record")</f>
        <v/>
      </c>
      <c r="AW394" t="inlineStr">
        <is>
          <t>21566663:eng</t>
        </is>
      </c>
      <c r="AX394" t="inlineStr">
        <is>
          <t>19678658</t>
        </is>
      </c>
      <c r="AY394" t="inlineStr">
        <is>
          <t>991001244939702656</t>
        </is>
      </c>
      <c r="AZ394" t="inlineStr">
        <is>
          <t>991001244939702656</t>
        </is>
      </c>
      <c r="BA394" t="inlineStr">
        <is>
          <t>2268315590002656</t>
        </is>
      </c>
      <c r="BB394" t="inlineStr">
        <is>
          <t>BOOK</t>
        </is>
      </c>
      <c r="BE394" t="inlineStr">
        <is>
          <t>30001001676834</t>
        </is>
      </c>
      <c r="BF394" t="inlineStr">
        <is>
          <t>893736354</t>
        </is>
      </c>
    </row>
    <row r="395">
      <c r="A395" t="inlineStr">
        <is>
          <t>No</t>
        </is>
      </c>
      <c r="B395" t="inlineStr">
        <is>
          <t>CUHSL</t>
        </is>
      </c>
      <c r="C395" t="inlineStr">
        <is>
          <t>SHELVES</t>
        </is>
      </c>
      <c r="D395" t="inlineStr">
        <is>
          <t>WA590 R188s 1989</t>
        </is>
      </c>
      <c r="E395" t="inlineStr">
        <is>
          <t>0                      WA 0590000R  188s        1989</t>
        </is>
      </c>
      <c r="F395" t="inlineStr">
        <is>
          <t>Strategies for working with culturally diverse communities and clients / by Elizabeth Randall-David.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M395" t="inlineStr">
        <is>
          <t>Randall-David, Elizabeth, 1944-</t>
        </is>
      </c>
      <c r="N395" t="inlineStr">
        <is>
          <t>Washington, D.C. : Association for the Care of Children's Health, c1989.</t>
        </is>
      </c>
      <c r="O395" t="inlineStr">
        <is>
          <t>1989</t>
        </is>
      </c>
      <c r="P395" t="inlineStr">
        <is>
          <t>1st ed.</t>
        </is>
      </c>
      <c r="Q395" t="inlineStr">
        <is>
          <t>eng</t>
        </is>
      </c>
      <c r="R395" t="inlineStr">
        <is>
          <t>dcu</t>
        </is>
      </c>
      <c r="T395" t="inlineStr">
        <is>
          <t xml:space="preserve">WA </t>
        </is>
      </c>
      <c r="U395" t="n">
        <v>7</v>
      </c>
      <c r="V395" t="n">
        <v>7</v>
      </c>
      <c r="W395" t="inlineStr">
        <is>
          <t>1996-12-09</t>
        </is>
      </c>
      <c r="X395" t="inlineStr">
        <is>
          <t>1996-12-09</t>
        </is>
      </c>
      <c r="Y395" t="inlineStr">
        <is>
          <t>1993-12-01</t>
        </is>
      </c>
      <c r="Z395" t="inlineStr">
        <is>
          <t>1993-12-01</t>
        </is>
      </c>
      <c r="AA395" t="n">
        <v>91</v>
      </c>
      <c r="AB395" t="n">
        <v>86</v>
      </c>
      <c r="AC395" t="n">
        <v>91</v>
      </c>
      <c r="AD395" t="n">
        <v>2</v>
      </c>
      <c r="AE395" t="n">
        <v>2</v>
      </c>
      <c r="AF395" t="n">
        <v>3</v>
      </c>
      <c r="AG395" t="n">
        <v>3</v>
      </c>
      <c r="AH395" t="n">
        <v>1</v>
      </c>
      <c r="AI395" t="n">
        <v>1</v>
      </c>
      <c r="AJ395" t="n">
        <v>0</v>
      </c>
      <c r="AK395" t="n">
        <v>0</v>
      </c>
      <c r="AL395" t="n">
        <v>2</v>
      </c>
      <c r="AM395" t="n">
        <v>2</v>
      </c>
      <c r="AN395" t="n">
        <v>1</v>
      </c>
      <c r="AO395" t="n">
        <v>1</v>
      </c>
      <c r="AP395" t="n">
        <v>0</v>
      </c>
      <c r="AQ395" t="n">
        <v>0</v>
      </c>
      <c r="AR395" t="inlineStr">
        <is>
          <t>No</t>
        </is>
      </c>
      <c r="AS395" t="inlineStr">
        <is>
          <t>Yes</t>
        </is>
      </c>
      <c r="AT395">
        <f>HYPERLINK("http://catalog.hathitrust.org/Record/002168673","HathiTrust Record")</f>
        <v/>
      </c>
      <c r="AU395">
        <f>HYPERLINK("https://creighton-primo.hosted.exlibrisgroup.com/primo-explore/search?tab=default_tab&amp;search_scope=EVERYTHING&amp;vid=01CRU&amp;lang=en_US&amp;offset=0&amp;query=any,contains,991000545039702656","Catalog Record")</f>
        <v/>
      </c>
      <c r="AV395">
        <f>HYPERLINK("http://www.worldcat.org/oclc/23568560","WorldCat Record")</f>
        <v/>
      </c>
      <c r="AW395" t="inlineStr">
        <is>
          <t>24966148:eng</t>
        </is>
      </c>
      <c r="AX395" t="inlineStr">
        <is>
          <t>23568560</t>
        </is>
      </c>
      <c r="AY395" t="inlineStr">
        <is>
          <t>991000545039702656</t>
        </is>
      </c>
      <c r="AZ395" t="inlineStr">
        <is>
          <t>991000545039702656</t>
        </is>
      </c>
      <c r="BA395" t="inlineStr">
        <is>
          <t>2264703170002656</t>
        </is>
      </c>
      <c r="BB395" t="inlineStr">
        <is>
          <t>BOOK</t>
        </is>
      </c>
      <c r="BD395" t="inlineStr">
        <is>
          <t>9780937821589</t>
        </is>
      </c>
      <c r="BE395" t="inlineStr">
        <is>
          <t>30001002669911</t>
        </is>
      </c>
      <c r="BF395" t="inlineStr">
        <is>
          <t>893271401</t>
        </is>
      </c>
    </row>
    <row r="396">
      <c r="A396" t="inlineStr">
        <is>
          <t>No</t>
        </is>
      </c>
      <c r="B396" t="inlineStr">
        <is>
          <t>CUHSL</t>
        </is>
      </c>
      <c r="C396" t="inlineStr">
        <is>
          <t>SHELVES</t>
        </is>
      </c>
      <c r="D396" t="inlineStr">
        <is>
          <t>WA 670 S678d 1981</t>
        </is>
      </c>
      <c r="E396" t="inlineStr">
        <is>
          <t>0                      WA 0670000S  678d        1981</t>
        </is>
      </c>
      <c r="F396" t="inlineStr">
        <is>
          <t>Disease and the environment / edited by A.R. Rees, H.J. Purcell.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Society for Environmental Therapy. Inaugural Conference (1981 : Oxford, England)</t>
        </is>
      </c>
      <c r="N396" t="inlineStr">
        <is>
          <t>New York : Wiley, 1982.</t>
        </is>
      </c>
      <c r="O396" t="inlineStr">
        <is>
          <t>1982</t>
        </is>
      </c>
      <c r="Q396" t="inlineStr">
        <is>
          <t>eng</t>
        </is>
      </c>
      <c r="R396" t="inlineStr">
        <is>
          <t xml:space="preserve">xx </t>
        </is>
      </c>
      <c r="T396" t="inlineStr">
        <is>
          <t xml:space="preserve">WA </t>
        </is>
      </c>
      <c r="U396" t="n">
        <v>1</v>
      </c>
      <c r="V396" t="n">
        <v>1</v>
      </c>
      <c r="W396" t="inlineStr">
        <is>
          <t>2000-02-05</t>
        </is>
      </c>
      <c r="X396" t="inlineStr">
        <is>
          <t>2000-02-05</t>
        </is>
      </c>
      <c r="Y396" t="inlineStr">
        <is>
          <t>1988-01-04</t>
        </is>
      </c>
      <c r="Z396" t="inlineStr">
        <is>
          <t>1988-01-04</t>
        </is>
      </c>
      <c r="AA396" t="n">
        <v>134</v>
      </c>
      <c r="AB396" t="n">
        <v>84</v>
      </c>
      <c r="AC396" t="n">
        <v>88</v>
      </c>
      <c r="AD396" t="n">
        <v>1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0</v>
      </c>
      <c r="AR396" t="inlineStr">
        <is>
          <t>No</t>
        </is>
      </c>
      <c r="AS396" t="inlineStr">
        <is>
          <t>No</t>
        </is>
      </c>
      <c r="AU396">
        <f>HYPERLINK("https://creighton-primo.hosted.exlibrisgroup.com/primo-explore/search?tab=default_tab&amp;search_scope=EVERYTHING&amp;vid=01CRU&amp;lang=en_US&amp;offset=0&amp;query=any,contains,991000731829702656","Catalog Record")</f>
        <v/>
      </c>
      <c r="AV396">
        <f>HYPERLINK("http://www.worldcat.org/oclc/11089508","WorldCat Record")</f>
        <v/>
      </c>
      <c r="AW396" t="inlineStr">
        <is>
          <t>905775359:eng</t>
        </is>
      </c>
      <c r="AX396" t="inlineStr">
        <is>
          <t>11089508</t>
        </is>
      </c>
      <c r="AY396" t="inlineStr">
        <is>
          <t>991000731829702656</t>
        </is>
      </c>
      <c r="AZ396" t="inlineStr">
        <is>
          <t>991000731829702656</t>
        </is>
      </c>
      <c r="BA396" t="inlineStr">
        <is>
          <t>2262182900002656</t>
        </is>
      </c>
      <c r="BB396" t="inlineStr">
        <is>
          <t>BOOK</t>
        </is>
      </c>
      <c r="BE396" t="inlineStr">
        <is>
          <t>30001000708414</t>
        </is>
      </c>
      <c r="BF396" t="inlineStr">
        <is>
          <t>893726612</t>
        </is>
      </c>
    </row>
    <row r="397">
      <c r="A397" t="inlineStr">
        <is>
          <t>No</t>
        </is>
      </c>
      <c r="B397" t="inlineStr">
        <is>
          <t>CUHSL</t>
        </is>
      </c>
      <c r="C397" t="inlineStr">
        <is>
          <t>SHELVES</t>
        </is>
      </c>
      <c r="D397" t="inlineStr">
        <is>
          <t>WA 695 D285f 1975</t>
        </is>
      </c>
      <c r="E397" t="inlineStr">
        <is>
          <t>0                      WA 0695000D  285f        1975</t>
        </is>
      </c>
      <c r="F397" t="inlineStr">
        <is>
          <t>Food for life / F. E. Deatherage.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Deatherage, F. E. (Fred E.), 1913-</t>
        </is>
      </c>
      <c r="N397" t="inlineStr">
        <is>
          <t>-- New York : Plenum Press, c1975.</t>
        </is>
      </c>
      <c r="O397" t="inlineStr">
        <is>
          <t>1975</t>
        </is>
      </c>
      <c r="Q397" t="inlineStr">
        <is>
          <t>eng</t>
        </is>
      </c>
      <c r="R397" t="inlineStr">
        <is>
          <t>nyu</t>
        </is>
      </c>
      <c r="T397" t="inlineStr">
        <is>
          <t xml:space="preserve">WA </t>
        </is>
      </c>
      <c r="U397" t="n">
        <v>1</v>
      </c>
      <c r="V397" t="n">
        <v>1</v>
      </c>
      <c r="W397" t="inlineStr">
        <is>
          <t>2006-10-03</t>
        </is>
      </c>
      <c r="X397" t="inlineStr">
        <is>
          <t>2006-10-03</t>
        </is>
      </c>
      <c r="Y397" t="inlineStr">
        <is>
          <t>1988-01-04</t>
        </is>
      </c>
      <c r="Z397" t="inlineStr">
        <is>
          <t>1988-01-04</t>
        </is>
      </c>
      <c r="AA397" t="n">
        <v>477</v>
      </c>
      <c r="AB397" t="n">
        <v>374</v>
      </c>
      <c r="AC397" t="n">
        <v>388</v>
      </c>
      <c r="AD397" t="n">
        <v>3</v>
      </c>
      <c r="AE397" t="n">
        <v>3</v>
      </c>
      <c r="AF397" t="n">
        <v>17</v>
      </c>
      <c r="AG397" t="n">
        <v>18</v>
      </c>
      <c r="AH397" t="n">
        <v>4</v>
      </c>
      <c r="AI397" t="n">
        <v>5</v>
      </c>
      <c r="AJ397" t="n">
        <v>5</v>
      </c>
      <c r="AK397" t="n">
        <v>5</v>
      </c>
      <c r="AL397" t="n">
        <v>10</v>
      </c>
      <c r="AM397" t="n">
        <v>11</v>
      </c>
      <c r="AN397" t="n">
        <v>2</v>
      </c>
      <c r="AO397" t="n">
        <v>2</v>
      </c>
      <c r="AP397" t="n">
        <v>0</v>
      </c>
      <c r="AQ397" t="n">
        <v>0</v>
      </c>
      <c r="AR397" t="inlineStr">
        <is>
          <t>No</t>
        </is>
      </c>
      <c r="AS397" t="inlineStr">
        <is>
          <t>Yes</t>
        </is>
      </c>
      <c r="AT397">
        <f>HYPERLINK("http://catalog.hathitrust.org/Record/000042919","HathiTrust Record")</f>
        <v/>
      </c>
      <c r="AU397">
        <f>HYPERLINK("https://creighton-primo.hosted.exlibrisgroup.com/primo-explore/search?tab=default_tab&amp;search_scope=EVERYTHING&amp;vid=01CRU&amp;lang=en_US&amp;offset=0&amp;query=any,contains,991000731949702656","Catalog Record")</f>
        <v/>
      </c>
      <c r="AV397">
        <f>HYPERLINK("http://www.worldcat.org/oclc/1364158","WorldCat Record")</f>
        <v/>
      </c>
      <c r="AW397" t="inlineStr">
        <is>
          <t>436279:eng</t>
        </is>
      </c>
      <c r="AX397" t="inlineStr">
        <is>
          <t>1364158</t>
        </is>
      </c>
      <c r="AY397" t="inlineStr">
        <is>
          <t>991000731949702656</t>
        </is>
      </c>
      <c r="AZ397" t="inlineStr">
        <is>
          <t>991000731949702656</t>
        </is>
      </c>
      <c r="BA397" t="inlineStr">
        <is>
          <t>2257049670002656</t>
        </is>
      </c>
      <c r="BB397" t="inlineStr">
        <is>
          <t>BOOK</t>
        </is>
      </c>
      <c r="BD397" t="inlineStr">
        <is>
          <t>9780306308161</t>
        </is>
      </c>
      <c r="BE397" t="inlineStr">
        <is>
          <t>30001000708463</t>
        </is>
      </c>
      <c r="BF397" t="inlineStr">
        <is>
          <t>893820127</t>
        </is>
      </c>
    </row>
    <row r="398">
      <c r="A398" t="inlineStr">
        <is>
          <t>No</t>
        </is>
      </c>
      <c r="B398" t="inlineStr">
        <is>
          <t>CUHSL</t>
        </is>
      </c>
      <c r="C398" t="inlineStr">
        <is>
          <t>SHELVES</t>
        </is>
      </c>
      <c r="D398" t="inlineStr">
        <is>
          <t>WA 695 D456h 2002</t>
        </is>
      </c>
      <c r="E398" t="inlineStr">
        <is>
          <t>0                      WA 0695000D  456h        2002</t>
        </is>
      </c>
      <c r="F398" t="inlineStr">
        <is>
          <t>Handbook of food toxicology / S.S. Deshpande.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Deshpande, S. S.</t>
        </is>
      </c>
      <c r="N398" t="inlineStr">
        <is>
          <t>New York : Marcel Dekker, c2002.</t>
        </is>
      </c>
      <c r="O398" t="inlineStr">
        <is>
          <t>2002</t>
        </is>
      </c>
      <c r="Q398" t="inlineStr">
        <is>
          <t>eng</t>
        </is>
      </c>
      <c r="R398" t="inlineStr">
        <is>
          <t>nyu</t>
        </is>
      </c>
      <c r="S398" t="inlineStr">
        <is>
          <t>Food science and technology ; 119</t>
        </is>
      </c>
      <c r="T398" t="inlineStr">
        <is>
          <t xml:space="preserve">WA </t>
        </is>
      </c>
      <c r="U398" t="n">
        <v>0</v>
      </c>
      <c r="V398" t="n">
        <v>0</v>
      </c>
      <c r="W398" t="inlineStr">
        <is>
          <t>2004-10-04</t>
        </is>
      </c>
      <c r="X398" t="inlineStr">
        <is>
          <t>2004-10-04</t>
        </is>
      </c>
      <c r="Y398" t="inlineStr">
        <is>
          <t>2004-09-29</t>
        </is>
      </c>
      <c r="Z398" t="inlineStr">
        <is>
          <t>2004-09-29</t>
        </is>
      </c>
      <c r="AA398" t="n">
        <v>148</v>
      </c>
      <c r="AB398" t="n">
        <v>80</v>
      </c>
      <c r="AC398" t="n">
        <v>162</v>
      </c>
      <c r="AD398" t="n">
        <v>2</v>
      </c>
      <c r="AE398" t="n">
        <v>2</v>
      </c>
      <c r="AF398" t="n">
        <v>4</v>
      </c>
      <c r="AG398" t="n">
        <v>4</v>
      </c>
      <c r="AH398" t="n">
        <v>1</v>
      </c>
      <c r="AI398" t="n">
        <v>1</v>
      </c>
      <c r="AJ398" t="n">
        <v>1</v>
      </c>
      <c r="AK398" t="n">
        <v>1</v>
      </c>
      <c r="AL398" t="n">
        <v>1</v>
      </c>
      <c r="AM398" t="n">
        <v>1</v>
      </c>
      <c r="AN398" t="n">
        <v>1</v>
      </c>
      <c r="AO398" t="n">
        <v>1</v>
      </c>
      <c r="AP398" t="n">
        <v>0</v>
      </c>
      <c r="AQ398" t="n">
        <v>0</v>
      </c>
      <c r="AR398" t="inlineStr">
        <is>
          <t>No</t>
        </is>
      </c>
      <c r="AS398" t="inlineStr">
        <is>
          <t>No</t>
        </is>
      </c>
      <c r="AU398">
        <f>HYPERLINK("https://creighton-primo.hosted.exlibrisgroup.com/primo-explore/search?tab=default_tab&amp;search_scope=EVERYTHING&amp;vid=01CRU&amp;lang=en_US&amp;offset=0&amp;query=any,contains,991000398659702656","Catalog Record")</f>
        <v/>
      </c>
      <c r="AV398">
        <f>HYPERLINK("http://www.worldcat.org/oclc/50198304","WorldCat Record")</f>
        <v/>
      </c>
      <c r="AW398" t="inlineStr">
        <is>
          <t>1021320:eng</t>
        </is>
      </c>
      <c r="AX398" t="inlineStr">
        <is>
          <t>50198304</t>
        </is>
      </c>
      <c r="AY398" t="inlineStr">
        <is>
          <t>991000398659702656</t>
        </is>
      </c>
      <c r="AZ398" t="inlineStr">
        <is>
          <t>991000398659702656</t>
        </is>
      </c>
      <c r="BA398" t="inlineStr">
        <is>
          <t>2272418240002656</t>
        </is>
      </c>
      <c r="BB398" t="inlineStr">
        <is>
          <t>BOOK</t>
        </is>
      </c>
      <c r="BD398" t="inlineStr">
        <is>
          <t>9780824707606</t>
        </is>
      </c>
      <c r="BE398" t="inlineStr">
        <is>
          <t>30001004810398</t>
        </is>
      </c>
      <c r="BF398" t="inlineStr">
        <is>
          <t>893461459</t>
        </is>
      </c>
    </row>
    <row r="399">
      <c r="A399" t="inlineStr">
        <is>
          <t>No</t>
        </is>
      </c>
      <c r="B399" t="inlineStr">
        <is>
          <t>CUHSL</t>
        </is>
      </c>
      <c r="C399" t="inlineStr">
        <is>
          <t>SHELVES</t>
        </is>
      </c>
      <c r="D399" t="inlineStr">
        <is>
          <t>WA 697 E12 1982</t>
        </is>
      </c>
      <c r="E399" t="inlineStr">
        <is>
          <t>0                      WA 0697000E  12          1982</t>
        </is>
      </c>
      <c r="F399" t="inlineStr">
        <is>
          <t>The Early years of federal food and drug control / James Harvey Young, chairman of the symposium commemorating the 75th anniversary of the first federal food and drug laws of 1906.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N399" t="inlineStr">
        <is>
          <t>Madison, Wis. : American Institute of the History of Pharmacy with the cooperation of the American Pharmaceutical Association, c1982.</t>
        </is>
      </c>
      <c r="O399" t="inlineStr">
        <is>
          <t>1982</t>
        </is>
      </c>
      <c r="Q399" t="inlineStr">
        <is>
          <t>eng</t>
        </is>
      </c>
      <c r="R399" t="inlineStr">
        <is>
          <t>wiu</t>
        </is>
      </c>
      <c r="S399" t="inlineStr">
        <is>
          <t>A Fischelis publication on recent history and trends of pharmacy</t>
        </is>
      </c>
      <c r="T399" t="inlineStr">
        <is>
          <t xml:space="preserve">WA </t>
        </is>
      </c>
      <c r="U399" t="n">
        <v>4</v>
      </c>
      <c r="V399" t="n">
        <v>4</v>
      </c>
      <c r="W399" t="inlineStr">
        <is>
          <t>1997-03-25</t>
        </is>
      </c>
      <c r="X399" t="inlineStr">
        <is>
          <t>1997-03-25</t>
        </is>
      </c>
      <c r="Y399" t="inlineStr">
        <is>
          <t>1988-01-04</t>
        </is>
      </c>
      <c r="Z399" t="inlineStr">
        <is>
          <t>1988-01-04</t>
        </is>
      </c>
      <c r="AA399" t="n">
        <v>108</v>
      </c>
      <c r="AB399" t="n">
        <v>85</v>
      </c>
      <c r="AC399" t="n">
        <v>97</v>
      </c>
      <c r="AD399" t="n">
        <v>1</v>
      </c>
      <c r="AE399" t="n">
        <v>2</v>
      </c>
      <c r="AF399" t="n">
        <v>4</v>
      </c>
      <c r="AG399" t="n">
        <v>6</v>
      </c>
      <c r="AH399" t="n">
        <v>3</v>
      </c>
      <c r="AI399" t="n">
        <v>3</v>
      </c>
      <c r="AJ399" t="n">
        <v>1</v>
      </c>
      <c r="AK399" t="n">
        <v>2</v>
      </c>
      <c r="AL399" t="n">
        <v>0</v>
      </c>
      <c r="AM399" t="n">
        <v>0</v>
      </c>
      <c r="AN399" t="n">
        <v>0</v>
      </c>
      <c r="AO399" t="n">
        <v>1</v>
      </c>
      <c r="AP399" t="n">
        <v>0</v>
      </c>
      <c r="AQ399" t="n">
        <v>0</v>
      </c>
      <c r="AR399" t="inlineStr">
        <is>
          <t>Yes</t>
        </is>
      </c>
      <c r="AS399" t="inlineStr">
        <is>
          <t>No</t>
        </is>
      </c>
      <c r="AT399">
        <f>HYPERLINK("http://catalog.hathitrust.org/Record/000771946","HathiTrust Record")</f>
        <v/>
      </c>
      <c r="AU399">
        <f>HYPERLINK("https://creighton-primo.hosted.exlibrisgroup.com/primo-explore/search?tab=default_tab&amp;search_scope=EVERYTHING&amp;vid=01CRU&amp;lang=en_US&amp;offset=0&amp;query=any,contains,991000732059702656","Catalog Record")</f>
        <v/>
      </c>
      <c r="AV399">
        <f>HYPERLINK("http://www.worldcat.org/oclc/9071623","WorldCat Record")</f>
        <v/>
      </c>
      <c r="AW399" t="inlineStr">
        <is>
          <t>365305979:eng</t>
        </is>
      </c>
      <c r="AX399" t="inlineStr">
        <is>
          <t>9071623</t>
        </is>
      </c>
      <c r="AY399" t="inlineStr">
        <is>
          <t>991000732059702656</t>
        </is>
      </c>
      <c r="AZ399" t="inlineStr">
        <is>
          <t>991000732059702656</t>
        </is>
      </c>
      <c r="BA399" t="inlineStr">
        <is>
          <t>2256126720002656</t>
        </is>
      </c>
      <c r="BB399" t="inlineStr">
        <is>
          <t>BOOK</t>
        </is>
      </c>
      <c r="BD399" t="inlineStr">
        <is>
          <t>9780931292118</t>
        </is>
      </c>
      <c r="BE399" t="inlineStr">
        <is>
          <t>30001000708497</t>
        </is>
      </c>
      <c r="BF399" t="inlineStr">
        <is>
          <t>893831133</t>
        </is>
      </c>
    </row>
    <row r="400">
      <c r="A400" t="inlineStr">
        <is>
          <t>No</t>
        </is>
      </c>
      <c r="B400" t="inlineStr">
        <is>
          <t>CUHSL</t>
        </is>
      </c>
      <c r="C400" t="inlineStr">
        <is>
          <t>SHELVES</t>
        </is>
      </c>
      <c r="D400" t="inlineStr">
        <is>
          <t>WA 697 W44 1956</t>
        </is>
      </c>
      <c r="E400" t="inlineStr">
        <is>
          <t>0                      WA 0697000W  44          1956</t>
        </is>
      </c>
      <c r="F400" t="inlineStr">
        <is>
          <t>The impact of the Food and Drug Administration on our society : a fiftieth anniversary panorama / edited by Henry Welch and Félix Martí-Ibáñez.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Welch, Henry, 1902- editor.</t>
        </is>
      </c>
      <c r="N400" t="inlineStr">
        <is>
          <t>New York : MD Publications, 1956.</t>
        </is>
      </c>
      <c r="O400" t="inlineStr">
        <is>
          <t>1956</t>
        </is>
      </c>
      <c r="Q400" t="inlineStr">
        <is>
          <t>eng</t>
        </is>
      </c>
      <c r="R400" t="inlineStr">
        <is>
          <t>nyu</t>
        </is>
      </c>
      <c r="T400" t="inlineStr">
        <is>
          <t xml:space="preserve">WA </t>
        </is>
      </c>
      <c r="U400" t="n">
        <v>4</v>
      </c>
      <c r="V400" t="n">
        <v>4</v>
      </c>
      <c r="W400" t="inlineStr">
        <is>
          <t>1997-03-25</t>
        </is>
      </c>
      <c r="X400" t="inlineStr">
        <is>
          <t>1997-03-25</t>
        </is>
      </c>
      <c r="Y400" t="inlineStr">
        <is>
          <t>1988-02-03</t>
        </is>
      </c>
      <c r="Z400" t="inlineStr">
        <is>
          <t>1988-02-03</t>
        </is>
      </c>
      <c r="AA400" t="n">
        <v>550</v>
      </c>
      <c r="AB400" t="n">
        <v>545</v>
      </c>
      <c r="AC400" t="n">
        <v>679</v>
      </c>
      <c r="AD400" t="n">
        <v>6</v>
      </c>
      <c r="AE400" t="n">
        <v>7</v>
      </c>
      <c r="AF400" t="n">
        <v>33</v>
      </c>
      <c r="AG400" t="n">
        <v>42</v>
      </c>
      <c r="AH400" t="n">
        <v>14</v>
      </c>
      <c r="AI400" t="n">
        <v>17</v>
      </c>
      <c r="AJ400" t="n">
        <v>4</v>
      </c>
      <c r="AK400" t="n">
        <v>6</v>
      </c>
      <c r="AL400" t="n">
        <v>13</v>
      </c>
      <c r="AM400" t="n">
        <v>13</v>
      </c>
      <c r="AN400" t="n">
        <v>5</v>
      </c>
      <c r="AO400" t="n">
        <v>5</v>
      </c>
      <c r="AP400" t="n">
        <v>3</v>
      </c>
      <c r="AQ400" t="n">
        <v>8</v>
      </c>
      <c r="AR400" t="inlineStr">
        <is>
          <t>No</t>
        </is>
      </c>
      <c r="AS400" t="inlineStr">
        <is>
          <t>No</t>
        </is>
      </c>
      <c r="AT400">
        <f>HYPERLINK("http://catalog.hathitrust.org/Record/001046416","HathiTrust Record")</f>
        <v/>
      </c>
      <c r="AU400">
        <f>HYPERLINK("https://creighton-primo.hosted.exlibrisgroup.com/primo-explore/search?tab=default_tab&amp;search_scope=EVERYTHING&amp;vid=01CRU&amp;lang=en_US&amp;offset=0&amp;query=any,contains,991000732199702656","Catalog Record")</f>
        <v/>
      </c>
      <c r="AV400">
        <f>HYPERLINK("http://www.worldcat.org/oclc/1173448","WorldCat Record")</f>
        <v/>
      </c>
      <c r="AW400" t="inlineStr">
        <is>
          <t>819994884:eng</t>
        </is>
      </c>
      <c r="AX400" t="inlineStr">
        <is>
          <t>1173448</t>
        </is>
      </c>
      <c r="AY400" t="inlineStr">
        <is>
          <t>991000732199702656</t>
        </is>
      </c>
      <c r="AZ400" t="inlineStr">
        <is>
          <t>991000732199702656</t>
        </is>
      </c>
      <c r="BA400" t="inlineStr">
        <is>
          <t>2271269150002656</t>
        </is>
      </c>
      <c r="BB400" t="inlineStr">
        <is>
          <t>BOOK</t>
        </is>
      </c>
      <c r="BE400" t="inlineStr">
        <is>
          <t>30001000708521</t>
        </is>
      </c>
      <c r="BF400" t="inlineStr">
        <is>
          <t>893373543</t>
        </is>
      </c>
    </row>
    <row r="401">
      <c r="A401" t="inlineStr">
        <is>
          <t>No</t>
        </is>
      </c>
      <c r="B401" t="inlineStr">
        <is>
          <t>CUHSL</t>
        </is>
      </c>
      <c r="C401" t="inlineStr">
        <is>
          <t>SHELVES</t>
        </is>
      </c>
      <c r="D401" t="inlineStr">
        <is>
          <t>WA 701 N956 1987</t>
        </is>
      </c>
      <c r="E401" t="inlineStr">
        <is>
          <t>0                      WA 0701000N  956         1987</t>
        </is>
      </c>
      <c r="F401" t="inlineStr">
        <is>
          <t>Nutritional toxicology : volume II / edited by John N. Hathcock.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N401" t="inlineStr">
        <is>
          <t>New York : Academic Press, c1987.</t>
        </is>
      </c>
      <c r="O401" t="inlineStr">
        <is>
          <t>1987</t>
        </is>
      </c>
      <c r="Q401" t="inlineStr">
        <is>
          <t>eng</t>
        </is>
      </c>
      <c r="R401" t="inlineStr">
        <is>
          <t>flu</t>
        </is>
      </c>
      <c r="S401" t="inlineStr">
        <is>
          <t>Nutrition, basic and applied science</t>
        </is>
      </c>
      <c r="T401" t="inlineStr">
        <is>
          <t xml:space="preserve">WA </t>
        </is>
      </c>
      <c r="U401" t="n">
        <v>4</v>
      </c>
      <c r="V401" t="n">
        <v>4</v>
      </c>
      <c r="W401" t="inlineStr">
        <is>
          <t>1991-05-23</t>
        </is>
      </c>
      <c r="X401" t="inlineStr">
        <is>
          <t>1991-05-23</t>
        </is>
      </c>
      <c r="Y401" t="inlineStr">
        <is>
          <t>1988-01-04</t>
        </is>
      </c>
      <c r="Z401" t="inlineStr">
        <is>
          <t>1988-01-04</t>
        </is>
      </c>
      <c r="AA401" t="n">
        <v>15</v>
      </c>
      <c r="AB401" t="n">
        <v>7</v>
      </c>
      <c r="AC401" t="n">
        <v>60</v>
      </c>
      <c r="AD401" t="n">
        <v>1</v>
      </c>
      <c r="AE401" t="n">
        <v>1</v>
      </c>
      <c r="AF401" t="n">
        <v>0</v>
      </c>
      <c r="AG401" t="n">
        <v>3</v>
      </c>
      <c r="AH401" t="n">
        <v>0</v>
      </c>
      <c r="AI401" t="n">
        <v>2</v>
      </c>
      <c r="AJ401" t="n">
        <v>0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HYPERLINK("https://creighton-primo.hosted.exlibrisgroup.com/primo-explore/search?tab=default_tab&amp;search_scope=EVERYTHING&amp;vid=01CRU&amp;lang=en_US&amp;offset=0&amp;query=any,contains,991001267149702656","Catalog Record")</f>
        <v/>
      </c>
      <c r="AV401">
        <f>HYPERLINK("http://www.worldcat.org/oclc/16289508","WorldCat Record")</f>
        <v/>
      </c>
      <c r="AW401" t="inlineStr">
        <is>
          <t>3376005561:eng</t>
        </is>
      </c>
      <c r="AX401" t="inlineStr">
        <is>
          <t>16289508</t>
        </is>
      </c>
      <c r="AY401" t="inlineStr">
        <is>
          <t>991001267149702656</t>
        </is>
      </c>
      <c r="AZ401" t="inlineStr">
        <is>
          <t>991001267149702656</t>
        </is>
      </c>
      <c r="BA401" t="inlineStr">
        <is>
          <t>2262993480002656</t>
        </is>
      </c>
      <c r="BB401" t="inlineStr">
        <is>
          <t>BOOK</t>
        </is>
      </c>
      <c r="BD401" t="inlineStr">
        <is>
          <t>9780123326027</t>
        </is>
      </c>
      <c r="BE401" t="inlineStr">
        <is>
          <t>30001000353732</t>
        </is>
      </c>
      <c r="BF401" t="inlineStr">
        <is>
          <t>893450996</t>
        </is>
      </c>
    </row>
    <row r="402">
      <c r="A402" t="inlineStr">
        <is>
          <t>No</t>
        </is>
      </c>
      <c r="B402" t="inlineStr">
        <is>
          <t>CUHSL</t>
        </is>
      </c>
      <c r="C402" t="inlineStr">
        <is>
          <t>SHELVES</t>
        </is>
      </c>
      <c r="D402" t="inlineStr">
        <is>
          <t>WA 712 P995s 1970</t>
        </is>
      </c>
      <c r="E402" t="inlineStr">
        <is>
          <t>0                      WA 0712000P  995s        1970</t>
        </is>
      </c>
      <c r="F402" t="inlineStr">
        <is>
          <t>Synthetic food / Magnus Pyke.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Pyke, Magnus.</t>
        </is>
      </c>
      <c r="N402" t="inlineStr">
        <is>
          <t>London : J. Murray, c1970.</t>
        </is>
      </c>
      <c r="O402" t="inlineStr">
        <is>
          <t>1970</t>
        </is>
      </c>
      <c r="Q402" t="inlineStr">
        <is>
          <t>eng</t>
        </is>
      </c>
      <c r="R402" t="inlineStr">
        <is>
          <t>enk</t>
        </is>
      </c>
      <c r="T402" t="inlineStr">
        <is>
          <t xml:space="preserve">WA </t>
        </is>
      </c>
      <c r="U402" t="n">
        <v>1</v>
      </c>
      <c r="V402" t="n">
        <v>1</v>
      </c>
      <c r="W402" t="inlineStr">
        <is>
          <t>2006-10-03</t>
        </is>
      </c>
      <c r="X402" t="inlineStr">
        <is>
          <t>2006-10-03</t>
        </is>
      </c>
      <c r="Y402" t="inlineStr">
        <is>
          <t>1988-01-04</t>
        </is>
      </c>
      <c r="Z402" t="inlineStr">
        <is>
          <t>1988-01-04</t>
        </is>
      </c>
      <c r="AA402" t="n">
        <v>336</v>
      </c>
      <c r="AB402" t="n">
        <v>218</v>
      </c>
      <c r="AC402" t="n">
        <v>423</v>
      </c>
      <c r="AD402" t="n">
        <v>3</v>
      </c>
      <c r="AE402" t="n">
        <v>5</v>
      </c>
      <c r="AF402" t="n">
        <v>5</v>
      </c>
      <c r="AG402" t="n">
        <v>15</v>
      </c>
      <c r="AH402" t="n">
        <v>3</v>
      </c>
      <c r="AI402" t="n">
        <v>6</v>
      </c>
      <c r="AJ402" t="n">
        <v>1</v>
      </c>
      <c r="AK402" t="n">
        <v>3</v>
      </c>
      <c r="AL402" t="n">
        <v>1</v>
      </c>
      <c r="AM402" t="n">
        <v>5</v>
      </c>
      <c r="AN402" t="n">
        <v>1</v>
      </c>
      <c r="AO402" t="n">
        <v>3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HYPERLINK("http://catalog.hathitrust.org/Record/009516419","HathiTrust Record")</f>
        <v/>
      </c>
      <c r="AU402">
        <f>HYPERLINK("https://creighton-primo.hosted.exlibrisgroup.com/primo-explore/search?tab=default_tab&amp;search_scope=EVERYTHING&amp;vid=01CRU&amp;lang=en_US&amp;offset=0&amp;query=any,contains,991000732359702656","Catalog Record")</f>
        <v/>
      </c>
      <c r="AV402">
        <f>HYPERLINK("http://www.worldcat.org/oclc/143810","WorldCat Record")</f>
        <v/>
      </c>
      <c r="AW402" t="inlineStr">
        <is>
          <t>1281959:eng</t>
        </is>
      </c>
      <c r="AX402" t="inlineStr">
        <is>
          <t>143810</t>
        </is>
      </c>
      <c r="AY402" t="inlineStr">
        <is>
          <t>991000732359702656</t>
        </is>
      </c>
      <c r="AZ402" t="inlineStr">
        <is>
          <t>991000732359702656</t>
        </is>
      </c>
      <c r="BA402" t="inlineStr">
        <is>
          <t>2256712140002656</t>
        </is>
      </c>
      <c r="BB402" t="inlineStr">
        <is>
          <t>BOOK</t>
        </is>
      </c>
      <c r="BD402" t="inlineStr">
        <is>
          <t>9780719520600</t>
        </is>
      </c>
      <c r="BE402" t="inlineStr">
        <is>
          <t>30001000708604</t>
        </is>
      </c>
      <c r="BF402" t="inlineStr">
        <is>
          <t>893464594</t>
        </is>
      </c>
    </row>
    <row r="403">
      <c r="A403" t="inlineStr">
        <is>
          <t>No</t>
        </is>
      </c>
      <c r="B403" t="inlineStr">
        <is>
          <t>CUHSL</t>
        </is>
      </c>
      <c r="C403" t="inlineStr">
        <is>
          <t>SHELVES</t>
        </is>
      </c>
      <c r="D403" t="inlineStr">
        <is>
          <t>WA 712 T245f 1980</t>
        </is>
      </c>
      <c r="E403" t="inlineStr">
        <is>
          <t>0                      WA 0712000T  245f        1980</t>
        </is>
      </c>
      <c r="F403" t="inlineStr">
        <is>
          <t>Food additives / R.J. Taylor.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Taylor, Reginald James.</t>
        </is>
      </c>
      <c r="N403" t="inlineStr">
        <is>
          <t>Chichester ; New York : Wiley, c1980.</t>
        </is>
      </c>
      <c r="O403" t="inlineStr">
        <is>
          <t>1980</t>
        </is>
      </c>
      <c r="Q403" t="inlineStr">
        <is>
          <t>eng</t>
        </is>
      </c>
      <c r="R403" t="inlineStr">
        <is>
          <t>nyu</t>
        </is>
      </c>
      <c r="S403" t="inlineStr">
        <is>
          <t>The Institution of Environmental Sciences series</t>
        </is>
      </c>
      <c r="T403" t="inlineStr">
        <is>
          <t xml:space="preserve">WA </t>
        </is>
      </c>
      <c r="U403" t="n">
        <v>2</v>
      </c>
      <c r="V403" t="n">
        <v>2</v>
      </c>
      <c r="W403" t="inlineStr">
        <is>
          <t>2006-10-03</t>
        </is>
      </c>
      <c r="X403" t="inlineStr">
        <is>
          <t>2006-10-03</t>
        </is>
      </c>
      <c r="Y403" t="inlineStr">
        <is>
          <t>1988-01-04</t>
        </is>
      </c>
      <c r="Z403" t="inlineStr">
        <is>
          <t>1988-01-04</t>
        </is>
      </c>
      <c r="AA403" t="n">
        <v>487</v>
      </c>
      <c r="AB403" t="n">
        <v>368</v>
      </c>
      <c r="AC403" t="n">
        <v>370</v>
      </c>
      <c r="AD403" t="n">
        <v>2</v>
      </c>
      <c r="AE403" t="n">
        <v>2</v>
      </c>
      <c r="AF403" t="n">
        <v>15</v>
      </c>
      <c r="AG403" t="n">
        <v>15</v>
      </c>
      <c r="AH403" t="n">
        <v>8</v>
      </c>
      <c r="AI403" t="n">
        <v>8</v>
      </c>
      <c r="AJ403" t="n">
        <v>3</v>
      </c>
      <c r="AK403" t="n">
        <v>3</v>
      </c>
      <c r="AL403" t="n">
        <v>7</v>
      </c>
      <c r="AM403" t="n">
        <v>7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HYPERLINK("http://catalog.hathitrust.org/Record/000734612","HathiTrust Record")</f>
        <v/>
      </c>
      <c r="AU403">
        <f>HYPERLINK("https://creighton-primo.hosted.exlibrisgroup.com/primo-explore/search?tab=default_tab&amp;search_scope=EVERYTHING&amp;vid=01CRU&amp;lang=en_US&amp;offset=0&amp;query=any,contains,991000732399702656","Catalog Record")</f>
        <v/>
      </c>
      <c r="AV403">
        <f>HYPERLINK("http://www.worldcat.org/oclc/5889815","WorldCat Record")</f>
        <v/>
      </c>
      <c r="AW403" t="inlineStr">
        <is>
          <t>489680:eng</t>
        </is>
      </c>
      <c r="AX403" t="inlineStr">
        <is>
          <t>5889815</t>
        </is>
      </c>
      <c r="AY403" t="inlineStr">
        <is>
          <t>991000732399702656</t>
        </is>
      </c>
      <c r="AZ403" t="inlineStr">
        <is>
          <t>991000732399702656</t>
        </is>
      </c>
      <c r="BA403" t="inlineStr">
        <is>
          <t>2271578740002656</t>
        </is>
      </c>
      <c r="BB403" t="inlineStr">
        <is>
          <t>BOOK</t>
        </is>
      </c>
      <c r="BD403" t="inlineStr">
        <is>
          <t>9780471276838</t>
        </is>
      </c>
      <c r="BE403" t="inlineStr">
        <is>
          <t>30001000708612</t>
        </is>
      </c>
      <c r="BF403" t="inlineStr">
        <is>
          <t>893740019</t>
        </is>
      </c>
    </row>
    <row r="404">
      <c r="A404" t="inlineStr">
        <is>
          <t>No</t>
        </is>
      </c>
      <c r="B404" t="inlineStr">
        <is>
          <t>CUHSL</t>
        </is>
      </c>
      <c r="C404" t="inlineStr">
        <is>
          <t>SHELVES</t>
        </is>
      </c>
      <c r="D404" t="inlineStr">
        <is>
          <t>WA 754 C557 1984</t>
        </is>
      </c>
      <c r="E404" t="inlineStr">
        <is>
          <t>0                      WA 0754000C  557         1984</t>
        </is>
      </c>
      <c r="F404" t="inlineStr">
        <is>
          <t>Chronic exposure of mice to cigarette smoking : final report of research performed under contract entitled "Smoke inhalation studies in mice" between Microbiological Associates, Bethesda, Maryland and the Council for Tobacco Research--USA, Inc., New York, NY. / [project directors, Carol J. Henry, Richard E. Kouri].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N404" t="inlineStr">
        <is>
          <t>New York, N. Y. : Field, Rich &amp; Associates, c1984.</t>
        </is>
      </c>
      <c r="O404" t="inlineStr">
        <is>
          <t>1984</t>
        </is>
      </c>
      <c r="Q404" t="inlineStr">
        <is>
          <t>eng</t>
        </is>
      </c>
      <c r="R404" t="inlineStr">
        <is>
          <t>nyu</t>
        </is>
      </c>
      <c r="T404" t="inlineStr">
        <is>
          <t xml:space="preserve">WA </t>
        </is>
      </c>
      <c r="U404" t="n">
        <v>8</v>
      </c>
      <c r="V404" t="n">
        <v>8</v>
      </c>
      <c r="W404" t="inlineStr">
        <is>
          <t>1994-03-28</t>
        </is>
      </c>
      <c r="X404" t="inlineStr">
        <is>
          <t>1994-03-28</t>
        </is>
      </c>
      <c r="Y404" t="inlineStr">
        <is>
          <t>1988-01-04</t>
        </is>
      </c>
      <c r="Z404" t="inlineStr">
        <is>
          <t>1988-01-04</t>
        </is>
      </c>
      <c r="AA404" t="n">
        <v>92</v>
      </c>
      <c r="AB404" t="n">
        <v>91</v>
      </c>
      <c r="AC404" t="n">
        <v>93</v>
      </c>
      <c r="AD404" t="n">
        <v>1</v>
      </c>
      <c r="AE404" t="n">
        <v>1</v>
      </c>
      <c r="AF404" t="n">
        <v>1</v>
      </c>
      <c r="AG404" t="n">
        <v>1</v>
      </c>
      <c r="AH404" t="n">
        <v>0</v>
      </c>
      <c r="AI404" t="n">
        <v>0</v>
      </c>
      <c r="AJ404" t="n">
        <v>0</v>
      </c>
      <c r="AK404" t="n">
        <v>0</v>
      </c>
      <c r="AL404" t="n">
        <v>1</v>
      </c>
      <c r="AM404" t="n">
        <v>1</v>
      </c>
      <c r="AN404" t="n">
        <v>0</v>
      </c>
      <c r="AO404" t="n">
        <v>0</v>
      </c>
      <c r="AP404" t="n">
        <v>0</v>
      </c>
      <c r="AQ404" t="n">
        <v>0</v>
      </c>
      <c r="AR404" t="inlineStr">
        <is>
          <t>No</t>
        </is>
      </c>
      <c r="AS404" t="inlineStr">
        <is>
          <t>Yes</t>
        </is>
      </c>
      <c r="AT404">
        <f>HYPERLINK("http://catalog.hathitrust.org/Record/000603466","HathiTrust Record")</f>
        <v/>
      </c>
      <c r="AU404">
        <f>HYPERLINK("https://creighton-primo.hosted.exlibrisgroup.com/primo-explore/search?tab=default_tab&amp;search_scope=EVERYTHING&amp;vid=01CRU&amp;lang=en_US&amp;offset=0&amp;query=any,contains,991000732549702656","Catalog Record")</f>
        <v/>
      </c>
      <c r="AV404">
        <f>HYPERLINK("http://www.worldcat.org/oclc/18781065","WorldCat Record")</f>
        <v/>
      </c>
      <c r="AW404" t="inlineStr">
        <is>
          <t>18893274:eng</t>
        </is>
      </c>
      <c r="AX404" t="inlineStr">
        <is>
          <t>18781065</t>
        </is>
      </c>
      <c r="AY404" t="inlineStr">
        <is>
          <t>991000732549702656</t>
        </is>
      </c>
      <c r="AZ404" t="inlineStr">
        <is>
          <t>991000732549702656</t>
        </is>
      </c>
      <c r="BA404" t="inlineStr">
        <is>
          <t>2262802780002656</t>
        </is>
      </c>
      <c r="BB404" t="inlineStr">
        <is>
          <t>BOOK</t>
        </is>
      </c>
      <c r="BE404" t="inlineStr">
        <is>
          <t>30001000708687</t>
        </is>
      </c>
      <c r="BF404" t="inlineStr">
        <is>
          <t>893631942</t>
        </is>
      </c>
    </row>
    <row r="405">
      <c r="A405" t="inlineStr">
        <is>
          <t>No</t>
        </is>
      </c>
      <c r="B405" t="inlineStr">
        <is>
          <t>CUHSL</t>
        </is>
      </c>
      <c r="C405" t="inlineStr">
        <is>
          <t>SHELVES</t>
        </is>
      </c>
      <c r="D405" t="inlineStr">
        <is>
          <t>WA 754 E85 1983</t>
        </is>
      </c>
      <c r="E405" t="inlineStr">
        <is>
          <t>0                      WA 0754000E  85          1983</t>
        </is>
      </c>
      <c r="F405" t="inlineStr">
        <is>
          <t>ETS, Environmental tobacco smoke : report from a workshop on effects and exposure levels / editors: R. Rylander, Y. Peterson, M.-C. Snella.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N405" t="inlineStr">
        <is>
          <t>Genève : Atar, c1983.</t>
        </is>
      </c>
      <c r="O405" t="inlineStr">
        <is>
          <t>1984</t>
        </is>
      </c>
      <c r="Q405" t="inlineStr">
        <is>
          <t>eng</t>
        </is>
      </c>
      <c r="R405" t="inlineStr">
        <is>
          <t xml:space="preserve">sz </t>
        </is>
      </c>
      <c r="S405" t="inlineStr">
        <is>
          <t>European journal of respiratory diseases. Supplementum, 0106-4347 ; no. 133</t>
        </is>
      </c>
      <c r="T405" t="inlineStr">
        <is>
          <t xml:space="preserve">WA </t>
        </is>
      </c>
      <c r="U405" t="n">
        <v>8</v>
      </c>
      <c r="V405" t="n">
        <v>8</v>
      </c>
      <c r="W405" t="inlineStr">
        <is>
          <t>1993-12-15</t>
        </is>
      </c>
      <c r="X405" t="inlineStr">
        <is>
          <t>1993-12-15</t>
        </is>
      </c>
      <c r="Y405" t="inlineStr">
        <is>
          <t>1988-01-04</t>
        </is>
      </c>
      <c r="Z405" t="inlineStr">
        <is>
          <t>1988-01-04</t>
        </is>
      </c>
      <c r="AA405" t="n">
        <v>30</v>
      </c>
      <c r="AB405" t="n">
        <v>29</v>
      </c>
      <c r="AC405" t="n">
        <v>43</v>
      </c>
      <c r="AD405" t="n">
        <v>1</v>
      </c>
      <c r="AE405" t="n">
        <v>1</v>
      </c>
      <c r="AF405" t="n">
        <v>1</v>
      </c>
      <c r="AG405" t="n">
        <v>1</v>
      </c>
      <c r="AH405" t="n">
        <v>0</v>
      </c>
      <c r="AI405" t="n">
        <v>0</v>
      </c>
      <c r="AJ405" t="n">
        <v>1</v>
      </c>
      <c r="AK405" t="n">
        <v>1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inlineStr">
        <is>
          <t>No</t>
        </is>
      </c>
      <c r="AS405" t="inlineStr">
        <is>
          <t>No</t>
        </is>
      </c>
      <c r="AU405">
        <f>HYPERLINK("https://creighton-primo.hosted.exlibrisgroup.com/primo-explore/search?tab=default_tab&amp;search_scope=EVERYTHING&amp;vid=01CRU&amp;lang=en_US&amp;offset=0&amp;query=any,contains,991000732599702656","Catalog Record")</f>
        <v/>
      </c>
      <c r="AV405">
        <f>HYPERLINK("http://www.worldcat.org/oclc/10703336","WorldCat Record")</f>
        <v/>
      </c>
      <c r="AW405" t="inlineStr">
        <is>
          <t>913079754:eng</t>
        </is>
      </c>
      <c r="AX405" t="inlineStr">
        <is>
          <t>10703336</t>
        </is>
      </c>
      <c r="AY405" t="inlineStr">
        <is>
          <t>991000732599702656</t>
        </is>
      </c>
      <c r="AZ405" t="inlineStr">
        <is>
          <t>991000732599702656</t>
        </is>
      </c>
      <c r="BA405" t="inlineStr">
        <is>
          <t>2262237280002656</t>
        </is>
      </c>
      <c r="BB405" t="inlineStr">
        <is>
          <t>BOOK</t>
        </is>
      </c>
      <c r="BD405" t="inlineStr">
        <is>
          <t>9788716062581</t>
        </is>
      </c>
      <c r="BE405" t="inlineStr">
        <is>
          <t>30001000708703</t>
        </is>
      </c>
      <c r="BF405" t="inlineStr">
        <is>
          <t>893148086</t>
        </is>
      </c>
    </row>
    <row r="406">
      <c r="A406" t="inlineStr">
        <is>
          <t>No</t>
        </is>
      </c>
      <c r="B406" t="inlineStr">
        <is>
          <t>CUHSL</t>
        </is>
      </c>
      <c r="C406" t="inlineStr">
        <is>
          <t>SHELVES</t>
        </is>
      </c>
      <c r="D406" t="inlineStr">
        <is>
          <t>WA 754 S6668 1984</t>
        </is>
      </c>
      <c r="E406" t="inlineStr">
        <is>
          <t>0                      WA 0754000S  6668        1984</t>
        </is>
      </c>
      <c r="F406" t="inlineStr">
        <is>
          <t>Smoking or health, it's your choice : a report / by the American Council on Science and Health.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N406" t="inlineStr">
        <is>
          <t>Summit, N.J. : The Council, 1984.</t>
        </is>
      </c>
      <c r="O406" t="inlineStr">
        <is>
          <t>1984</t>
        </is>
      </c>
      <c r="Q406" t="inlineStr">
        <is>
          <t>eng</t>
        </is>
      </c>
      <c r="R406" t="inlineStr">
        <is>
          <t>nju</t>
        </is>
      </c>
      <c r="T406" t="inlineStr">
        <is>
          <t xml:space="preserve">WA </t>
        </is>
      </c>
      <c r="U406" t="n">
        <v>4</v>
      </c>
      <c r="V406" t="n">
        <v>4</v>
      </c>
      <c r="W406" t="inlineStr">
        <is>
          <t>1990-04-28</t>
        </is>
      </c>
      <c r="X406" t="inlineStr">
        <is>
          <t>1990-04-28</t>
        </is>
      </c>
      <c r="Y406" t="inlineStr">
        <is>
          <t>1988-01-04</t>
        </is>
      </c>
      <c r="Z406" t="inlineStr">
        <is>
          <t>1988-01-04</t>
        </is>
      </c>
      <c r="AA406" t="n">
        <v>4</v>
      </c>
      <c r="AB406" t="n">
        <v>4</v>
      </c>
      <c r="AC406" t="n">
        <v>6</v>
      </c>
      <c r="AD406" t="n">
        <v>1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HYPERLINK("https://creighton-primo.hosted.exlibrisgroup.com/primo-explore/search?tab=default_tab&amp;search_scope=EVERYTHING&amp;vid=01CRU&amp;lang=en_US&amp;offset=0&amp;query=any,contains,991001276289702656","Catalog Record")</f>
        <v/>
      </c>
      <c r="AV406">
        <f>HYPERLINK("http://www.worldcat.org/oclc/11106260","WorldCat Record")</f>
        <v/>
      </c>
      <c r="AW406" t="inlineStr">
        <is>
          <t>30360270:eng</t>
        </is>
      </c>
      <c r="AX406" t="inlineStr">
        <is>
          <t>11106260</t>
        </is>
      </c>
      <c r="AY406" t="inlineStr">
        <is>
          <t>991001276289702656</t>
        </is>
      </c>
      <c r="AZ406" t="inlineStr">
        <is>
          <t>991001276289702656</t>
        </is>
      </c>
      <c r="BA406" t="inlineStr">
        <is>
          <t>2271535430002656</t>
        </is>
      </c>
      <c r="BB406" t="inlineStr">
        <is>
          <t>BOOK</t>
        </is>
      </c>
      <c r="BE406" t="inlineStr">
        <is>
          <t>30001000358574</t>
        </is>
      </c>
      <c r="BF406" t="inlineStr">
        <is>
          <t>893731808</t>
        </is>
      </c>
    </row>
    <row r="407">
      <c r="A407" t="inlineStr">
        <is>
          <t>No</t>
        </is>
      </c>
      <c r="B407" t="inlineStr">
        <is>
          <t>CUHSL</t>
        </is>
      </c>
      <c r="C407" t="inlineStr">
        <is>
          <t>SHELVES</t>
        </is>
      </c>
      <c r="D407" t="inlineStr">
        <is>
          <t>WA 754 W282s 1986</t>
        </is>
      </c>
      <c r="E407" t="inlineStr">
        <is>
          <t>0                      WA 0754000W  282s        1986</t>
        </is>
      </c>
      <c r="F407" t="inlineStr">
        <is>
          <t>Selling smoke : cigarette advertising and public health / Kenneth E. Warner.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Warner, Kenneth E., 1947-</t>
        </is>
      </c>
      <c r="N407" t="inlineStr">
        <is>
          <t>Washington, DC : American Public Health Association, c1986.</t>
        </is>
      </c>
      <c r="O407" t="inlineStr">
        <is>
          <t>1986</t>
        </is>
      </c>
      <c r="Q407" t="inlineStr">
        <is>
          <t>eng</t>
        </is>
      </c>
      <c r="R407" t="inlineStr">
        <is>
          <t>dcu</t>
        </is>
      </c>
      <c r="S407" t="inlineStr">
        <is>
          <t>APHA public health policy series</t>
        </is>
      </c>
      <c r="T407" t="inlineStr">
        <is>
          <t xml:space="preserve">WA </t>
        </is>
      </c>
      <c r="U407" t="n">
        <v>6</v>
      </c>
      <c r="V407" t="n">
        <v>6</v>
      </c>
      <c r="W407" t="inlineStr">
        <is>
          <t>1996-04-03</t>
        </is>
      </c>
      <c r="X407" t="inlineStr">
        <is>
          <t>1996-04-03</t>
        </is>
      </c>
      <c r="Y407" t="inlineStr">
        <is>
          <t>1993-09-22</t>
        </is>
      </c>
      <c r="Z407" t="inlineStr">
        <is>
          <t>1993-09-22</t>
        </is>
      </c>
      <c r="AA407" t="n">
        <v>216</v>
      </c>
      <c r="AB407" t="n">
        <v>181</v>
      </c>
      <c r="AC407" t="n">
        <v>186</v>
      </c>
      <c r="AD407" t="n">
        <v>2</v>
      </c>
      <c r="AE407" t="n">
        <v>2</v>
      </c>
      <c r="AF407" t="n">
        <v>12</v>
      </c>
      <c r="AG407" t="n">
        <v>12</v>
      </c>
      <c r="AH407" t="n">
        <v>4</v>
      </c>
      <c r="AI407" t="n">
        <v>4</v>
      </c>
      <c r="AJ407" t="n">
        <v>2</v>
      </c>
      <c r="AK407" t="n">
        <v>2</v>
      </c>
      <c r="AL407" t="n">
        <v>6</v>
      </c>
      <c r="AM407" t="n">
        <v>6</v>
      </c>
      <c r="AN407" t="n">
        <v>1</v>
      </c>
      <c r="AO407" t="n">
        <v>1</v>
      </c>
      <c r="AP407" t="n">
        <v>2</v>
      </c>
      <c r="AQ407" t="n">
        <v>2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HYPERLINK("http://catalog.hathitrust.org/Record/000817173","HathiTrust Record")</f>
        <v/>
      </c>
      <c r="AU407">
        <f>HYPERLINK("https://creighton-primo.hosted.exlibrisgroup.com/primo-explore/search?tab=default_tab&amp;search_scope=EVERYTHING&amp;vid=01CRU&amp;lang=en_US&amp;offset=0&amp;query=any,contains,991001486619702656","Catalog Record")</f>
        <v/>
      </c>
      <c r="AV407">
        <f>HYPERLINK("http://www.worldcat.org/oclc/14271852","WorldCat Record")</f>
        <v/>
      </c>
      <c r="AW407" t="inlineStr">
        <is>
          <t>1781776638:eng</t>
        </is>
      </c>
      <c r="AX407" t="inlineStr">
        <is>
          <t>14271852</t>
        </is>
      </c>
      <c r="AY407" t="inlineStr">
        <is>
          <t>991001486619702656</t>
        </is>
      </c>
      <c r="AZ407" t="inlineStr">
        <is>
          <t>991001486619702656</t>
        </is>
      </c>
      <c r="BA407" t="inlineStr">
        <is>
          <t>2258233930002656</t>
        </is>
      </c>
      <c r="BB407" t="inlineStr">
        <is>
          <t>BOOK</t>
        </is>
      </c>
      <c r="BD407" t="inlineStr">
        <is>
          <t>9780875531458</t>
        </is>
      </c>
      <c r="BE407" t="inlineStr">
        <is>
          <t>30001002579268</t>
        </is>
      </c>
      <c r="BF407" t="inlineStr">
        <is>
          <t>893541447</t>
        </is>
      </c>
    </row>
    <row r="408">
      <c r="A408" t="inlineStr">
        <is>
          <t>No</t>
        </is>
      </c>
      <c r="B408" t="inlineStr">
        <is>
          <t>CUHSL</t>
        </is>
      </c>
      <c r="C408" t="inlineStr">
        <is>
          <t>SHELVES</t>
        </is>
      </c>
      <c r="D408" t="inlineStr">
        <is>
          <t>WA 776 K94e 1985</t>
        </is>
      </c>
      <c r="E408" t="inlineStr">
        <is>
          <t>0                      WA 0776000K  94e         1985</t>
        </is>
      </c>
      <c r="F408" t="inlineStr">
        <is>
          <t>The effects of noise on man / Karl D. Kryter.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Yes</t>
        </is>
      </c>
      <c r="L408" t="inlineStr">
        <is>
          <t>0</t>
        </is>
      </c>
      <c r="M408" t="inlineStr">
        <is>
          <t>Kryter, Karl D.</t>
        </is>
      </c>
      <c r="N408" t="inlineStr">
        <is>
          <t>Orlando : Academic Press, c1985.</t>
        </is>
      </c>
      <c r="O408" t="inlineStr">
        <is>
          <t>1985</t>
        </is>
      </c>
      <c r="Q408" t="inlineStr">
        <is>
          <t>eng</t>
        </is>
      </c>
      <c r="R408" t="inlineStr">
        <is>
          <t>xxu</t>
        </is>
      </c>
      <c r="T408" t="inlineStr">
        <is>
          <t xml:space="preserve">WA </t>
        </is>
      </c>
      <c r="U408" t="n">
        <v>5</v>
      </c>
      <c r="V408" t="n">
        <v>5</v>
      </c>
      <c r="W408" t="inlineStr">
        <is>
          <t>2000-03-22</t>
        </is>
      </c>
      <c r="X408" t="inlineStr">
        <is>
          <t>2000-03-22</t>
        </is>
      </c>
      <c r="Y408" t="inlineStr">
        <is>
          <t>1988-01-04</t>
        </is>
      </c>
      <c r="Z408" t="inlineStr">
        <is>
          <t>1988-01-04</t>
        </is>
      </c>
      <c r="AA408" t="n">
        <v>457</v>
      </c>
      <c r="AB408" t="n">
        <v>350</v>
      </c>
      <c r="AC408" t="n">
        <v>929</v>
      </c>
      <c r="AD408" t="n">
        <v>3</v>
      </c>
      <c r="AE408" t="n">
        <v>7</v>
      </c>
      <c r="AF408" t="n">
        <v>11</v>
      </c>
      <c r="AG408" t="n">
        <v>34</v>
      </c>
      <c r="AH408" t="n">
        <v>1</v>
      </c>
      <c r="AI408" t="n">
        <v>13</v>
      </c>
      <c r="AJ408" t="n">
        <v>4</v>
      </c>
      <c r="AK408" t="n">
        <v>10</v>
      </c>
      <c r="AL408" t="n">
        <v>6</v>
      </c>
      <c r="AM408" t="n">
        <v>14</v>
      </c>
      <c r="AN408" t="n">
        <v>2</v>
      </c>
      <c r="AO408" t="n">
        <v>5</v>
      </c>
      <c r="AP408" t="n">
        <v>0</v>
      </c>
      <c r="AQ408" t="n">
        <v>0</v>
      </c>
      <c r="AR408" t="inlineStr">
        <is>
          <t>No</t>
        </is>
      </c>
      <c r="AS408" t="inlineStr">
        <is>
          <t>Yes</t>
        </is>
      </c>
      <c r="AT408">
        <f>HYPERLINK("http://catalog.hathitrust.org/Record/000571011","HathiTrust Record")</f>
        <v/>
      </c>
      <c r="AU408">
        <f>HYPERLINK("https://creighton-primo.hosted.exlibrisgroup.com/primo-explore/search?tab=default_tab&amp;search_scope=EVERYTHING&amp;vid=01CRU&amp;lang=en_US&amp;offset=0&amp;query=any,contains,991000732709702656","Catalog Record")</f>
        <v/>
      </c>
      <c r="AV408">
        <f>HYPERLINK("http://www.worldcat.org/oclc/9465161","WorldCat Record")</f>
        <v/>
      </c>
      <c r="AW408" t="inlineStr">
        <is>
          <t>1172146:eng</t>
        </is>
      </c>
      <c r="AX408" t="inlineStr">
        <is>
          <t>9465161</t>
        </is>
      </c>
      <c r="AY408" t="inlineStr">
        <is>
          <t>991000732709702656</t>
        </is>
      </c>
      <c r="AZ408" t="inlineStr">
        <is>
          <t>991000732709702656</t>
        </is>
      </c>
      <c r="BA408" t="inlineStr">
        <is>
          <t>2263592140002656</t>
        </is>
      </c>
      <c r="BB408" t="inlineStr">
        <is>
          <t>BOOK</t>
        </is>
      </c>
      <c r="BD408" t="inlineStr">
        <is>
          <t>9780124274600</t>
        </is>
      </c>
      <c r="BE408" t="inlineStr">
        <is>
          <t>30001000708737</t>
        </is>
      </c>
      <c r="BF408" t="inlineStr">
        <is>
          <t>893373544</t>
        </is>
      </c>
    </row>
    <row r="409">
      <c r="A409" t="inlineStr">
        <is>
          <t>No</t>
        </is>
      </c>
      <c r="B409" t="inlineStr">
        <is>
          <t>CUHSL</t>
        </is>
      </c>
      <c r="C409" t="inlineStr">
        <is>
          <t>SHELVES</t>
        </is>
      </c>
      <c r="D409" t="inlineStr">
        <is>
          <t>WA 776 S949i 1980</t>
        </is>
      </c>
      <c r="E409" t="inlineStr">
        <is>
          <t>0                      WA 0776000S  949i        1980</t>
        </is>
      </c>
      <c r="F409" t="inlineStr">
        <is>
          <t>Industrial noise pollution and hearing impairment : problems of prevention, diagnosis, and certification criteria / Wiesław J. Sułkowski ; [edited by John J. Danek].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Sułkowski, Wiesław J.</t>
        </is>
      </c>
      <c r="N409" t="inlineStr">
        <is>
          <t>Warsaw : Foreign Scientific Publications Dept., National Center for Scientific, Technical and Economic Information ; Springfield, Va. : available from the National Technical Information Service, c1980.</t>
        </is>
      </c>
      <c r="O409" t="inlineStr">
        <is>
          <t>1980</t>
        </is>
      </c>
      <c r="Q409" t="inlineStr">
        <is>
          <t>eng</t>
        </is>
      </c>
      <c r="R409" t="inlineStr">
        <is>
          <t xml:space="preserve">pl </t>
        </is>
      </c>
      <c r="T409" t="inlineStr">
        <is>
          <t xml:space="preserve">WA </t>
        </is>
      </c>
      <c r="U409" t="n">
        <v>5</v>
      </c>
      <c r="V409" t="n">
        <v>5</v>
      </c>
      <c r="W409" t="inlineStr">
        <is>
          <t>1995-05-17</t>
        </is>
      </c>
      <c r="X409" t="inlineStr">
        <is>
          <t>1995-05-17</t>
        </is>
      </c>
      <c r="Y409" t="inlineStr">
        <is>
          <t>1988-01-04</t>
        </is>
      </c>
      <c r="Z409" t="inlineStr">
        <is>
          <t>1988-01-04</t>
        </is>
      </c>
      <c r="AA409" t="n">
        <v>130</v>
      </c>
      <c r="AB409" t="n">
        <v>111</v>
      </c>
      <c r="AC409" t="n">
        <v>114</v>
      </c>
      <c r="AD409" t="n">
        <v>1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HYPERLINK("http://catalog.hathitrust.org/Record/000156391","HathiTrust Record")</f>
        <v/>
      </c>
      <c r="AU409">
        <f>HYPERLINK("https://creighton-primo.hosted.exlibrisgroup.com/primo-explore/search?tab=default_tab&amp;search_scope=EVERYTHING&amp;vid=01CRU&amp;lang=en_US&amp;offset=0&amp;query=any,contains,991000732849702656","Catalog Record")</f>
        <v/>
      </c>
      <c r="AV409">
        <f>HYPERLINK("http://www.worldcat.org/oclc/6625490","WorldCat Record")</f>
        <v/>
      </c>
      <c r="AW409" t="inlineStr">
        <is>
          <t>23045812:eng</t>
        </is>
      </c>
      <c r="AX409" t="inlineStr">
        <is>
          <t>6625490</t>
        </is>
      </c>
      <c r="AY409" t="inlineStr">
        <is>
          <t>991000732849702656</t>
        </is>
      </c>
      <c r="AZ409" t="inlineStr">
        <is>
          <t>991000732849702656</t>
        </is>
      </c>
      <c r="BA409" t="inlineStr">
        <is>
          <t>2255461720002656</t>
        </is>
      </c>
      <c r="BB409" t="inlineStr">
        <is>
          <t>BOOK</t>
        </is>
      </c>
      <c r="BE409" t="inlineStr">
        <is>
          <t>30001000708752</t>
        </is>
      </c>
      <c r="BF409" t="inlineStr">
        <is>
          <t>893167640</t>
        </is>
      </c>
    </row>
    <row r="410">
      <c r="A410" t="inlineStr">
        <is>
          <t>No</t>
        </is>
      </c>
      <c r="B410" t="inlineStr">
        <is>
          <t>CUHSL</t>
        </is>
      </c>
      <c r="C410" t="inlineStr">
        <is>
          <t>SHELVES</t>
        </is>
      </c>
      <c r="D410" t="inlineStr">
        <is>
          <t>WA 840 I78d 1994</t>
        </is>
      </c>
      <c r="E410" t="inlineStr">
        <is>
          <t>0                      WA 0840000I  78d         1994</t>
        </is>
      </c>
      <c r="F410" t="inlineStr">
        <is>
          <t>Death to dust : what happens to dead bodies? / Kenneth V. Iserson.</t>
        </is>
      </c>
      <c r="H410" t="inlineStr">
        <is>
          <t>No</t>
        </is>
      </c>
      <c r="I410" t="inlineStr">
        <is>
          <t>1</t>
        </is>
      </c>
      <c r="J410" t="inlineStr">
        <is>
          <t>Yes</t>
        </is>
      </c>
      <c r="K410" t="inlineStr">
        <is>
          <t>Yes</t>
        </is>
      </c>
      <c r="L410" t="inlineStr">
        <is>
          <t>0</t>
        </is>
      </c>
      <c r="M410" t="inlineStr">
        <is>
          <t>Iserson, Kenneth V.</t>
        </is>
      </c>
      <c r="N410" t="inlineStr">
        <is>
          <t>Tucson, AZ : Galen Press, c1994.</t>
        </is>
      </c>
      <c r="O410" t="inlineStr">
        <is>
          <t>1994</t>
        </is>
      </c>
      <c r="Q410" t="inlineStr">
        <is>
          <t>eng</t>
        </is>
      </c>
      <c r="R410" t="inlineStr">
        <is>
          <t>azu</t>
        </is>
      </c>
      <c r="T410" t="inlineStr">
        <is>
          <t xml:space="preserve">WA </t>
        </is>
      </c>
      <c r="U410" t="n">
        <v>20</v>
      </c>
      <c r="V410" t="n">
        <v>23</v>
      </c>
      <c r="W410" t="inlineStr">
        <is>
          <t>2004-10-13</t>
        </is>
      </c>
      <c r="X410" t="inlineStr">
        <is>
          <t>2004-10-13</t>
        </is>
      </c>
      <c r="Y410" t="inlineStr">
        <is>
          <t>1995-02-20</t>
        </is>
      </c>
      <c r="Z410" t="inlineStr">
        <is>
          <t>1995-02-20</t>
        </is>
      </c>
      <c r="AA410" t="n">
        <v>823</v>
      </c>
      <c r="AB410" t="n">
        <v>776</v>
      </c>
      <c r="AC410" t="n">
        <v>1024</v>
      </c>
      <c r="AD410" t="n">
        <v>7</v>
      </c>
      <c r="AE410" t="n">
        <v>9</v>
      </c>
      <c r="AF410" t="n">
        <v>27</v>
      </c>
      <c r="AG410" t="n">
        <v>36</v>
      </c>
      <c r="AH410" t="n">
        <v>6</v>
      </c>
      <c r="AI410" t="n">
        <v>11</v>
      </c>
      <c r="AJ410" t="n">
        <v>4</v>
      </c>
      <c r="AK410" t="n">
        <v>5</v>
      </c>
      <c r="AL410" t="n">
        <v>11</v>
      </c>
      <c r="AM410" t="n">
        <v>13</v>
      </c>
      <c r="AN410" t="n">
        <v>4</v>
      </c>
      <c r="AO410" t="n">
        <v>6</v>
      </c>
      <c r="AP410" t="n">
        <v>6</v>
      </c>
      <c r="AQ410" t="n">
        <v>6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HYPERLINK("http://catalog.hathitrust.org/Record/002860573","HathiTrust Record")</f>
        <v/>
      </c>
      <c r="AU410">
        <f>HYPERLINK("https://creighton-primo.hosted.exlibrisgroup.com/primo-explore/search?tab=default_tab&amp;search_scope=EVERYTHING&amp;vid=01CRU&amp;lang=en_US&amp;offset=0&amp;query=any,contains,991001660959702656","Catalog Record")</f>
        <v/>
      </c>
      <c r="AV410">
        <f>HYPERLINK("http://www.worldcat.org/oclc/29361303","WorldCat Record")</f>
        <v/>
      </c>
      <c r="AW410" t="inlineStr">
        <is>
          <t>1068110:eng</t>
        </is>
      </c>
      <c r="AX410" t="inlineStr">
        <is>
          <t>29361303</t>
        </is>
      </c>
      <c r="AY410" t="inlineStr">
        <is>
          <t>991001660959702656</t>
        </is>
      </c>
      <c r="AZ410" t="inlineStr">
        <is>
          <t>991001660959702656</t>
        </is>
      </c>
      <c r="BA410" t="inlineStr">
        <is>
          <t>2256617220002656</t>
        </is>
      </c>
      <c r="BB410" t="inlineStr">
        <is>
          <t>BOOK</t>
        </is>
      </c>
      <c r="BD410" t="inlineStr">
        <is>
          <t>9781883620073</t>
        </is>
      </c>
      <c r="BE410" t="inlineStr">
        <is>
          <t>30001003146430</t>
        </is>
      </c>
      <c r="BF410" t="inlineStr">
        <is>
          <t>893465663</t>
        </is>
      </c>
    </row>
    <row r="411">
      <c r="A411" t="inlineStr">
        <is>
          <t>No</t>
        </is>
      </c>
      <c r="B411" t="inlineStr">
        <is>
          <t>CUHSL</t>
        </is>
      </c>
      <c r="C411" t="inlineStr">
        <is>
          <t>SHELVES</t>
        </is>
      </c>
      <c r="D411" t="inlineStr">
        <is>
          <t>WA 900 AA1 B2h 1952</t>
        </is>
      </c>
      <c r="E411" t="inlineStr">
        <is>
          <t>0                      WA 0900000AA 1                  B  2h          1952</t>
        </is>
      </c>
      <c r="F411" t="inlineStr">
        <is>
          <t>Health resources in the United States : personnel, facilities, and services / by George W. Bachman and associates.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Bachman, George W. (George William), 1890-</t>
        </is>
      </c>
      <c r="N411" t="inlineStr">
        <is>
          <t>Washington : Brookings Institution, 1952.</t>
        </is>
      </c>
      <c r="O411" t="inlineStr">
        <is>
          <t>1952</t>
        </is>
      </c>
      <c r="Q411" t="inlineStr">
        <is>
          <t>eng</t>
        </is>
      </c>
      <c r="R411" t="inlineStr">
        <is>
          <t>dcu</t>
        </is>
      </c>
      <c r="T411" t="inlineStr">
        <is>
          <t xml:space="preserve">WA </t>
        </is>
      </c>
      <c r="U411" t="n">
        <v>2</v>
      </c>
      <c r="V411" t="n">
        <v>2</v>
      </c>
      <c r="W411" t="inlineStr">
        <is>
          <t>1991-08-07</t>
        </is>
      </c>
      <c r="X411" t="inlineStr">
        <is>
          <t>1991-08-07</t>
        </is>
      </c>
      <c r="Y411" t="inlineStr">
        <is>
          <t>1988-03-24</t>
        </is>
      </c>
      <c r="Z411" t="inlineStr">
        <is>
          <t>1988-03-24</t>
        </is>
      </c>
      <c r="AA411" t="n">
        <v>268</v>
      </c>
      <c r="AB411" t="n">
        <v>233</v>
      </c>
      <c r="AC411" t="n">
        <v>240</v>
      </c>
      <c r="AD411" t="n">
        <v>3</v>
      </c>
      <c r="AE411" t="n">
        <v>3</v>
      </c>
      <c r="AF411" t="n">
        <v>9</v>
      </c>
      <c r="AG411" t="n">
        <v>9</v>
      </c>
      <c r="AH411" t="n">
        <v>2</v>
      </c>
      <c r="AI411" t="n">
        <v>2</v>
      </c>
      <c r="AJ411" t="n">
        <v>1</v>
      </c>
      <c r="AK411" t="n">
        <v>1</v>
      </c>
      <c r="AL411" t="n">
        <v>6</v>
      </c>
      <c r="AM411" t="n">
        <v>6</v>
      </c>
      <c r="AN411" t="n">
        <v>2</v>
      </c>
      <c r="AO411" t="n">
        <v>2</v>
      </c>
      <c r="AP411" t="n">
        <v>0</v>
      </c>
      <c r="AQ411" t="n">
        <v>0</v>
      </c>
      <c r="AR411" t="inlineStr">
        <is>
          <t>Yes</t>
        </is>
      </c>
      <c r="AS411" t="inlineStr">
        <is>
          <t>No</t>
        </is>
      </c>
      <c r="AT411">
        <f>HYPERLINK("http://catalog.hathitrust.org/Record/001558508","HathiTrust Record")</f>
        <v/>
      </c>
      <c r="AU411">
        <f>HYPERLINK("https://creighton-primo.hosted.exlibrisgroup.com/primo-explore/search?tab=default_tab&amp;search_scope=EVERYTHING&amp;vid=01CRU&amp;lang=en_US&amp;offset=0&amp;query=any,contains,991000732949702656","Catalog Record")</f>
        <v/>
      </c>
      <c r="AV411">
        <f>HYPERLINK("http://www.worldcat.org/oclc/1442760","WorldCat Record")</f>
        <v/>
      </c>
      <c r="AW411" t="inlineStr">
        <is>
          <t>2351056:eng</t>
        </is>
      </c>
      <c r="AX411" t="inlineStr">
        <is>
          <t>1442760</t>
        </is>
      </c>
      <c r="AY411" t="inlineStr">
        <is>
          <t>991000732949702656</t>
        </is>
      </c>
      <c r="AZ411" t="inlineStr">
        <is>
          <t>991000732949702656</t>
        </is>
      </c>
      <c r="BA411" t="inlineStr">
        <is>
          <t>2256604140002656</t>
        </is>
      </c>
      <c r="BB411" t="inlineStr">
        <is>
          <t>BOOK</t>
        </is>
      </c>
      <c r="BE411" t="inlineStr">
        <is>
          <t>30001000708778</t>
        </is>
      </c>
      <c r="BF411" t="inlineStr">
        <is>
          <t>893373545</t>
        </is>
      </c>
    </row>
    <row r="412">
      <c r="A412" t="inlineStr">
        <is>
          <t>No</t>
        </is>
      </c>
      <c r="B412" t="inlineStr">
        <is>
          <t>CUHSL</t>
        </is>
      </c>
      <c r="C412" t="inlineStr">
        <is>
          <t>SHELVES</t>
        </is>
      </c>
      <c r="D412" t="inlineStr">
        <is>
          <t>WA 900 AA1 B655 1980</t>
        </is>
      </c>
      <c r="E412" t="inlineStr">
        <is>
          <t>0                      WA 0900000AA 1                  B  655         1980</t>
        </is>
      </c>
      <c r="F412" t="inlineStr">
        <is>
          <t>Blood pressure study 1979 / [compiled by] Society of Actuaries and Association of Life Insurance Medical Directors of America.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N412" t="inlineStr">
        <is>
          <t>[Chicago] : Society of Actuaries and Association of Life Insurance Medical Diretors of America, 1980.</t>
        </is>
      </c>
      <c r="O412" t="inlineStr">
        <is>
          <t>1980</t>
        </is>
      </c>
      <c r="Q412" t="inlineStr">
        <is>
          <t>eng</t>
        </is>
      </c>
      <c r="R412" t="inlineStr">
        <is>
          <t>ilu</t>
        </is>
      </c>
      <c r="T412" t="inlineStr">
        <is>
          <t xml:space="preserve">WA </t>
        </is>
      </c>
      <c r="U412" t="n">
        <v>2</v>
      </c>
      <c r="V412" t="n">
        <v>2</v>
      </c>
      <c r="W412" t="inlineStr">
        <is>
          <t>2004-04-14</t>
        </is>
      </c>
      <c r="X412" t="inlineStr">
        <is>
          <t>2004-04-14</t>
        </is>
      </c>
      <c r="Y412" t="inlineStr">
        <is>
          <t>1988-03-11</t>
        </is>
      </c>
      <c r="Z412" t="inlineStr">
        <is>
          <t>1988-03-11</t>
        </is>
      </c>
      <c r="AA412" t="n">
        <v>101</v>
      </c>
      <c r="AB412" t="n">
        <v>83</v>
      </c>
      <c r="AC412" t="n">
        <v>86</v>
      </c>
      <c r="AD412" t="n">
        <v>2</v>
      </c>
      <c r="AE412" t="n">
        <v>2</v>
      </c>
      <c r="AF412" t="n">
        <v>2</v>
      </c>
      <c r="AG412" t="n">
        <v>2</v>
      </c>
      <c r="AH412" t="n">
        <v>0</v>
      </c>
      <c r="AI412" t="n">
        <v>0</v>
      </c>
      <c r="AJ412" t="n">
        <v>0</v>
      </c>
      <c r="AK412" t="n">
        <v>0</v>
      </c>
      <c r="AL412" t="n">
        <v>1</v>
      </c>
      <c r="AM412" t="n">
        <v>1</v>
      </c>
      <c r="AN412" t="n">
        <v>1</v>
      </c>
      <c r="AO412" t="n">
        <v>1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HYPERLINK("http://catalog.hathitrust.org/Record/000226764","HathiTrust Record")</f>
        <v/>
      </c>
      <c r="AU412">
        <f>HYPERLINK("https://creighton-primo.hosted.exlibrisgroup.com/primo-explore/search?tab=default_tab&amp;search_scope=EVERYTHING&amp;vid=01CRU&amp;lang=en_US&amp;offset=0&amp;query=any,contains,991001287439702656","Catalog Record")</f>
        <v/>
      </c>
      <c r="AV412">
        <f>HYPERLINK("http://www.worldcat.org/oclc/8281481","WorldCat Record")</f>
        <v/>
      </c>
      <c r="AW412" t="inlineStr">
        <is>
          <t>427495455:eng</t>
        </is>
      </c>
      <c r="AX412" t="inlineStr">
        <is>
          <t>8281481</t>
        </is>
      </c>
      <c r="AY412" t="inlineStr">
        <is>
          <t>991001287439702656</t>
        </is>
      </c>
      <c r="AZ412" t="inlineStr">
        <is>
          <t>991001287439702656</t>
        </is>
      </c>
      <c r="BA412" t="inlineStr">
        <is>
          <t>2264446780002656</t>
        </is>
      </c>
      <c r="BB412" t="inlineStr">
        <is>
          <t>BOOK</t>
        </is>
      </c>
      <c r="BE412" t="inlineStr">
        <is>
          <t>30001000389421</t>
        </is>
      </c>
      <c r="BF412" t="inlineStr">
        <is>
          <t>893731844</t>
        </is>
      </c>
    </row>
    <row r="413">
      <c r="A413" t="inlineStr">
        <is>
          <t>No</t>
        </is>
      </c>
      <c r="B413" t="inlineStr">
        <is>
          <t>CUHSL</t>
        </is>
      </c>
      <c r="C413" t="inlineStr">
        <is>
          <t>SHELVES</t>
        </is>
      </c>
      <c r="D413" t="inlineStr">
        <is>
          <t>WA 900 AA1 K19d 2001</t>
        </is>
      </c>
      <c r="E413" t="inlineStr">
        <is>
          <t>0                      WA 0900000AA 1                  K  19d         2001</t>
        </is>
      </c>
      <c r="F413" t="inlineStr">
        <is>
          <t>Disparities and gender gaps in women's health, 1996 : health insurance, access to care, health status / by Barbara L. Kass-Bartelmes, Barbara M. Altman, Amy K. Taylor.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Kass-Bartelmes, Barbara L.</t>
        </is>
      </c>
      <c r="N413" t="inlineStr">
        <is>
          <t>Rockville, MD : U.S. Dept. of Health and Human Services, Public Health Service, Agency for Healthcare Research and Quality, [2001].</t>
        </is>
      </c>
      <c r="O413" t="inlineStr">
        <is>
          <t>2001</t>
        </is>
      </c>
      <c r="Q413" t="inlineStr">
        <is>
          <t>eng</t>
        </is>
      </c>
      <c r="R413" t="inlineStr">
        <is>
          <t>mdu</t>
        </is>
      </c>
      <c r="S413" t="inlineStr">
        <is>
          <t>AHRQ publication ; no. 02-0003</t>
        </is>
      </c>
      <c r="T413" t="inlineStr">
        <is>
          <t xml:space="preserve">WA </t>
        </is>
      </c>
      <c r="U413" t="n">
        <v>1</v>
      </c>
      <c r="V413" t="n">
        <v>1</v>
      </c>
      <c r="W413" t="inlineStr">
        <is>
          <t>2003-03-22</t>
        </is>
      </c>
      <c r="X413" t="inlineStr">
        <is>
          <t>2003-03-22</t>
        </is>
      </c>
      <c r="Y413" t="inlineStr">
        <is>
          <t>2002-05-31</t>
        </is>
      </c>
      <c r="Z413" t="inlineStr">
        <is>
          <t>2002-05-31</t>
        </is>
      </c>
      <c r="AA413" t="n">
        <v>51</v>
      </c>
      <c r="AB413" t="n">
        <v>49</v>
      </c>
      <c r="AC413" t="n">
        <v>291</v>
      </c>
      <c r="AD413" t="n">
        <v>1</v>
      </c>
      <c r="AE413" t="n">
        <v>4</v>
      </c>
      <c r="AF413" t="n">
        <v>1</v>
      </c>
      <c r="AG413" t="n">
        <v>11</v>
      </c>
      <c r="AH413" t="n">
        <v>0</v>
      </c>
      <c r="AI413" t="n">
        <v>3</v>
      </c>
      <c r="AJ413" t="n">
        <v>0</v>
      </c>
      <c r="AK413" t="n">
        <v>3</v>
      </c>
      <c r="AL413" t="n">
        <v>1</v>
      </c>
      <c r="AM413" t="n">
        <v>4</v>
      </c>
      <c r="AN413" t="n">
        <v>0</v>
      </c>
      <c r="AO413" t="n">
        <v>3</v>
      </c>
      <c r="AP413" t="n">
        <v>0</v>
      </c>
      <c r="AQ413" t="n">
        <v>0</v>
      </c>
      <c r="AR413" t="inlineStr">
        <is>
          <t>Yes</t>
        </is>
      </c>
      <c r="AS413" t="inlineStr">
        <is>
          <t>No</t>
        </is>
      </c>
      <c r="AT413">
        <f>HYPERLINK("http://catalog.hathitrust.org/Record/003800358","HathiTrust Record")</f>
        <v/>
      </c>
      <c r="AU413">
        <f>HYPERLINK("https://creighton-primo.hosted.exlibrisgroup.com/primo-explore/search?tab=default_tab&amp;search_scope=EVERYTHING&amp;vid=01CRU&amp;lang=en_US&amp;offset=0&amp;query=any,contains,991000303719702656","Catalog Record")</f>
        <v/>
      </c>
      <c r="AV413">
        <f>HYPERLINK("http://www.worldcat.org/oclc/48800318","WorldCat Record")</f>
        <v/>
      </c>
      <c r="AW413" t="inlineStr">
        <is>
          <t>37604885:eng</t>
        </is>
      </c>
      <c r="AX413" t="inlineStr">
        <is>
          <t>48800318</t>
        </is>
      </c>
      <c r="AY413" t="inlineStr">
        <is>
          <t>991000303719702656</t>
        </is>
      </c>
      <c r="AZ413" t="inlineStr">
        <is>
          <t>991000303719702656</t>
        </is>
      </c>
      <c r="BA413" t="inlineStr">
        <is>
          <t>2261023970002656</t>
        </is>
      </c>
      <c r="BB413" t="inlineStr">
        <is>
          <t>BOOK</t>
        </is>
      </c>
      <c r="BD413" t="inlineStr">
        <is>
          <t>9781587630606</t>
        </is>
      </c>
      <c r="BE413" t="inlineStr">
        <is>
          <t>30001004406460</t>
        </is>
      </c>
      <c r="BF413" t="inlineStr">
        <is>
          <t>893558755</t>
        </is>
      </c>
    </row>
    <row r="414">
      <c r="A414" t="inlineStr">
        <is>
          <t>No</t>
        </is>
      </c>
      <c r="B414" t="inlineStr">
        <is>
          <t>CUHSL</t>
        </is>
      </c>
      <c r="C414" t="inlineStr">
        <is>
          <t>SHELVES</t>
        </is>
      </c>
      <c r="D414" t="inlineStr">
        <is>
          <t>WA 900 AA1 M887 1992</t>
        </is>
      </c>
      <c r="E414" t="inlineStr">
        <is>
          <t>0                      WA 0900000AA 1                  M  887         1992</t>
        </is>
      </c>
      <c r="F414" t="inlineStr">
        <is>
          <t>A Mortality study of 1.3 million persons by demographic, social and economic factors : 1979-1985 follow-up : U.S. National Longitudinal Mortality Study / Eugene Rogot ... [et al.].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N414" t="inlineStr">
        <is>
          <t>Bethesda, Md.? : U.S. Dept of Health and Human Services, Public Health Service, National Institutes of Health, 1992.</t>
        </is>
      </c>
      <c r="O414" t="inlineStr">
        <is>
          <t>1992</t>
        </is>
      </c>
      <c r="Q414" t="inlineStr">
        <is>
          <t>eng</t>
        </is>
      </c>
      <c r="R414" t="inlineStr">
        <is>
          <t>mdu</t>
        </is>
      </c>
      <c r="S414" t="inlineStr">
        <is>
          <t>NIH publication ; no. 92-3297</t>
        </is>
      </c>
      <c r="T414" t="inlineStr">
        <is>
          <t xml:space="preserve">WA </t>
        </is>
      </c>
      <c r="U414" t="n">
        <v>5</v>
      </c>
      <c r="V414" t="n">
        <v>5</v>
      </c>
      <c r="W414" t="inlineStr">
        <is>
          <t>1995-10-11</t>
        </is>
      </c>
      <c r="X414" t="inlineStr">
        <is>
          <t>1995-10-11</t>
        </is>
      </c>
      <c r="Y414" t="inlineStr">
        <is>
          <t>1992-08-31</t>
        </is>
      </c>
      <c r="Z414" t="inlineStr">
        <is>
          <t>1992-08-31</t>
        </is>
      </c>
      <c r="AA414" t="n">
        <v>337</v>
      </c>
      <c r="AB414" t="n">
        <v>319</v>
      </c>
      <c r="AC414" t="n">
        <v>333</v>
      </c>
      <c r="AD414" t="n">
        <v>3</v>
      </c>
      <c r="AE414" t="n">
        <v>4</v>
      </c>
      <c r="AF414" t="n">
        <v>10</v>
      </c>
      <c r="AG414" t="n">
        <v>12</v>
      </c>
      <c r="AH414" t="n">
        <v>4</v>
      </c>
      <c r="AI414" t="n">
        <v>4</v>
      </c>
      <c r="AJ414" t="n">
        <v>3</v>
      </c>
      <c r="AK414" t="n">
        <v>4</v>
      </c>
      <c r="AL414" t="n">
        <v>3</v>
      </c>
      <c r="AM414" t="n">
        <v>3</v>
      </c>
      <c r="AN414" t="n">
        <v>1</v>
      </c>
      <c r="AO414" t="n">
        <v>2</v>
      </c>
      <c r="AP414" t="n">
        <v>1</v>
      </c>
      <c r="AQ414" t="n">
        <v>1</v>
      </c>
      <c r="AR414" t="inlineStr">
        <is>
          <t>Yes</t>
        </is>
      </c>
      <c r="AS414" t="inlineStr">
        <is>
          <t>No</t>
        </is>
      </c>
      <c r="AT414">
        <f>HYPERLINK("http://catalog.hathitrust.org/Record/002627815","HathiTrust Record")</f>
        <v/>
      </c>
      <c r="AU414">
        <f>HYPERLINK("https://creighton-primo.hosted.exlibrisgroup.com/primo-explore/search?tab=default_tab&amp;search_scope=EVERYTHING&amp;vid=01CRU&amp;lang=en_US&amp;offset=0&amp;query=any,contains,991001340239702656","Catalog Record")</f>
        <v/>
      </c>
      <c r="AV414">
        <f>HYPERLINK("http://www.worldcat.org/oclc/28345322","WorldCat Record")</f>
        <v/>
      </c>
      <c r="AW414" t="inlineStr">
        <is>
          <t>855536847:eng</t>
        </is>
      </c>
      <c r="AX414" t="inlineStr">
        <is>
          <t>28345322</t>
        </is>
      </c>
      <c r="AY414" t="inlineStr">
        <is>
          <t>991001340239702656</t>
        </is>
      </c>
      <c r="AZ414" t="inlineStr">
        <is>
          <t>991001340239702656</t>
        </is>
      </c>
      <c r="BA414" t="inlineStr">
        <is>
          <t>2259291080002656</t>
        </is>
      </c>
      <c r="BB414" t="inlineStr">
        <is>
          <t>BOOK</t>
        </is>
      </c>
      <c r="BE414" t="inlineStr">
        <is>
          <t>30001002455352</t>
        </is>
      </c>
      <c r="BF414" t="inlineStr">
        <is>
          <t>893358494</t>
        </is>
      </c>
    </row>
    <row r="415">
      <c r="A415" t="inlineStr">
        <is>
          <t>No</t>
        </is>
      </c>
      <c r="B415" t="inlineStr">
        <is>
          <t>CUHSL</t>
        </is>
      </c>
      <c r="C415" t="inlineStr">
        <is>
          <t>SHELVES</t>
        </is>
      </c>
      <c r="D415" t="inlineStr">
        <is>
          <t>WA 900 AN1 M886 1979-83</t>
        </is>
      </c>
      <c r="E415" t="inlineStr">
        <is>
          <t>0                      WA 0900000AN 1                  M  886         1979                  -83</t>
        </is>
      </c>
      <c r="F415" t="inlineStr">
        <is>
          <t>Mortality surveillance Nebraska, 1979-1983 / prepared by Nebraska Dept. of Health, Division of Health Data and Statistical Research.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Lincoln, NE : The Division, [1984?]</t>
        </is>
      </c>
      <c r="O415" t="inlineStr">
        <is>
          <t>1984</t>
        </is>
      </c>
      <c r="Q415" t="inlineStr">
        <is>
          <t>eng</t>
        </is>
      </c>
      <c r="R415" t="inlineStr">
        <is>
          <t>nbu</t>
        </is>
      </c>
      <c r="T415" t="inlineStr">
        <is>
          <t xml:space="preserve">WA </t>
        </is>
      </c>
      <c r="U415" t="n">
        <v>1</v>
      </c>
      <c r="V415" t="n">
        <v>1</v>
      </c>
      <c r="W415" t="inlineStr">
        <is>
          <t>1995-10-11</t>
        </is>
      </c>
      <c r="X415" t="inlineStr">
        <is>
          <t>1995-10-11</t>
        </is>
      </c>
      <c r="Y415" t="inlineStr">
        <is>
          <t>1988-03-11</t>
        </is>
      </c>
      <c r="Z415" t="inlineStr">
        <is>
          <t>1988-03-11</t>
        </is>
      </c>
      <c r="AA415" t="n">
        <v>2</v>
      </c>
      <c r="AB415" t="n">
        <v>2</v>
      </c>
      <c r="AC415" t="n">
        <v>5</v>
      </c>
      <c r="AD415" t="n">
        <v>2</v>
      </c>
      <c r="AE415" t="n">
        <v>3</v>
      </c>
      <c r="AF415" t="n">
        <v>0</v>
      </c>
      <c r="AG415" t="n">
        <v>1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1</v>
      </c>
      <c r="AP415" t="n">
        <v>0</v>
      </c>
      <c r="AQ415" t="n">
        <v>0</v>
      </c>
      <c r="AR415" t="inlineStr">
        <is>
          <t>No</t>
        </is>
      </c>
      <c r="AS415" t="inlineStr">
        <is>
          <t>No</t>
        </is>
      </c>
      <c r="AU415">
        <f>HYPERLINK("https://creighton-primo.hosted.exlibrisgroup.com/primo-explore/search?tab=default_tab&amp;search_scope=EVERYTHING&amp;vid=01CRU&amp;lang=en_US&amp;offset=0&amp;query=any,contains,991001276809702656","Catalog Record")</f>
        <v/>
      </c>
      <c r="AV415">
        <f>HYPERLINK("http://www.worldcat.org/oclc/16415414","WorldCat Record")</f>
        <v/>
      </c>
      <c r="AW415" t="inlineStr">
        <is>
          <t>54997012:eng</t>
        </is>
      </c>
      <c r="AX415" t="inlineStr">
        <is>
          <t>16415414</t>
        </is>
      </c>
      <c r="AY415" t="inlineStr">
        <is>
          <t>991001276809702656</t>
        </is>
      </c>
      <c r="AZ415" t="inlineStr">
        <is>
          <t>991001276809702656</t>
        </is>
      </c>
      <c r="BA415" t="inlineStr">
        <is>
          <t>2260425360002656</t>
        </is>
      </c>
      <c r="BB415" t="inlineStr">
        <is>
          <t>BOOK</t>
        </is>
      </c>
      <c r="BE415" t="inlineStr">
        <is>
          <t>30001000359564</t>
        </is>
      </c>
      <c r="BF415" t="inlineStr">
        <is>
          <t>893541178</t>
        </is>
      </c>
    </row>
    <row r="416">
      <c r="A416" t="inlineStr">
        <is>
          <t>No</t>
        </is>
      </c>
      <c r="B416" t="inlineStr">
        <is>
          <t>CUHSL</t>
        </is>
      </c>
      <c r="C416" t="inlineStr">
        <is>
          <t>SHELVES</t>
        </is>
      </c>
      <c r="D416" t="inlineStr">
        <is>
          <t>WA 900 AN1 N362 1992</t>
        </is>
      </c>
      <c r="E416" t="inlineStr">
        <is>
          <t>0                      WA 0900000AN 1                  N  362         1992</t>
        </is>
      </c>
      <c r="F416" t="inlineStr">
        <is>
          <t>Nebraska year 2000 health goals and objectives.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N416" t="inlineStr">
        <is>
          <t>Lincoln, Neb. (301 Centennial Mall South, P.O. Box 95007, Lincoln 68509-5007 : Nebraska Dept. of Health, Division of Health Policy and Planning, [1992]</t>
        </is>
      </c>
      <c r="O416" t="inlineStr">
        <is>
          <t>1992</t>
        </is>
      </c>
      <c r="P416" t="inlineStr">
        <is>
          <t>2nd edition.</t>
        </is>
      </c>
      <c r="Q416" t="inlineStr">
        <is>
          <t>eng</t>
        </is>
      </c>
      <c r="R416" t="inlineStr">
        <is>
          <t>nbu</t>
        </is>
      </c>
      <c r="T416" t="inlineStr">
        <is>
          <t xml:space="preserve">WA </t>
        </is>
      </c>
      <c r="U416" t="n">
        <v>12</v>
      </c>
      <c r="V416" t="n">
        <v>12</v>
      </c>
      <c r="W416" t="inlineStr">
        <is>
          <t>1997-05-25</t>
        </is>
      </c>
      <c r="X416" t="inlineStr">
        <is>
          <t>1997-05-25</t>
        </is>
      </c>
      <c r="Y416" t="inlineStr">
        <is>
          <t>1994-07-21</t>
        </is>
      </c>
      <c r="Z416" t="inlineStr">
        <is>
          <t>1994-07-21</t>
        </is>
      </c>
      <c r="AA416" t="n">
        <v>5</v>
      </c>
      <c r="AB416" t="n">
        <v>5</v>
      </c>
      <c r="AC416" t="n">
        <v>6</v>
      </c>
      <c r="AD416" t="n">
        <v>3</v>
      </c>
      <c r="AE416" t="n">
        <v>4</v>
      </c>
      <c r="AF416" t="n">
        <v>1</v>
      </c>
      <c r="AG416" t="n">
        <v>2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1</v>
      </c>
      <c r="AO416" t="n">
        <v>2</v>
      </c>
      <c r="AP416" t="n">
        <v>0</v>
      </c>
      <c r="AQ416" t="n">
        <v>0</v>
      </c>
      <c r="AR416" t="inlineStr">
        <is>
          <t>No</t>
        </is>
      </c>
      <c r="AS416" t="inlineStr">
        <is>
          <t>No</t>
        </is>
      </c>
      <c r="AU416">
        <f>HYPERLINK("https://creighton-primo.hosted.exlibrisgroup.com/primo-explore/search?tab=default_tab&amp;search_scope=EVERYTHING&amp;vid=01CRU&amp;lang=en_US&amp;offset=0&amp;query=any,contains,991000671719702656","Catalog Record")</f>
        <v/>
      </c>
      <c r="AV416">
        <f>HYPERLINK("http://www.worldcat.org/oclc/27323700","WorldCat Record")</f>
        <v/>
      </c>
      <c r="AW416" t="inlineStr">
        <is>
          <t>3145357446:eng</t>
        </is>
      </c>
      <c r="AX416" t="inlineStr">
        <is>
          <t>27323700</t>
        </is>
      </c>
      <c r="AY416" t="inlineStr">
        <is>
          <t>991000671719702656</t>
        </is>
      </c>
      <c r="AZ416" t="inlineStr">
        <is>
          <t>991000671719702656</t>
        </is>
      </c>
      <c r="BA416" t="inlineStr">
        <is>
          <t>2257827180002656</t>
        </is>
      </c>
      <c r="BB416" t="inlineStr">
        <is>
          <t>BOOK</t>
        </is>
      </c>
      <c r="BE416" t="inlineStr">
        <is>
          <t>30001002696138</t>
        </is>
      </c>
      <c r="BF416" t="inlineStr">
        <is>
          <t>893545488</t>
        </is>
      </c>
    </row>
    <row r="417">
      <c r="A417" t="inlineStr">
        <is>
          <t>No</t>
        </is>
      </c>
      <c r="B417" t="inlineStr">
        <is>
          <t>CUHSL</t>
        </is>
      </c>
      <c r="C417" t="inlineStr">
        <is>
          <t>SHELVES</t>
        </is>
      </c>
      <c r="D417" t="inlineStr">
        <is>
          <t>WA 900 AN1 N767 2003</t>
        </is>
      </c>
      <c r="E417" t="inlineStr">
        <is>
          <t>0                      WA 0900000AN 1                  N  767         2003</t>
        </is>
      </c>
      <c r="F417" t="inlineStr">
        <is>
          <t>Health status of racial and ethnic minorities in Nebraska / prepared by Onyema G. Nkwocha, Office of Minority Health and Human Services, in collaboration with Norman Nelson, Research and Performance Measurement HHSS Graphics Unit.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Yes</t>
        </is>
      </c>
      <c r="L417" t="inlineStr">
        <is>
          <t>0</t>
        </is>
      </c>
      <c r="N417" t="inlineStr">
        <is>
          <t>[S.l. : The Office, 2003]</t>
        </is>
      </c>
      <c r="O417" t="inlineStr">
        <is>
          <t>2003</t>
        </is>
      </c>
      <c r="P417" t="inlineStr">
        <is>
          <t>4th ed., rev. 3rd</t>
        </is>
      </c>
      <c r="Q417" t="inlineStr">
        <is>
          <t>eng</t>
        </is>
      </c>
      <c r="R417" t="inlineStr">
        <is>
          <t>nbu</t>
        </is>
      </c>
      <c r="T417" t="inlineStr">
        <is>
          <t xml:space="preserve">WA </t>
        </is>
      </c>
      <c r="U417" t="n">
        <v>4</v>
      </c>
      <c r="V417" t="n">
        <v>4</v>
      </c>
      <c r="W417" t="inlineStr">
        <is>
          <t>2004-04-29</t>
        </is>
      </c>
      <c r="X417" t="inlineStr">
        <is>
          <t>2004-04-29</t>
        </is>
      </c>
      <c r="Y417" t="inlineStr">
        <is>
          <t>2004-02-06</t>
        </is>
      </c>
      <c r="Z417" t="inlineStr">
        <is>
          <t>2004-02-06</t>
        </is>
      </c>
      <c r="AA417" t="n">
        <v>1</v>
      </c>
      <c r="AB417" t="n">
        <v>1</v>
      </c>
      <c r="AC417" t="n">
        <v>6</v>
      </c>
      <c r="AD417" t="n">
        <v>1</v>
      </c>
      <c r="AE417" t="n">
        <v>6</v>
      </c>
      <c r="AF417" t="n">
        <v>0</v>
      </c>
      <c r="AG417" t="n">
        <v>4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4</v>
      </c>
      <c r="AP417" t="n">
        <v>0</v>
      </c>
      <c r="AQ417" t="n">
        <v>0</v>
      </c>
      <c r="AR417" t="inlineStr">
        <is>
          <t>No</t>
        </is>
      </c>
      <c r="AS417" t="inlineStr">
        <is>
          <t>No</t>
        </is>
      </c>
      <c r="AU417">
        <f>HYPERLINK("https://creighton-primo.hosted.exlibrisgroup.com/primo-explore/search?tab=default_tab&amp;search_scope=EVERYTHING&amp;vid=01CRU&amp;lang=en_US&amp;offset=0&amp;query=any,contains,991000365829702656","Catalog Record")</f>
        <v/>
      </c>
      <c r="AV417">
        <f>HYPERLINK("http://www.worldcat.org/oclc/54367249","WorldCat Record")</f>
        <v/>
      </c>
      <c r="AW417" t="inlineStr">
        <is>
          <t>478523133:eng</t>
        </is>
      </c>
      <c r="AX417" t="inlineStr">
        <is>
          <t>54367249</t>
        </is>
      </c>
      <c r="AY417" t="inlineStr">
        <is>
          <t>991000365829702656</t>
        </is>
      </c>
      <c r="AZ417" t="inlineStr">
        <is>
          <t>991000365829702656</t>
        </is>
      </c>
      <c r="BA417" t="inlineStr">
        <is>
          <t>22101747000002656</t>
        </is>
      </c>
      <c r="BB417" t="inlineStr">
        <is>
          <t>BOOK</t>
        </is>
      </c>
      <c r="BE417" t="inlineStr">
        <is>
          <t>30001004901536</t>
        </is>
      </c>
      <c r="BF417" t="inlineStr">
        <is>
          <t>893644323</t>
        </is>
      </c>
    </row>
    <row r="418">
      <c r="A418" t="inlineStr">
        <is>
          <t>No</t>
        </is>
      </c>
      <c r="B418" t="inlineStr">
        <is>
          <t>CUHSL</t>
        </is>
      </c>
      <c r="C418" t="inlineStr">
        <is>
          <t>SHELVES</t>
        </is>
      </c>
      <c r="D418" t="inlineStr">
        <is>
          <t>WA 900 D814t 1937</t>
        </is>
      </c>
      <c r="E418" t="inlineStr">
        <is>
          <t>0                      WA 0900000D  814t        1937</t>
        </is>
      </c>
      <c r="F418" t="inlineStr">
        <is>
          <t>Twenty-five years of health progress : a study of the mortality experience among the industrial policyholders of the Metropolitan Life Insurance Company 1911 to 1935 / by Louis I. Dublin, and Alfred J. Lotka ; with the collaboration of the staff of the Statistical Bureau.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Dublin, Louis I. (Louis Israel), 1882-1969.</t>
        </is>
      </c>
      <c r="N418" t="inlineStr">
        <is>
          <t>New York ; San Francisco : Metropolitan Life Insurance Company, c1937.</t>
        </is>
      </c>
      <c r="O418" t="inlineStr">
        <is>
          <t>1937</t>
        </is>
      </c>
      <c r="Q418" t="inlineStr">
        <is>
          <t>eng</t>
        </is>
      </c>
      <c r="R418" t="inlineStr">
        <is>
          <t>nyu</t>
        </is>
      </c>
      <c r="T418" t="inlineStr">
        <is>
          <t xml:space="preserve">WA </t>
        </is>
      </c>
      <c r="U418" t="n">
        <v>1</v>
      </c>
      <c r="V418" t="n">
        <v>1</v>
      </c>
      <c r="W418" t="inlineStr">
        <is>
          <t>1991-08-07</t>
        </is>
      </c>
      <c r="X418" t="inlineStr">
        <is>
          <t>1991-08-07</t>
        </is>
      </c>
      <c r="Y418" t="inlineStr">
        <is>
          <t>1987-09-16</t>
        </is>
      </c>
      <c r="Z418" t="inlineStr">
        <is>
          <t>1987-09-16</t>
        </is>
      </c>
      <c r="AA418" t="n">
        <v>260</v>
      </c>
      <c r="AB418" t="n">
        <v>241</v>
      </c>
      <c r="AC418" t="n">
        <v>248</v>
      </c>
      <c r="AD418" t="n">
        <v>2</v>
      </c>
      <c r="AE418" t="n">
        <v>2</v>
      </c>
      <c r="AF418" t="n">
        <v>13</v>
      </c>
      <c r="AG418" t="n">
        <v>13</v>
      </c>
      <c r="AH418" t="n">
        <v>2</v>
      </c>
      <c r="AI418" t="n">
        <v>2</v>
      </c>
      <c r="AJ418" t="n">
        <v>3</v>
      </c>
      <c r="AK418" t="n">
        <v>3</v>
      </c>
      <c r="AL418" t="n">
        <v>9</v>
      </c>
      <c r="AM418" t="n">
        <v>9</v>
      </c>
      <c r="AN418" t="n">
        <v>1</v>
      </c>
      <c r="AO418" t="n">
        <v>1</v>
      </c>
      <c r="AP418" t="n">
        <v>0</v>
      </c>
      <c r="AQ418" t="n">
        <v>0</v>
      </c>
      <c r="AR418" t="inlineStr">
        <is>
          <t>Yes</t>
        </is>
      </c>
      <c r="AS418" t="inlineStr">
        <is>
          <t>No</t>
        </is>
      </c>
      <c r="AT418">
        <f>HYPERLINK("http://catalog.hathitrust.org/Record/001310623","HathiTrust Record")</f>
        <v/>
      </c>
      <c r="AU418">
        <f>HYPERLINK("https://creighton-primo.hosted.exlibrisgroup.com/primo-explore/search?tab=default_tab&amp;search_scope=EVERYTHING&amp;vid=01CRU&amp;lang=en_US&amp;offset=0&amp;query=any,contains,991000803829702656","Catalog Record")</f>
        <v/>
      </c>
      <c r="AV418">
        <f>HYPERLINK("http://www.worldcat.org/oclc/185381","WorldCat Record")</f>
        <v/>
      </c>
      <c r="AW418" t="inlineStr">
        <is>
          <t>144439961:eng</t>
        </is>
      </c>
      <c r="AX418" t="inlineStr">
        <is>
          <t>185381</t>
        </is>
      </c>
      <c r="AY418" t="inlineStr">
        <is>
          <t>991000803829702656</t>
        </is>
      </c>
      <c r="AZ418" t="inlineStr">
        <is>
          <t>991000803829702656</t>
        </is>
      </c>
      <c r="BA418" t="inlineStr">
        <is>
          <t>2269123750002656</t>
        </is>
      </c>
      <c r="BB418" t="inlineStr">
        <is>
          <t>BOOK</t>
        </is>
      </c>
      <c r="BE418" t="inlineStr">
        <is>
          <t>30001000076176</t>
        </is>
      </c>
      <c r="BF418" t="inlineStr">
        <is>
          <t>893834341</t>
        </is>
      </c>
    </row>
    <row r="419">
      <c r="A419" t="inlineStr">
        <is>
          <t>No</t>
        </is>
      </c>
      <c r="B419" t="inlineStr">
        <is>
          <t>CUHSL</t>
        </is>
      </c>
      <c r="C419" t="inlineStr">
        <is>
          <t>SHELVES</t>
        </is>
      </c>
      <c r="D419" t="inlineStr">
        <is>
          <t>WA900 DA1 H4 1998 V.1</t>
        </is>
      </c>
      <c r="E419" t="inlineStr">
        <is>
          <t>0                      WA 0900000DA 1                  H  4           1998                  V.1</t>
        </is>
      </c>
      <c r="F419" t="inlineStr">
        <is>
          <t>Health in the Americas, 1998 edition.</t>
        </is>
      </c>
      <c r="G419" t="inlineStr">
        <is>
          <t>V. 2</t>
        </is>
      </c>
      <c r="H419" t="inlineStr">
        <is>
          <t>Yes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N419" t="inlineStr">
        <is>
          <t>Washington, D.C. : Pan American Health Organization, Pan American Sanitary Bureau, Regional Office of the World Health Organization, 1998.</t>
        </is>
      </c>
      <c r="O419" t="inlineStr">
        <is>
          <t>1998</t>
        </is>
      </c>
      <c r="Q419" t="inlineStr">
        <is>
          <t>eng</t>
        </is>
      </c>
      <c r="R419" t="inlineStr">
        <is>
          <t>dcu</t>
        </is>
      </c>
      <c r="S419" t="inlineStr">
        <is>
          <t>Scientific publication ; no. 569</t>
        </is>
      </c>
      <c r="T419" t="inlineStr">
        <is>
          <t xml:space="preserve">WA </t>
        </is>
      </c>
      <c r="U419" t="n">
        <v>2</v>
      </c>
      <c r="V419" t="n">
        <v>4</v>
      </c>
      <c r="W419" t="inlineStr">
        <is>
          <t>2007-04-09</t>
        </is>
      </c>
      <c r="X419" t="inlineStr">
        <is>
          <t>2007-04-09</t>
        </is>
      </c>
      <c r="Y419" t="inlineStr">
        <is>
          <t>2002-07-11</t>
        </is>
      </c>
      <c r="Z419" t="inlineStr">
        <is>
          <t>2002-07-11</t>
        </is>
      </c>
      <c r="AA419" t="n">
        <v>64</v>
      </c>
      <c r="AB419" t="n">
        <v>50</v>
      </c>
      <c r="AC419" t="n">
        <v>56</v>
      </c>
      <c r="AD419" t="n">
        <v>1</v>
      </c>
      <c r="AE419" t="n">
        <v>1</v>
      </c>
      <c r="AF419" t="n">
        <v>1</v>
      </c>
      <c r="AG419" t="n">
        <v>1</v>
      </c>
      <c r="AH419" t="n">
        <v>0</v>
      </c>
      <c r="AI419" t="n">
        <v>0</v>
      </c>
      <c r="AJ419" t="n">
        <v>0</v>
      </c>
      <c r="AK419" t="n">
        <v>0</v>
      </c>
      <c r="AL419" t="n">
        <v>1</v>
      </c>
      <c r="AM419" t="n">
        <v>1</v>
      </c>
      <c r="AN419" t="n">
        <v>0</v>
      </c>
      <c r="AO419" t="n">
        <v>0</v>
      </c>
      <c r="AP419" t="n">
        <v>0</v>
      </c>
      <c r="AQ419" t="n">
        <v>0</v>
      </c>
      <c r="AR419" t="inlineStr">
        <is>
          <t>No</t>
        </is>
      </c>
      <c r="AS419" t="inlineStr">
        <is>
          <t>No</t>
        </is>
      </c>
      <c r="AU419">
        <f>HYPERLINK("https://creighton-primo.hosted.exlibrisgroup.com/primo-explore/search?tab=default_tab&amp;search_scope=EVERYTHING&amp;vid=01CRU&amp;lang=en_US&amp;offset=0&amp;query=any,contains,991000325039702656","Catalog Record")</f>
        <v/>
      </c>
      <c r="AV419">
        <f>HYPERLINK("http://www.worldcat.org/oclc/40450293","WorldCat Record")</f>
        <v/>
      </c>
      <c r="AW419" t="inlineStr">
        <is>
          <t>3373469272:eng</t>
        </is>
      </c>
      <c r="AX419" t="inlineStr">
        <is>
          <t>40450293</t>
        </is>
      </c>
      <c r="AY419" t="inlineStr">
        <is>
          <t>991000325039702656</t>
        </is>
      </c>
      <c r="AZ419" t="inlineStr">
        <is>
          <t>991000325039702656</t>
        </is>
      </c>
      <c r="BA419" t="inlineStr">
        <is>
          <t>2267586190002656</t>
        </is>
      </c>
      <c r="BB419" t="inlineStr">
        <is>
          <t>BOOK</t>
        </is>
      </c>
      <c r="BD419" t="inlineStr">
        <is>
          <t>9789275115695</t>
        </is>
      </c>
      <c r="BE419" t="inlineStr">
        <is>
          <t>30001004443075</t>
        </is>
      </c>
      <c r="BF419" t="inlineStr">
        <is>
          <t>893285505</t>
        </is>
      </c>
    </row>
    <row r="420">
      <c r="A420" t="inlineStr">
        <is>
          <t>No</t>
        </is>
      </c>
      <c r="B420" t="inlineStr">
        <is>
          <t>CUHSL</t>
        </is>
      </c>
      <c r="C420" t="inlineStr">
        <is>
          <t>SHELVES</t>
        </is>
      </c>
      <c r="D420" t="inlineStr">
        <is>
          <t>WA900 DA1 H4 1998 V.1</t>
        </is>
      </c>
      <c r="E420" t="inlineStr">
        <is>
          <t>0                      WA 0900000DA 1                  H  4           1998                  V.1</t>
        </is>
      </c>
      <c r="F420" t="inlineStr">
        <is>
          <t>Health in the Americas, 1998 edition.</t>
        </is>
      </c>
      <c r="G420" t="inlineStr">
        <is>
          <t>V. 1</t>
        </is>
      </c>
      <c r="H420" t="inlineStr">
        <is>
          <t>Yes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N420" t="inlineStr">
        <is>
          <t>Washington, D.C. : Pan American Health Organization, Pan American Sanitary Bureau, Regional Office of the World Health Organization, 1998.</t>
        </is>
      </c>
      <c r="O420" t="inlineStr">
        <is>
          <t>1998</t>
        </is>
      </c>
      <c r="Q420" t="inlineStr">
        <is>
          <t>eng</t>
        </is>
      </c>
      <c r="R420" t="inlineStr">
        <is>
          <t>dcu</t>
        </is>
      </c>
      <c r="S420" t="inlineStr">
        <is>
          <t>Scientific publication ; no. 569</t>
        </is>
      </c>
      <c r="T420" t="inlineStr">
        <is>
          <t xml:space="preserve">WA </t>
        </is>
      </c>
      <c r="U420" t="n">
        <v>2</v>
      </c>
      <c r="V420" t="n">
        <v>4</v>
      </c>
      <c r="W420" t="inlineStr">
        <is>
          <t>2007-04-09</t>
        </is>
      </c>
      <c r="X420" t="inlineStr">
        <is>
          <t>2007-04-09</t>
        </is>
      </c>
      <c r="Y420" t="inlineStr">
        <is>
          <t>2002-07-11</t>
        </is>
      </c>
      <c r="Z420" t="inlineStr">
        <is>
          <t>2002-07-11</t>
        </is>
      </c>
      <c r="AA420" t="n">
        <v>64</v>
      </c>
      <c r="AB420" t="n">
        <v>50</v>
      </c>
      <c r="AC420" t="n">
        <v>56</v>
      </c>
      <c r="AD420" t="n">
        <v>1</v>
      </c>
      <c r="AE420" t="n">
        <v>1</v>
      </c>
      <c r="AF420" t="n">
        <v>1</v>
      </c>
      <c r="AG420" t="n">
        <v>1</v>
      </c>
      <c r="AH420" t="n">
        <v>0</v>
      </c>
      <c r="AI420" t="n">
        <v>0</v>
      </c>
      <c r="AJ420" t="n">
        <v>0</v>
      </c>
      <c r="AK420" t="n">
        <v>0</v>
      </c>
      <c r="AL420" t="n">
        <v>1</v>
      </c>
      <c r="AM420" t="n">
        <v>1</v>
      </c>
      <c r="AN420" t="n">
        <v>0</v>
      </c>
      <c r="AO420" t="n">
        <v>0</v>
      </c>
      <c r="AP420" t="n">
        <v>0</v>
      </c>
      <c r="AQ420" t="n">
        <v>0</v>
      </c>
      <c r="AR420" t="inlineStr">
        <is>
          <t>No</t>
        </is>
      </c>
      <c r="AS420" t="inlineStr">
        <is>
          <t>No</t>
        </is>
      </c>
      <c r="AU420">
        <f>HYPERLINK("https://creighton-primo.hosted.exlibrisgroup.com/primo-explore/search?tab=default_tab&amp;search_scope=EVERYTHING&amp;vid=01CRU&amp;lang=en_US&amp;offset=0&amp;query=any,contains,991000325039702656","Catalog Record")</f>
        <v/>
      </c>
      <c r="AV420">
        <f>HYPERLINK("http://www.worldcat.org/oclc/40450293","WorldCat Record")</f>
        <v/>
      </c>
      <c r="AW420" t="inlineStr">
        <is>
          <t>3373469272:eng</t>
        </is>
      </c>
      <c r="AX420" t="inlineStr">
        <is>
          <t>40450293</t>
        </is>
      </c>
      <c r="AY420" t="inlineStr">
        <is>
          <t>991000325039702656</t>
        </is>
      </c>
      <c r="AZ420" t="inlineStr">
        <is>
          <t>991000325039702656</t>
        </is>
      </c>
      <c r="BA420" t="inlineStr">
        <is>
          <t>2267586190002656</t>
        </is>
      </c>
      <c r="BB420" t="inlineStr">
        <is>
          <t>BOOK</t>
        </is>
      </c>
      <c r="BD420" t="inlineStr">
        <is>
          <t>9789275115695</t>
        </is>
      </c>
      <c r="BE420" t="inlineStr">
        <is>
          <t>30001004443083</t>
        </is>
      </c>
      <c r="BF420" t="inlineStr">
        <is>
          <t>893269355</t>
        </is>
      </c>
    </row>
    <row r="421">
      <c r="A421" t="inlineStr">
        <is>
          <t>No</t>
        </is>
      </c>
      <c r="B421" t="inlineStr">
        <is>
          <t>CUHSL</t>
        </is>
      </c>
      <c r="C421" t="inlineStr">
        <is>
          <t>SHELVES</t>
        </is>
      </c>
      <c r="D421" t="inlineStr">
        <is>
          <t>WA900.DA1 H4 2002</t>
        </is>
      </c>
      <c r="E421" t="inlineStr">
        <is>
          <t>0                      WA 0900000DA 1                  H  4           2002</t>
        </is>
      </c>
      <c r="F421" t="inlineStr">
        <is>
          <t>Health in the Americas, 2002 edition.</t>
        </is>
      </c>
      <c r="G421" t="inlineStr">
        <is>
          <t>V.2</t>
        </is>
      </c>
      <c r="H421" t="inlineStr">
        <is>
          <t>Yes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N421" t="inlineStr">
        <is>
          <t>Washington, D.C. : Pan American Health Organization, Pan American Sanitary Bureau, Regional Office of the World Health Organization, 2002.</t>
        </is>
      </c>
      <c r="O421" t="inlineStr">
        <is>
          <t>2002</t>
        </is>
      </c>
      <c r="Q421" t="inlineStr">
        <is>
          <t>eng</t>
        </is>
      </c>
      <c r="R421" t="inlineStr">
        <is>
          <t>dcu</t>
        </is>
      </c>
      <c r="S421" t="inlineStr">
        <is>
          <t>Scientific publication ; no. 587</t>
        </is>
      </c>
      <c r="T421" t="inlineStr">
        <is>
          <t xml:space="preserve">WA </t>
        </is>
      </c>
      <c r="U421" t="n">
        <v>1</v>
      </c>
      <c r="V421" t="n">
        <v>2</v>
      </c>
      <c r="W421" t="inlineStr">
        <is>
          <t>2007-04-10</t>
        </is>
      </c>
      <c r="X421" t="inlineStr">
        <is>
          <t>2007-04-10</t>
        </is>
      </c>
      <c r="Y421" t="inlineStr">
        <is>
          <t>2007-03-28</t>
        </is>
      </c>
      <c r="Z421" t="inlineStr">
        <is>
          <t>2007-03-28</t>
        </is>
      </c>
      <c r="AA421" t="n">
        <v>120</v>
      </c>
      <c r="AB421" t="n">
        <v>101</v>
      </c>
      <c r="AC421" t="n">
        <v>121</v>
      </c>
      <c r="AD421" t="n">
        <v>2</v>
      </c>
      <c r="AE421" t="n">
        <v>2</v>
      </c>
      <c r="AF421" t="n">
        <v>3</v>
      </c>
      <c r="AG421" t="n">
        <v>3</v>
      </c>
      <c r="AH421" t="n">
        <v>2</v>
      </c>
      <c r="AI421" t="n">
        <v>2</v>
      </c>
      <c r="AJ421" t="n">
        <v>0</v>
      </c>
      <c r="AK421" t="n">
        <v>0</v>
      </c>
      <c r="AL421" t="n">
        <v>0</v>
      </c>
      <c r="AM421" t="n">
        <v>0</v>
      </c>
      <c r="AN421" t="n">
        <v>1</v>
      </c>
      <c r="AO421" t="n">
        <v>1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HYPERLINK("https://creighton-primo.hosted.exlibrisgroup.com/primo-explore/search?tab=default_tab&amp;search_scope=EVERYTHING&amp;vid=01CRU&amp;lang=en_US&amp;offset=0&amp;query=any,contains,991000605089702656","Catalog Record")</f>
        <v/>
      </c>
      <c r="AV421">
        <f>HYPERLINK("http://www.worldcat.org/oclc/50785092","WorldCat Record")</f>
        <v/>
      </c>
      <c r="AW421" t="inlineStr">
        <is>
          <t>180694585:eng</t>
        </is>
      </c>
      <c r="AX421" t="inlineStr">
        <is>
          <t>50785092</t>
        </is>
      </c>
      <c r="AY421" t="inlineStr">
        <is>
          <t>991000605089702656</t>
        </is>
      </c>
      <c r="AZ421" t="inlineStr">
        <is>
          <t>991000605089702656</t>
        </is>
      </c>
      <c r="BA421" t="inlineStr">
        <is>
          <t>2263323880002656</t>
        </is>
      </c>
      <c r="BB421" t="inlineStr">
        <is>
          <t>BOOK</t>
        </is>
      </c>
      <c r="BD421" t="inlineStr">
        <is>
          <t>9789275115879</t>
        </is>
      </c>
      <c r="BE421" t="inlineStr">
        <is>
          <t>30001005127222</t>
        </is>
      </c>
      <c r="BF421" t="inlineStr">
        <is>
          <t>893449873</t>
        </is>
      </c>
    </row>
    <row r="422">
      <c r="A422" t="inlineStr">
        <is>
          <t>No</t>
        </is>
      </c>
      <c r="B422" t="inlineStr">
        <is>
          <t>CUHSL</t>
        </is>
      </c>
      <c r="C422" t="inlineStr">
        <is>
          <t>SHELVES</t>
        </is>
      </c>
      <c r="D422" t="inlineStr">
        <is>
          <t>WA900.DA1 H4 2002</t>
        </is>
      </c>
      <c r="E422" t="inlineStr">
        <is>
          <t>0                      WA 0900000DA 1                  H  4           2002</t>
        </is>
      </c>
      <c r="F422" t="inlineStr">
        <is>
          <t>Health in the Americas, 2002 edition.</t>
        </is>
      </c>
      <c r="G422" t="inlineStr">
        <is>
          <t>V.1</t>
        </is>
      </c>
      <c r="H422" t="inlineStr">
        <is>
          <t>Yes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N422" t="inlineStr">
        <is>
          <t>Washington, D.C. : Pan American Health Organization, Pan American Sanitary Bureau, Regional Office of the World Health Organization, 2002.</t>
        </is>
      </c>
      <c r="O422" t="inlineStr">
        <is>
          <t>2002</t>
        </is>
      </c>
      <c r="Q422" t="inlineStr">
        <is>
          <t>eng</t>
        </is>
      </c>
      <c r="R422" t="inlineStr">
        <is>
          <t>dcu</t>
        </is>
      </c>
      <c r="S422" t="inlineStr">
        <is>
          <t>Scientific publication ; no. 587</t>
        </is>
      </c>
      <c r="T422" t="inlineStr">
        <is>
          <t xml:space="preserve">WA </t>
        </is>
      </c>
      <c r="U422" t="n">
        <v>1</v>
      </c>
      <c r="V422" t="n">
        <v>2</v>
      </c>
      <c r="W422" t="inlineStr">
        <is>
          <t>2007-04-10</t>
        </is>
      </c>
      <c r="X422" t="inlineStr">
        <is>
          <t>2007-04-10</t>
        </is>
      </c>
      <c r="Y422" t="inlineStr">
        <is>
          <t>2007-03-28</t>
        </is>
      </c>
      <c r="Z422" t="inlineStr">
        <is>
          <t>2007-03-28</t>
        </is>
      </c>
      <c r="AA422" t="n">
        <v>120</v>
      </c>
      <c r="AB422" t="n">
        <v>101</v>
      </c>
      <c r="AC422" t="n">
        <v>121</v>
      </c>
      <c r="AD422" t="n">
        <v>2</v>
      </c>
      <c r="AE422" t="n">
        <v>2</v>
      </c>
      <c r="AF422" t="n">
        <v>3</v>
      </c>
      <c r="AG422" t="n">
        <v>3</v>
      </c>
      <c r="AH422" t="n">
        <v>2</v>
      </c>
      <c r="AI422" t="n">
        <v>2</v>
      </c>
      <c r="AJ422" t="n">
        <v>0</v>
      </c>
      <c r="AK422" t="n">
        <v>0</v>
      </c>
      <c r="AL422" t="n">
        <v>0</v>
      </c>
      <c r="AM422" t="n">
        <v>0</v>
      </c>
      <c r="AN422" t="n">
        <v>1</v>
      </c>
      <c r="AO422" t="n">
        <v>1</v>
      </c>
      <c r="AP422" t="n">
        <v>0</v>
      </c>
      <c r="AQ422" t="n">
        <v>0</v>
      </c>
      <c r="AR422" t="inlineStr">
        <is>
          <t>No</t>
        </is>
      </c>
      <c r="AS422" t="inlineStr">
        <is>
          <t>No</t>
        </is>
      </c>
      <c r="AU422">
        <f>HYPERLINK("https://creighton-primo.hosted.exlibrisgroup.com/primo-explore/search?tab=default_tab&amp;search_scope=EVERYTHING&amp;vid=01CRU&amp;lang=en_US&amp;offset=0&amp;query=any,contains,991000605089702656","Catalog Record")</f>
        <v/>
      </c>
      <c r="AV422">
        <f>HYPERLINK("http://www.worldcat.org/oclc/50785092","WorldCat Record")</f>
        <v/>
      </c>
      <c r="AW422" t="inlineStr">
        <is>
          <t>180694585:eng</t>
        </is>
      </c>
      <c r="AX422" t="inlineStr">
        <is>
          <t>50785092</t>
        </is>
      </c>
      <c r="AY422" t="inlineStr">
        <is>
          <t>991000605089702656</t>
        </is>
      </c>
      <c r="AZ422" t="inlineStr">
        <is>
          <t>991000605089702656</t>
        </is>
      </c>
      <c r="BA422" t="inlineStr">
        <is>
          <t>2263323880002656</t>
        </is>
      </c>
      <c r="BB422" t="inlineStr">
        <is>
          <t>BOOK</t>
        </is>
      </c>
      <c r="BD422" t="inlineStr">
        <is>
          <t>9789275115879</t>
        </is>
      </c>
      <c r="BE422" t="inlineStr">
        <is>
          <t>30001005127859</t>
        </is>
      </c>
      <c r="BF422" t="inlineStr">
        <is>
          <t>893454462</t>
        </is>
      </c>
    </row>
    <row r="423">
      <c r="A423" t="inlineStr">
        <is>
          <t>No</t>
        </is>
      </c>
      <c r="B423" t="inlineStr">
        <is>
          <t>CUHSL</t>
        </is>
      </c>
      <c r="C423" t="inlineStr">
        <is>
          <t>SHELVES</t>
        </is>
      </c>
      <c r="D423" t="inlineStr">
        <is>
          <t>WA 900 M967p 1982-84</t>
        </is>
      </c>
      <c r="E423" t="inlineStr">
        <is>
          <t>0                      WA 0900000M  967p        1982                                        -84</t>
        </is>
      </c>
      <c r="F423" t="inlineStr">
        <is>
          <t>A profile of Puerto Rican health in the United States : data from the Hispanic Health and Nutrition Examination Survey, 1982-84 / Eric Muñoz, Pedro J. Lecca, Jonathan D. Goldstein.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Muñoz, Eric.</t>
        </is>
      </c>
      <c r="N423" t="inlineStr">
        <is>
          <t>New Hyde Park, NY : Department of Surgery, Long Island Jewish Medical Center, 1988.</t>
        </is>
      </c>
      <c r="O423" t="inlineStr">
        <is>
          <t>1988</t>
        </is>
      </c>
      <c r="Q423" t="inlineStr">
        <is>
          <t>eng</t>
        </is>
      </c>
      <c r="R423" t="inlineStr">
        <is>
          <t>nyu</t>
        </is>
      </c>
      <c r="T423" t="inlineStr">
        <is>
          <t xml:space="preserve">WA </t>
        </is>
      </c>
      <c r="U423" t="n">
        <v>2</v>
      </c>
      <c r="V423" t="n">
        <v>2</v>
      </c>
      <c r="W423" t="inlineStr">
        <is>
          <t>1999-03-27</t>
        </is>
      </c>
      <c r="X423" t="inlineStr">
        <is>
          <t>1999-03-27</t>
        </is>
      </c>
      <c r="Y423" t="inlineStr">
        <is>
          <t>1988-06-23</t>
        </is>
      </c>
      <c r="Z423" t="inlineStr">
        <is>
          <t>1988-06-23</t>
        </is>
      </c>
      <c r="AA423" t="n">
        <v>17</v>
      </c>
      <c r="AB423" t="n">
        <v>17</v>
      </c>
      <c r="AC423" t="n">
        <v>19</v>
      </c>
      <c r="AD423" t="n">
        <v>1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inlineStr">
        <is>
          <t>No</t>
        </is>
      </c>
      <c r="AS423" t="inlineStr">
        <is>
          <t>No</t>
        </is>
      </c>
      <c r="AU423">
        <f>HYPERLINK("https://creighton-primo.hosted.exlibrisgroup.com/primo-explore/search?tab=default_tab&amp;search_scope=EVERYTHING&amp;vid=01CRU&amp;lang=en_US&amp;offset=0&amp;query=any,contains,991001415699702656","Catalog Record")</f>
        <v/>
      </c>
      <c r="AV423">
        <f>HYPERLINK("http://www.worldcat.org/oclc/17888412","WorldCat Record")</f>
        <v/>
      </c>
      <c r="AW423" t="inlineStr">
        <is>
          <t>16976638:eng</t>
        </is>
      </c>
      <c r="AX423" t="inlineStr">
        <is>
          <t>17888412</t>
        </is>
      </c>
      <c r="AY423" t="inlineStr">
        <is>
          <t>991001415699702656</t>
        </is>
      </c>
      <c r="AZ423" t="inlineStr">
        <is>
          <t>991001415699702656</t>
        </is>
      </c>
      <c r="BA423" t="inlineStr">
        <is>
          <t>2270877150002656</t>
        </is>
      </c>
      <c r="BB423" t="inlineStr">
        <is>
          <t>BOOK</t>
        </is>
      </c>
      <c r="BE423" t="inlineStr">
        <is>
          <t>30001001180456</t>
        </is>
      </c>
      <c r="BF423" t="inlineStr">
        <is>
          <t>893168187</t>
        </is>
      </c>
    </row>
    <row r="424">
      <c r="A424" t="inlineStr">
        <is>
          <t>No</t>
        </is>
      </c>
      <c r="B424" t="inlineStr">
        <is>
          <t>CUHSL</t>
        </is>
      </c>
      <c r="C424" t="inlineStr">
        <is>
          <t>SHELVES</t>
        </is>
      </c>
      <c r="D424" t="inlineStr">
        <is>
          <t>WA 900 S797 1995</t>
        </is>
      </c>
      <c r="E424" t="inlineStr">
        <is>
          <t>0                      WA 0900000S  797         1995</t>
        </is>
      </c>
      <c r="F424" t="inlineStr">
        <is>
          <t>Statistical record of health &amp; medicine / Charity Anne Dorgan, editor.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N424" t="inlineStr">
        <is>
          <t>Detroit, Mich. : Gale Research Inc., c1995.</t>
        </is>
      </c>
      <c r="O424" t="inlineStr">
        <is>
          <t>1995</t>
        </is>
      </c>
      <c r="Q424" t="inlineStr">
        <is>
          <t>eng</t>
        </is>
      </c>
      <c r="R424" t="inlineStr">
        <is>
          <t>miu</t>
        </is>
      </c>
      <c r="T424" t="inlineStr">
        <is>
          <t xml:space="preserve">WA </t>
        </is>
      </c>
      <c r="U424" t="n">
        <v>11</v>
      </c>
      <c r="V424" t="n">
        <v>11</v>
      </c>
      <c r="W424" t="inlineStr">
        <is>
          <t>2003-03-03</t>
        </is>
      </c>
      <c r="X424" t="inlineStr">
        <is>
          <t>2003-03-03</t>
        </is>
      </c>
      <c r="Y424" t="inlineStr">
        <is>
          <t>1995-05-09</t>
        </is>
      </c>
      <c r="Z424" t="inlineStr">
        <is>
          <t>1995-05-09</t>
        </is>
      </c>
      <c r="AA424" t="n">
        <v>169</v>
      </c>
      <c r="AB424" t="n">
        <v>155</v>
      </c>
      <c r="AC424" t="n">
        <v>160</v>
      </c>
      <c r="AD424" t="n">
        <v>1</v>
      </c>
      <c r="AE424" t="n">
        <v>1</v>
      </c>
      <c r="AF424" t="n">
        <v>3</v>
      </c>
      <c r="AG424" t="n">
        <v>3</v>
      </c>
      <c r="AH424" t="n">
        <v>0</v>
      </c>
      <c r="AI424" t="n">
        <v>0</v>
      </c>
      <c r="AJ424" t="n">
        <v>0</v>
      </c>
      <c r="AK424" t="n">
        <v>0</v>
      </c>
      <c r="AL424" t="n">
        <v>2</v>
      </c>
      <c r="AM424" t="n">
        <v>2</v>
      </c>
      <c r="AN424" t="n">
        <v>0</v>
      </c>
      <c r="AO424" t="n">
        <v>0</v>
      </c>
      <c r="AP424" t="n">
        <v>1</v>
      </c>
      <c r="AQ424" t="n">
        <v>1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HYPERLINK("https://creighton-primo.hosted.exlibrisgroup.com/primo-explore/search?tab=default_tab&amp;search_scope=EVERYTHING&amp;vid=01CRU&amp;lang=en_US&amp;offset=0&amp;query=any,contains,991001400149702656","Catalog Record")</f>
        <v/>
      </c>
      <c r="AV424">
        <f>HYPERLINK("http://www.worldcat.org/oclc/31683624","WorldCat Record")</f>
        <v/>
      </c>
      <c r="AW424" t="inlineStr">
        <is>
          <t>1881888021:eng</t>
        </is>
      </c>
      <c r="AX424" t="inlineStr">
        <is>
          <t>31683624</t>
        </is>
      </c>
      <c r="AY424" t="inlineStr">
        <is>
          <t>991001400149702656</t>
        </is>
      </c>
      <c r="AZ424" t="inlineStr">
        <is>
          <t>991001400149702656</t>
        </is>
      </c>
      <c r="BA424" t="inlineStr">
        <is>
          <t>2256821940002656</t>
        </is>
      </c>
      <c r="BB424" t="inlineStr">
        <is>
          <t>BOOK</t>
        </is>
      </c>
      <c r="BD424" t="inlineStr">
        <is>
          <t>9780810397453</t>
        </is>
      </c>
      <c r="BE424" t="inlineStr">
        <is>
          <t>30001003147669</t>
        </is>
      </c>
      <c r="BF424" t="inlineStr">
        <is>
          <t>893149144</t>
        </is>
      </c>
    </row>
    <row r="425">
      <c r="A425" t="inlineStr">
        <is>
          <t>No</t>
        </is>
      </c>
      <c r="B425" t="inlineStr">
        <is>
          <t>CUHSL</t>
        </is>
      </c>
      <c r="C425" t="inlineStr">
        <is>
          <t>SHELVES</t>
        </is>
      </c>
      <c r="D425" t="inlineStr">
        <is>
          <t>WA900.1 B787m 2001</t>
        </is>
      </c>
      <c r="E425" t="inlineStr">
        <is>
          <t>0                      WA 0900100B  787m        2001</t>
        </is>
      </c>
      <c r="F425" t="inlineStr">
        <is>
          <t>Measuring disease : a review of disease-specific quality of life measurement scales / Ann Bowling.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Bowling, Ann.</t>
        </is>
      </c>
      <c r="N425" t="inlineStr">
        <is>
          <t>Buckingham ; Phildelphia : Open University Press, c2001.</t>
        </is>
      </c>
      <c r="O425" t="inlineStr">
        <is>
          <t>2001</t>
        </is>
      </c>
      <c r="P425" t="inlineStr">
        <is>
          <t>2nd ed.</t>
        </is>
      </c>
      <c r="Q425" t="inlineStr">
        <is>
          <t>eng</t>
        </is>
      </c>
      <c r="R425" t="inlineStr">
        <is>
          <t>enk</t>
        </is>
      </c>
      <c r="T425" t="inlineStr">
        <is>
          <t xml:space="preserve">WA </t>
        </is>
      </c>
      <c r="U425" t="n">
        <v>2</v>
      </c>
      <c r="V425" t="n">
        <v>2</v>
      </c>
      <c r="W425" t="inlineStr">
        <is>
          <t>2009-08-02</t>
        </is>
      </c>
      <c r="X425" t="inlineStr">
        <is>
          <t>2009-08-02</t>
        </is>
      </c>
      <c r="Y425" t="inlineStr">
        <is>
          <t>2005-02-03</t>
        </is>
      </c>
      <c r="Z425" t="inlineStr">
        <is>
          <t>2005-02-03</t>
        </is>
      </c>
      <c r="AA425" t="n">
        <v>316</v>
      </c>
      <c r="AB425" t="n">
        <v>158</v>
      </c>
      <c r="AC425" t="n">
        <v>215</v>
      </c>
      <c r="AD425" t="n">
        <v>1</v>
      </c>
      <c r="AE425" t="n">
        <v>1</v>
      </c>
      <c r="AF425" t="n">
        <v>7</v>
      </c>
      <c r="AG425" t="n">
        <v>10</v>
      </c>
      <c r="AH425" t="n">
        <v>2</v>
      </c>
      <c r="AI425" t="n">
        <v>4</v>
      </c>
      <c r="AJ425" t="n">
        <v>3</v>
      </c>
      <c r="AK425" t="n">
        <v>4</v>
      </c>
      <c r="AL425" t="n">
        <v>3</v>
      </c>
      <c r="AM425" t="n">
        <v>5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HYPERLINK("http://catalog.hathitrust.org/Record/004193462","HathiTrust Record")</f>
        <v/>
      </c>
      <c r="AU425">
        <f>HYPERLINK("https://creighton-primo.hosted.exlibrisgroup.com/primo-explore/search?tab=default_tab&amp;search_scope=EVERYTHING&amp;vid=01CRU&amp;lang=en_US&amp;offset=0&amp;query=any,contains,991000426119702656","Catalog Record")</f>
        <v/>
      </c>
      <c r="AV425">
        <f>HYPERLINK("http://www.worldcat.org/oclc/44701887","WorldCat Record")</f>
        <v/>
      </c>
      <c r="AW425" t="inlineStr">
        <is>
          <t>32507573:eng</t>
        </is>
      </c>
      <c r="AX425" t="inlineStr">
        <is>
          <t>44701887</t>
        </is>
      </c>
      <c r="AY425" t="inlineStr">
        <is>
          <t>991000426119702656</t>
        </is>
      </c>
      <c r="AZ425" t="inlineStr">
        <is>
          <t>991000426119702656</t>
        </is>
      </c>
      <c r="BA425" t="inlineStr">
        <is>
          <t>2258733150002656</t>
        </is>
      </c>
      <c r="BB425" t="inlineStr">
        <is>
          <t>BOOK</t>
        </is>
      </c>
      <c r="BD425" t="inlineStr">
        <is>
          <t>9780335206414</t>
        </is>
      </c>
      <c r="BE425" t="inlineStr">
        <is>
          <t>30001004927267</t>
        </is>
      </c>
      <c r="BF425" t="inlineStr">
        <is>
          <t>893269451</t>
        </is>
      </c>
    </row>
    <row r="426">
      <c r="A426" t="inlineStr">
        <is>
          <t>No</t>
        </is>
      </c>
      <c r="B426" t="inlineStr">
        <is>
          <t>CUHSL</t>
        </is>
      </c>
      <c r="C426" t="inlineStr">
        <is>
          <t>SHELVES</t>
        </is>
      </c>
      <c r="D426" t="inlineStr">
        <is>
          <t>WA 900.1 M478m 1987</t>
        </is>
      </c>
      <c r="E426" t="inlineStr">
        <is>
          <t>0                      WA 0900100M  478m        1987</t>
        </is>
      </c>
      <c r="F426" t="inlineStr">
        <is>
          <t>Measuring health : a guide to rating scales and questionnaires / Ian McDowell and Claire Newell.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Yes</t>
        </is>
      </c>
      <c r="L426" t="inlineStr">
        <is>
          <t>0</t>
        </is>
      </c>
      <c r="M426" t="inlineStr">
        <is>
          <t>McDowell, Ian.</t>
        </is>
      </c>
      <c r="N426" t="inlineStr">
        <is>
          <t>New York : Oxford University Press, c1987.</t>
        </is>
      </c>
      <c r="O426" t="inlineStr">
        <is>
          <t>1987</t>
        </is>
      </c>
      <c r="Q426" t="inlineStr">
        <is>
          <t>eng</t>
        </is>
      </c>
      <c r="R426" t="inlineStr">
        <is>
          <t>xxu</t>
        </is>
      </c>
      <c r="T426" t="inlineStr">
        <is>
          <t xml:space="preserve">WA </t>
        </is>
      </c>
      <c r="U426" t="n">
        <v>7</v>
      </c>
      <c r="V426" t="n">
        <v>7</v>
      </c>
      <c r="W426" t="inlineStr">
        <is>
          <t>2005-10-04</t>
        </is>
      </c>
      <c r="X426" t="inlineStr">
        <is>
          <t>2005-10-04</t>
        </is>
      </c>
      <c r="Y426" t="inlineStr">
        <is>
          <t>1987-10-27</t>
        </is>
      </c>
      <c r="Z426" t="inlineStr">
        <is>
          <t>1987-10-27</t>
        </is>
      </c>
      <c r="AA426" t="n">
        <v>396</v>
      </c>
      <c r="AB426" t="n">
        <v>275</v>
      </c>
      <c r="AC426" t="n">
        <v>1020</v>
      </c>
      <c r="AD426" t="n">
        <v>2</v>
      </c>
      <c r="AE426" t="n">
        <v>14</v>
      </c>
      <c r="AF426" t="n">
        <v>14</v>
      </c>
      <c r="AG426" t="n">
        <v>45</v>
      </c>
      <c r="AH426" t="n">
        <v>4</v>
      </c>
      <c r="AI426" t="n">
        <v>16</v>
      </c>
      <c r="AJ426" t="n">
        <v>4</v>
      </c>
      <c r="AK426" t="n">
        <v>8</v>
      </c>
      <c r="AL426" t="n">
        <v>11</v>
      </c>
      <c r="AM426" t="n">
        <v>19</v>
      </c>
      <c r="AN426" t="n">
        <v>1</v>
      </c>
      <c r="AO426" t="n">
        <v>11</v>
      </c>
      <c r="AP426" t="n">
        <v>0</v>
      </c>
      <c r="AQ426" t="n">
        <v>1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HYPERLINK("http://catalog.hathitrust.org/Record/000834356","HathiTrust Record")</f>
        <v/>
      </c>
      <c r="AU426">
        <f>HYPERLINK("https://creighton-primo.hosted.exlibrisgroup.com/primo-explore/search?tab=default_tab&amp;search_scope=EVERYTHING&amp;vid=01CRU&amp;lang=en_US&amp;offset=0&amp;query=any,contains,991001529559702656","Catalog Record")</f>
        <v/>
      </c>
      <c r="AV426">
        <f>HYPERLINK("http://www.worldcat.org/oclc/16646902","WorldCat Record")</f>
        <v/>
      </c>
      <c r="AW426" t="inlineStr">
        <is>
          <t>4918119665:eng</t>
        </is>
      </c>
      <c r="AX426" t="inlineStr">
        <is>
          <t>16646902</t>
        </is>
      </c>
      <c r="AY426" t="inlineStr">
        <is>
          <t>991001529559702656</t>
        </is>
      </c>
      <c r="AZ426" t="inlineStr">
        <is>
          <t>991001529559702656</t>
        </is>
      </c>
      <c r="BA426" t="inlineStr">
        <is>
          <t>2272447590002656</t>
        </is>
      </c>
      <c r="BB426" t="inlineStr">
        <is>
          <t>BOOK</t>
        </is>
      </c>
      <c r="BD426" t="inlineStr">
        <is>
          <t>9780195041019</t>
        </is>
      </c>
      <c r="BE426" t="inlineStr">
        <is>
          <t>30001000621104</t>
        </is>
      </c>
      <c r="BF426" t="inlineStr">
        <is>
          <t>893149310</t>
        </is>
      </c>
    </row>
    <row r="427">
      <c r="A427" t="inlineStr">
        <is>
          <t>No</t>
        </is>
      </c>
      <c r="B427" t="inlineStr">
        <is>
          <t>CUHSL</t>
        </is>
      </c>
      <c r="C427" t="inlineStr">
        <is>
          <t>SHELVES</t>
        </is>
      </c>
      <c r="D427" t="inlineStr">
        <is>
          <t>WA 900.1 M484 1987</t>
        </is>
      </c>
      <c r="E427" t="inlineStr">
        <is>
          <t>0                      WA 0900100M  484         1987</t>
        </is>
      </c>
      <c r="F427" t="inlineStr">
        <is>
          <t>Measuring medical practice : statistics for the physician / American Medical Association Division of Health Policy and Program Evaluation.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N427" t="inlineStr">
        <is>
          <t>Chicago, Ill. : The Association, c1987.</t>
        </is>
      </c>
      <c r="O427" t="inlineStr">
        <is>
          <t>1987</t>
        </is>
      </c>
      <c r="Q427" t="inlineStr">
        <is>
          <t>eng</t>
        </is>
      </c>
      <c r="R427" t="inlineStr">
        <is>
          <t>ilu</t>
        </is>
      </c>
      <c r="T427" t="inlineStr">
        <is>
          <t xml:space="preserve">WA </t>
        </is>
      </c>
      <c r="U427" t="n">
        <v>5</v>
      </c>
      <c r="V427" t="n">
        <v>5</v>
      </c>
      <c r="W427" t="inlineStr">
        <is>
          <t>1990-12-28</t>
        </is>
      </c>
      <c r="X427" t="inlineStr">
        <is>
          <t>1990-12-28</t>
        </is>
      </c>
      <c r="Y427" t="inlineStr">
        <is>
          <t>1988-03-07</t>
        </is>
      </c>
      <c r="Z427" t="inlineStr">
        <is>
          <t>1988-03-07</t>
        </is>
      </c>
      <c r="AA427" t="n">
        <v>64</v>
      </c>
      <c r="AB427" t="n">
        <v>61</v>
      </c>
      <c r="AC427" t="n">
        <v>66</v>
      </c>
      <c r="AD427" t="n">
        <v>1</v>
      </c>
      <c r="AE427" t="n">
        <v>1</v>
      </c>
      <c r="AF427" t="n">
        <v>1</v>
      </c>
      <c r="AG427" t="n">
        <v>1</v>
      </c>
      <c r="AH427" t="n">
        <v>0</v>
      </c>
      <c r="AI427" t="n">
        <v>0</v>
      </c>
      <c r="AJ427" t="n">
        <v>0</v>
      </c>
      <c r="AK427" t="n">
        <v>0</v>
      </c>
      <c r="AL427" t="n">
        <v>1</v>
      </c>
      <c r="AM427" t="n">
        <v>1</v>
      </c>
      <c r="AN427" t="n">
        <v>0</v>
      </c>
      <c r="AO427" t="n">
        <v>0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HYPERLINK("https://creighton-primo.hosted.exlibrisgroup.com/primo-explore/search?tab=default_tab&amp;search_scope=EVERYTHING&amp;vid=01CRU&amp;lang=en_US&amp;offset=0&amp;query=any,contains,991001176929702656","Catalog Record")</f>
        <v/>
      </c>
      <c r="AV427">
        <f>HYPERLINK("http://www.worldcat.org/oclc/20672243","WorldCat Record")</f>
        <v/>
      </c>
      <c r="AW427" t="inlineStr">
        <is>
          <t>10162582438:eng</t>
        </is>
      </c>
      <c r="AX427" t="inlineStr">
        <is>
          <t>20672243</t>
        </is>
      </c>
      <c r="AY427" t="inlineStr">
        <is>
          <t>991001176929702656</t>
        </is>
      </c>
      <c r="AZ427" t="inlineStr">
        <is>
          <t>991001176929702656</t>
        </is>
      </c>
      <c r="BA427" t="inlineStr">
        <is>
          <t>2268807700002656</t>
        </is>
      </c>
      <c r="BB427" t="inlineStr">
        <is>
          <t>BOOK</t>
        </is>
      </c>
      <c r="BD427" t="inlineStr">
        <is>
          <t>9780899703046</t>
        </is>
      </c>
      <c r="BE427" t="inlineStr">
        <is>
          <t>30001000976136</t>
        </is>
      </c>
      <c r="BF427" t="inlineStr">
        <is>
          <t>893743665</t>
        </is>
      </c>
    </row>
    <row r="428">
      <c r="A428" t="inlineStr">
        <is>
          <t>No</t>
        </is>
      </c>
      <c r="B428" t="inlineStr">
        <is>
          <t>CUHSL</t>
        </is>
      </c>
      <c r="C428" t="inlineStr">
        <is>
          <t>SHELVES</t>
        </is>
      </c>
      <c r="D428" t="inlineStr">
        <is>
          <t>WA900.1 Y77p 2005</t>
        </is>
      </c>
      <c r="E428" t="inlineStr">
        <is>
          <t>0                      WA 0900100Y  77p         2005</t>
        </is>
      </c>
      <c r="F428" t="inlineStr">
        <is>
          <t>Population health : concepts and methods / T. Kue Young.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Young, T. Kue.</t>
        </is>
      </c>
      <c r="N428" t="inlineStr">
        <is>
          <t>New York, N.Y. : Oxford University Press, 2005.</t>
        </is>
      </c>
      <c r="O428" t="inlineStr">
        <is>
          <t>2005</t>
        </is>
      </c>
      <c r="P428" t="inlineStr">
        <is>
          <t>2nd ed.</t>
        </is>
      </c>
      <c r="Q428" t="inlineStr">
        <is>
          <t>eng</t>
        </is>
      </c>
      <c r="R428" t="inlineStr">
        <is>
          <t>nyu</t>
        </is>
      </c>
      <c r="T428" t="inlineStr">
        <is>
          <t xml:space="preserve">WA </t>
        </is>
      </c>
      <c r="U428" t="n">
        <v>5</v>
      </c>
      <c r="V428" t="n">
        <v>5</v>
      </c>
      <c r="W428" t="inlineStr">
        <is>
          <t>2008-07-02</t>
        </is>
      </c>
      <c r="X428" t="inlineStr">
        <is>
          <t>2008-07-02</t>
        </is>
      </c>
      <c r="Y428" t="inlineStr">
        <is>
          <t>2005-11-04</t>
        </is>
      </c>
      <c r="Z428" t="inlineStr">
        <is>
          <t>2005-11-04</t>
        </is>
      </c>
      <c r="AA428" t="n">
        <v>271</v>
      </c>
      <c r="AB428" t="n">
        <v>160</v>
      </c>
      <c r="AC428" t="n">
        <v>661</v>
      </c>
      <c r="AD428" t="n">
        <v>1</v>
      </c>
      <c r="AE428" t="n">
        <v>12</v>
      </c>
      <c r="AF428" t="n">
        <v>6</v>
      </c>
      <c r="AG428" t="n">
        <v>22</v>
      </c>
      <c r="AH428" t="n">
        <v>1</v>
      </c>
      <c r="AI428" t="n">
        <v>3</v>
      </c>
      <c r="AJ428" t="n">
        <v>1</v>
      </c>
      <c r="AK428" t="n">
        <v>5</v>
      </c>
      <c r="AL428" t="n">
        <v>5</v>
      </c>
      <c r="AM428" t="n">
        <v>8</v>
      </c>
      <c r="AN428" t="n">
        <v>0</v>
      </c>
      <c r="AO428" t="n">
        <v>9</v>
      </c>
      <c r="AP428" t="n">
        <v>0</v>
      </c>
      <c r="AQ428" t="n">
        <v>0</v>
      </c>
      <c r="AR428" t="inlineStr">
        <is>
          <t>No</t>
        </is>
      </c>
      <c r="AS428" t="inlineStr">
        <is>
          <t>No</t>
        </is>
      </c>
      <c r="AU428">
        <f>HYPERLINK("https://creighton-primo.hosted.exlibrisgroup.com/primo-explore/search?tab=default_tab&amp;search_scope=EVERYTHING&amp;vid=01CRU&amp;lang=en_US&amp;offset=0&amp;query=any,contains,991000447449702656","Catalog Record")</f>
        <v/>
      </c>
      <c r="AV428">
        <f>HYPERLINK("http://www.worldcat.org/oclc/55019376","WorldCat Record")</f>
        <v/>
      </c>
      <c r="AW428" t="inlineStr">
        <is>
          <t>802350943:eng</t>
        </is>
      </c>
      <c r="AX428" t="inlineStr">
        <is>
          <t>55019376</t>
        </is>
      </c>
      <c r="AY428" t="inlineStr">
        <is>
          <t>991000447449702656</t>
        </is>
      </c>
      <c r="AZ428" t="inlineStr">
        <is>
          <t>991000447449702656</t>
        </is>
      </c>
      <c r="BA428" t="inlineStr">
        <is>
          <t>2263516730002656</t>
        </is>
      </c>
      <c r="BB428" t="inlineStr">
        <is>
          <t>BOOK</t>
        </is>
      </c>
      <c r="BD428" t="inlineStr">
        <is>
          <t>9780195158540</t>
        </is>
      </c>
      <c r="BE428" t="inlineStr">
        <is>
          <t>30001004913218</t>
        </is>
      </c>
      <c r="BF428" t="inlineStr">
        <is>
          <t>893542344</t>
        </is>
      </c>
    </row>
    <row r="429">
      <c r="A429" t="inlineStr">
        <is>
          <t>No</t>
        </is>
      </c>
      <c r="B429" t="inlineStr">
        <is>
          <t>CUHSL</t>
        </is>
      </c>
      <c r="C429" t="inlineStr">
        <is>
          <t>SHELVES</t>
        </is>
      </c>
      <c r="D429" t="inlineStr">
        <is>
          <t>WA 950 S3l7s 1979</t>
        </is>
      </c>
      <c r="E429" t="inlineStr">
        <is>
          <t>0                      WA 0950000                                                           S3l7s 1979</t>
        </is>
      </c>
      <c r="F429" t="inlineStr">
        <is>
          <t>Statistics for the biological sciences / William C. Schefler.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Schefler, William C.</t>
        </is>
      </c>
      <c r="N429" t="inlineStr">
        <is>
          <t>Reading, Mass. : Addison-Wesley Pub. Co., c1979.</t>
        </is>
      </c>
      <c r="O429" t="inlineStr">
        <is>
          <t>1979</t>
        </is>
      </c>
      <c r="P429" t="inlineStr">
        <is>
          <t>2nd ed.</t>
        </is>
      </c>
      <c r="Q429" t="inlineStr">
        <is>
          <t>eng</t>
        </is>
      </c>
      <c r="R429" t="inlineStr">
        <is>
          <t>mau</t>
        </is>
      </c>
      <c r="T429" t="inlineStr">
        <is>
          <t xml:space="preserve">WA </t>
        </is>
      </c>
      <c r="U429" t="n">
        <v>21</v>
      </c>
      <c r="V429" t="n">
        <v>21</v>
      </c>
      <c r="W429" t="inlineStr">
        <is>
          <t>1997-02-27</t>
        </is>
      </c>
      <c r="X429" t="inlineStr">
        <is>
          <t>1997-02-27</t>
        </is>
      </c>
      <c r="Y429" t="inlineStr">
        <is>
          <t>1988-11-18</t>
        </is>
      </c>
      <c r="Z429" t="inlineStr">
        <is>
          <t>1988-11-18</t>
        </is>
      </c>
      <c r="AA429" t="n">
        <v>286</v>
      </c>
      <c r="AB429" t="n">
        <v>220</v>
      </c>
      <c r="AC429" t="n">
        <v>403</v>
      </c>
      <c r="AD429" t="n">
        <v>3</v>
      </c>
      <c r="AE429" t="n">
        <v>4</v>
      </c>
      <c r="AF429" t="n">
        <v>10</v>
      </c>
      <c r="AG429" t="n">
        <v>14</v>
      </c>
      <c r="AH429" t="n">
        <v>2</v>
      </c>
      <c r="AI429" t="n">
        <v>5</v>
      </c>
      <c r="AJ429" t="n">
        <v>2</v>
      </c>
      <c r="AK429" t="n">
        <v>2</v>
      </c>
      <c r="AL429" t="n">
        <v>5</v>
      </c>
      <c r="AM429" t="n">
        <v>5</v>
      </c>
      <c r="AN429" t="n">
        <v>2</v>
      </c>
      <c r="AO429" t="n">
        <v>3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HYPERLINK("http://catalog.hathitrust.org/Record/000257797","HathiTrust Record")</f>
        <v/>
      </c>
      <c r="AU429">
        <f>HYPERLINK("https://creighton-primo.hosted.exlibrisgroup.com/primo-explore/search?tab=default_tab&amp;search_scope=EVERYTHING&amp;vid=01CRU&amp;lang=en_US&amp;offset=0&amp;query=any,contains,991001468779702656","Catalog Record")</f>
        <v/>
      </c>
      <c r="AV429">
        <f>HYPERLINK("http://www.worldcat.org/oclc/4529198","WorldCat Record")</f>
        <v/>
      </c>
      <c r="AW429" t="inlineStr">
        <is>
          <t>1178338:eng</t>
        </is>
      </c>
      <c r="AX429" t="inlineStr">
        <is>
          <t>4529198</t>
        </is>
      </c>
      <c r="AY429" t="inlineStr">
        <is>
          <t>991001468779702656</t>
        </is>
      </c>
      <c r="AZ429" t="inlineStr">
        <is>
          <t>991001468779702656</t>
        </is>
      </c>
      <c r="BA429" t="inlineStr">
        <is>
          <t>2266406090002656</t>
        </is>
      </c>
      <c r="BB429" t="inlineStr">
        <is>
          <t>BOOK</t>
        </is>
      </c>
      <c r="BD429" t="inlineStr">
        <is>
          <t>9780201075007</t>
        </is>
      </c>
      <c r="BE429" t="inlineStr">
        <is>
          <t>30001000558546</t>
        </is>
      </c>
      <c r="BF429" t="inlineStr">
        <is>
          <t>893821240</t>
        </is>
      </c>
    </row>
    <row r="430">
      <c r="A430" t="inlineStr">
        <is>
          <t>No</t>
        </is>
      </c>
      <c r="B430" t="inlineStr">
        <is>
          <t>CUHSL</t>
        </is>
      </c>
      <c r="C430" t="inlineStr">
        <is>
          <t>SHELVES</t>
        </is>
      </c>
      <c r="D430" t="inlineStr">
        <is>
          <t>WA 950 A733s 1987</t>
        </is>
      </c>
      <c r="E430" t="inlineStr">
        <is>
          <t>0                      WA 0950000A  733s        1987</t>
        </is>
      </c>
      <c r="F430" t="inlineStr">
        <is>
          <t>Statistical methods in medical research / P. Armitage and G. Berry.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Yes</t>
        </is>
      </c>
      <c r="L430" t="inlineStr">
        <is>
          <t>0</t>
        </is>
      </c>
      <c r="M430" t="inlineStr">
        <is>
          <t>Armitage, P.</t>
        </is>
      </c>
      <c r="N430" t="inlineStr">
        <is>
          <t>Oxford ; Boston : Blackwell Scientific ; Chicago, Ill. : Distributors, USA, Year Book Medical Publishers, c1987.</t>
        </is>
      </c>
      <c r="O430" t="inlineStr">
        <is>
          <t>1987</t>
        </is>
      </c>
      <c r="P430" t="inlineStr">
        <is>
          <t>2nd ed.</t>
        </is>
      </c>
      <c r="Q430" t="inlineStr">
        <is>
          <t>eng</t>
        </is>
      </c>
      <c r="R430" t="inlineStr">
        <is>
          <t>enk</t>
        </is>
      </c>
      <c r="T430" t="inlineStr">
        <is>
          <t xml:space="preserve">WA </t>
        </is>
      </c>
      <c r="U430" t="n">
        <v>54</v>
      </c>
      <c r="V430" t="n">
        <v>54</v>
      </c>
      <c r="W430" t="inlineStr">
        <is>
          <t>2001-12-28</t>
        </is>
      </c>
      <c r="X430" t="inlineStr">
        <is>
          <t>2001-12-28</t>
        </is>
      </c>
      <c r="Y430" t="inlineStr">
        <is>
          <t>1988-06-03</t>
        </is>
      </c>
      <c r="Z430" t="inlineStr">
        <is>
          <t>1988-06-03</t>
        </is>
      </c>
      <c r="AA430" t="n">
        <v>220</v>
      </c>
      <c r="AB430" t="n">
        <v>103</v>
      </c>
      <c r="AC430" t="n">
        <v>838</v>
      </c>
      <c r="AD430" t="n">
        <v>1</v>
      </c>
      <c r="AE430" t="n">
        <v>7</v>
      </c>
      <c r="AF430" t="n">
        <v>2</v>
      </c>
      <c r="AG430" t="n">
        <v>32</v>
      </c>
      <c r="AH430" t="n">
        <v>0</v>
      </c>
      <c r="AI430" t="n">
        <v>9</v>
      </c>
      <c r="AJ430" t="n">
        <v>1</v>
      </c>
      <c r="AK430" t="n">
        <v>10</v>
      </c>
      <c r="AL430" t="n">
        <v>1</v>
      </c>
      <c r="AM430" t="n">
        <v>12</v>
      </c>
      <c r="AN430" t="n">
        <v>0</v>
      </c>
      <c r="AO430" t="n">
        <v>5</v>
      </c>
      <c r="AP430" t="n">
        <v>0</v>
      </c>
      <c r="AQ430" t="n">
        <v>1</v>
      </c>
      <c r="AR430" t="inlineStr">
        <is>
          <t>No</t>
        </is>
      </c>
      <c r="AS430" t="inlineStr">
        <is>
          <t>No</t>
        </is>
      </c>
      <c r="AU430">
        <f>HYPERLINK("https://creighton-primo.hosted.exlibrisgroup.com/primo-explore/search?tab=default_tab&amp;search_scope=EVERYTHING&amp;vid=01CRU&amp;lang=en_US&amp;offset=0&amp;query=any,contains,991001193079702656","Catalog Record")</f>
        <v/>
      </c>
      <c r="AV430">
        <f>HYPERLINK("http://www.worldcat.org/oclc/17803642","WorldCat Record")</f>
        <v/>
      </c>
      <c r="AW430" t="inlineStr">
        <is>
          <t>1032157:eng</t>
        </is>
      </c>
      <c r="AX430" t="inlineStr">
        <is>
          <t>17803642</t>
        </is>
      </c>
      <c r="AY430" t="inlineStr">
        <is>
          <t>991001193079702656</t>
        </is>
      </c>
      <c r="AZ430" t="inlineStr">
        <is>
          <t>991001193079702656</t>
        </is>
      </c>
      <c r="BA430" t="inlineStr">
        <is>
          <t>2265104950002656</t>
        </is>
      </c>
      <c r="BB430" t="inlineStr">
        <is>
          <t>BOOK</t>
        </is>
      </c>
      <c r="BD430" t="inlineStr">
        <is>
          <t>9780632015016</t>
        </is>
      </c>
      <c r="BE430" t="inlineStr">
        <is>
          <t>30001000979783</t>
        </is>
      </c>
      <c r="BF430" t="inlineStr">
        <is>
          <t>893121260</t>
        </is>
      </c>
    </row>
    <row r="431">
      <c r="A431" t="inlineStr">
        <is>
          <t>No</t>
        </is>
      </c>
      <c r="B431" t="inlineStr">
        <is>
          <t>CUHSL</t>
        </is>
      </c>
      <c r="C431" t="inlineStr">
        <is>
          <t>SHELVES</t>
        </is>
      </c>
      <c r="D431" t="inlineStr">
        <is>
          <t>WA950 A813e 2003</t>
        </is>
      </c>
      <c r="E431" t="inlineStr">
        <is>
          <t>0                      WA 0950000A  813e        2003</t>
        </is>
      </c>
      <c r="F431" t="inlineStr">
        <is>
          <t>Essentials of epidemiology in public health / Ann Aschengrau, George R. Seage III.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Aschengrau, Ann.</t>
        </is>
      </c>
      <c r="N431" t="inlineStr">
        <is>
          <t>Sudbury, Mass. : Jones and Bartlett, c2003.</t>
        </is>
      </c>
      <c r="O431" t="inlineStr">
        <is>
          <t>2003</t>
        </is>
      </c>
      <c r="Q431" t="inlineStr">
        <is>
          <t>eng</t>
        </is>
      </c>
      <c r="R431" t="inlineStr">
        <is>
          <t>mau</t>
        </is>
      </c>
      <c r="T431" t="inlineStr">
        <is>
          <t xml:space="preserve">WA </t>
        </is>
      </c>
      <c r="U431" t="n">
        <v>4</v>
      </c>
      <c r="V431" t="n">
        <v>4</v>
      </c>
      <c r="W431" t="inlineStr">
        <is>
          <t>2007-10-08</t>
        </is>
      </c>
      <c r="X431" t="inlineStr">
        <is>
          <t>2007-10-08</t>
        </is>
      </c>
      <c r="Y431" t="inlineStr">
        <is>
          <t>2006-10-12</t>
        </is>
      </c>
      <c r="Z431" t="inlineStr">
        <is>
          <t>2006-10-12</t>
        </is>
      </c>
      <c r="AA431" t="n">
        <v>218</v>
      </c>
      <c r="AB431" t="n">
        <v>136</v>
      </c>
      <c r="AC431" t="n">
        <v>439</v>
      </c>
      <c r="AD431" t="n">
        <v>2</v>
      </c>
      <c r="AE431" t="n">
        <v>3</v>
      </c>
      <c r="AF431" t="n">
        <v>5</v>
      </c>
      <c r="AG431" t="n">
        <v>24</v>
      </c>
      <c r="AH431" t="n">
        <v>2</v>
      </c>
      <c r="AI431" t="n">
        <v>8</v>
      </c>
      <c r="AJ431" t="n">
        <v>0</v>
      </c>
      <c r="AK431" t="n">
        <v>7</v>
      </c>
      <c r="AL431" t="n">
        <v>2</v>
      </c>
      <c r="AM431" t="n">
        <v>11</v>
      </c>
      <c r="AN431" t="n">
        <v>1</v>
      </c>
      <c r="AO431" t="n">
        <v>2</v>
      </c>
      <c r="AP431" t="n">
        <v>0</v>
      </c>
      <c r="AQ431" t="n">
        <v>1</v>
      </c>
      <c r="AR431" t="inlineStr">
        <is>
          <t>No</t>
        </is>
      </c>
      <c r="AS431" t="inlineStr">
        <is>
          <t>No</t>
        </is>
      </c>
      <c r="AU431">
        <f>HYPERLINK("https://creighton-primo.hosted.exlibrisgroup.com/primo-explore/search?tab=default_tab&amp;search_scope=EVERYTHING&amp;vid=01CRU&amp;lang=en_US&amp;offset=0&amp;query=any,contains,991000554779702656","Catalog Record")</f>
        <v/>
      </c>
      <c r="AV431">
        <f>HYPERLINK("http://www.worldcat.org/oclc/51892834","WorldCat Record")</f>
        <v/>
      </c>
      <c r="AW431" t="inlineStr">
        <is>
          <t>758348:eng</t>
        </is>
      </c>
      <c r="AX431" t="inlineStr">
        <is>
          <t>51892834</t>
        </is>
      </c>
      <c r="AY431" t="inlineStr">
        <is>
          <t>991000554779702656</t>
        </is>
      </c>
      <c r="AZ431" t="inlineStr">
        <is>
          <t>991000554779702656</t>
        </is>
      </c>
      <c r="BA431" t="inlineStr">
        <is>
          <t>2272729370002656</t>
        </is>
      </c>
      <c r="BB431" t="inlineStr">
        <is>
          <t>BOOK</t>
        </is>
      </c>
      <c r="BD431" t="inlineStr">
        <is>
          <t>9780763725372</t>
        </is>
      </c>
      <c r="BE431" t="inlineStr">
        <is>
          <t>30001005176450</t>
        </is>
      </c>
      <c r="BF431" t="inlineStr">
        <is>
          <t>893539024</t>
        </is>
      </c>
    </row>
    <row r="432">
      <c r="A432" t="inlineStr">
        <is>
          <t>No</t>
        </is>
      </c>
      <c r="B432" t="inlineStr">
        <is>
          <t>CUHSL</t>
        </is>
      </c>
      <c r="C432" t="inlineStr">
        <is>
          <t>SHELVES</t>
        </is>
      </c>
      <c r="D432" t="inlineStr">
        <is>
          <t>WA950 B215m 2003</t>
        </is>
      </c>
      <c r="E432" t="inlineStr">
        <is>
          <t>0                      WA 0950000B  215m        2003</t>
        </is>
      </c>
      <c r="F432" t="inlineStr">
        <is>
          <t>Medical statistics made clear : an introduction to basic concepts / Ashis Banerjee.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Banerjee, Ashis.</t>
        </is>
      </c>
      <c r="N432" t="inlineStr">
        <is>
          <t>London ; Lake Forest, IL : Royal Society of Medicine Press, c2003.</t>
        </is>
      </c>
      <c r="O432" t="inlineStr">
        <is>
          <t>2003</t>
        </is>
      </c>
      <c r="Q432" t="inlineStr">
        <is>
          <t>eng</t>
        </is>
      </c>
      <c r="R432" t="inlineStr">
        <is>
          <t>enk</t>
        </is>
      </c>
      <c r="T432" t="inlineStr">
        <is>
          <t xml:space="preserve">WA </t>
        </is>
      </c>
      <c r="U432" t="n">
        <v>3</v>
      </c>
      <c r="V432" t="n">
        <v>3</v>
      </c>
      <c r="W432" t="inlineStr">
        <is>
          <t>2007-07-31</t>
        </is>
      </c>
      <c r="X432" t="inlineStr">
        <is>
          <t>2007-07-31</t>
        </is>
      </c>
      <c r="Y432" t="inlineStr">
        <is>
          <t>2006-03-16</t>
        </is>
      </c>
      <c r="Z432" t="inlineStr">
        <is>
          <t>2006-03-16</t>
        </is>
      </c>
      <c r="AA432" t="n">
        <v>147</v>
      </c>
      <c r="AB432" t="n">
        <v>52</v>
      </c>
      <c r="AC432" t="n">
        <v>52</v>
      </c>
      <c r="AD432" t="n">
        <v>1</v>
      </c>
      <c r="AE432" t="n">
        <v>1</v>
      </c>
      <c r="AF432" t="n">
        <v>2</v>
      </c>
      <c r="AG432" t="n">
        <v>2</v>
      </c>
      <c r="AH432" t="n">
        <v>2</v>
      </c>
      <c r="AI432" t="n">
        <v>2</v>
      </c>
      <c r="AJ432" t="n">
        <v>0</v>
      </c>
      <c r="AK432" t="n">
        <v>0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HYPERLINK("https://creighton-primo.hosted.exlibrisgroup.com/primo-explore/search?tab=default_tab&amp;search_scope=EVERYTHING&amp;vid=01CRU&amp;lang=en_US&amp;offset=0&amp;query=any,contains,991000467569702656","Catalog Record")</f>
        <v/>
      </c>
      <c r="AV432">
        <f>HYPERLINK("http://www.worldcat.org/oclc/50877020","WorldCat Record")</f>
        <v/>
      </c>
      <c r="AW432" t="inlineStr">
        <is>
          <t>375469488:eng</t>
        </is>
      </c>
      <c r="AX432" t="inlineStr">
        <is>
          <t>50877020</t>
        </is>
      </c>
      <c r="AY432" t="inlineStr">
        <is>
          <t>991000467569702656</t>
        </is>
      </c>
      <c r="AZ432" t="inlineStr">
        <is>
          <t>991000467569702656</t>
        </is>
      </c>
      <c r="BA432" t="inlineStr">
        <is>
          <t>2258427820002656</t>
        </is>
      </c>
      <c r="BB432" t="inlineStr">
        <is>
          <t>BOOK</t>
        </is>
      </c>
      <c r="BD432" t="inlineStr">
        <is>
          <t>9781853155444</t>
        </is>
      </c>
      <c r="BE432" t="inlineStr">
        <is>
          <t>30001005126109</t>
        </is>
      </c>
      <c r="BF432" t="inlineStr">
        <is>
          <t>893109694</t>
        </is>
      </c>
    </row>
    <row r="433">
      <c r="A433" t="inlineStr">
        <is>
          <t>No</t>
        </is>
      </c>
      <c r="B433" t="inlineStr">
        <is>
          <t>CUHSL</t>
        </is>
      </c>
      <c r="C433" t="inlineStr">
        <is>
          <t>SHELVES</t>
        </is>
      </c>
      <c r="D433" t="inlineStr">
        <is>
          <t>WA 950 B311 1980</t>
        </is>
      </c>
      <c r="E433" t="inlineStr">
        <is>
          <t>0                      WA 0950000B  311         1980</t>
        </is>
      </c>
      <c r="F433" t="inlineStr">
        <is>
          <t>Basic biostatistics in medicine and epidemiology / Alfred A. Rimm ... [et al.].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N433" t="inlineStr">
        <is>
          <t>New York : Appleton-Century-Crofts, c1980.</t>
        </is>
      </c>
      <c r="O433" t="inlineStr">
        <is>
          <t>1980</t>
        </is>
      </c>
      <c r="Q433" t="inlineStr">
        <is>
          <t>eng</t>
        </is>
      </c>
      <c r="R433" t="inlineStr">
        <is>
          <t>xxu</t>
        </is>
      </c>
      <c r="T433" t="inlineStr">
        <is>
          <t xml:space="preserve">WA </t>
        </is>
      </c>
      <c r="U433" t="n">
        <v>16</v>
      </c>
      <c r="V433" t="n">
        <v>16</v>
      </c>
      <c r="W433" t="inlineStr">
        <is>
          <t>1997-10-04</t>
        </is>
      </c>
      <c r="X433" t="inlineStr">
        <is>
          <t>1997-10-04</t>
        </is>
      </c>
      <c r="Y433" t="inlineStr">
        <is>
          <t>1990-10-10</t>
        </is>
      </c>
      <c r="Z433" t="inlineStr">
        <is>
          <t>1990-10-10</t>
        </is>
      </c>
      <c r="AA433" t="n">
        <v>215</v>
      </c>
      <c r="AB433" t="n">
        <v>160</v>
      </c>
      <c r="AC433" t="n">
        <v>164</v>
      </c>
      <c r="AD433" t="n">
        <v>1</v>
      </c>
      <c r="AE433" t="n">
        <v>1</v>
      </c>
      <c r="AF433" t="n">
        <v>2</v>
      </c>
      <c r="AG433" t="n">
        <v>2</v>
      </c>
      <c r="AH433" t="n">
        <v>0</v>
      </c>
      <c r="AI433" t="n">
        <v>0</v>
      </c>
      <c r="AJ433" t="n">
        <v>2</v>
      </c>
      <c r="AK433" t="n">
        <v>2</v>
      </c>
      <c r="AL433" t="n">
        <v>1</v>
      </c>
      <c r="AM433" t="n">
        <v>1</v>
      </c>
      <c r="AN433" t="n">
        <v>0</v>
      </c>
      <c r="AO433" t="n">
        <v>0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HYPERLINK("http://catalog.hathitrust.org/Record/000711933","HathiTrust Record")</f>
        <v/>
      </c>
      <c r="AU433">
        <f>HYPERLINK("https://creighton-primo.hosted.exlibrisgroup.com/primo-explore/search?tab=default_tab&amp;search_scope=EVERYTHING&amp;vid=01CRU&amp;lang=en_US&amp;offset=0&amp;query=any,contains,991000769269702656","Catalog Record")</f>
        <v/>
      </c>
      <c r="AV433">
        <f>HYPERLINK("http://www.worldcat.org/oclc/5353714","WorldCat Record")</f>
        <v/>
      </c>
      <c r="AW433" t="inlineStr">
        <is>
          <t>17134688:eng</t>
        </is>
      </c>
      <c r="AX433" t="inlineStr">
        <is>
          <t>5353714</t>
        </is>
      </c>
      <c r="AY433" t="inlineStr">
        <is>
          <t>991000769269702656</t>
        </is>
      </c>
      <c r="AZ433" t="inlineStr">
        <is>
          <t>991000769269702656</t>
        </is>
      </c>
      <c r="BA433" t="inlineStr">
        <is>
          <t>2255254540002656</t>
        </is>
      </c>
      <c r="BB433" t="inlineStr">
        <is>
          <t>BOOK</t>
        </is>
      </c>
      <c r="BD433" t="inlineStr">
        <is>
          <t>9780838505281</t>
        </is>
      </c>
      <c r="BE433" t="inlineStr">
        <is>
          <t>30001002061721</t>
        </is>
      </c>
      <c r="BF433" t="inlineStr">
        <is>
          <t>893648154</t>
        </is>
      </c>
    </row>
    <row r="434">
      <c r="A434" t="inlineStr">
        <is>
          <t>No</t>
        </is>
      </c>
      <c r="B434" t="inlineStr">
        <is>
          <t>CUHSL</t>
        </is>
      </c>
      <c r="C434" t="inlineStr">
        <is>
          <t>SHELVES</t>
        </is>
      </c>
      <c r="D434" t="inlineStr">
        <is>
          <t>WA 950 B6167 1985</t>
        </is>
      </c>
      <c r="E434" t="inlineStr">
        <is>
          <t>0                      WA 0950000B  6167        1985</t>
        </is>
      </c>
      <c r="F434" t="inlineStr">
        <is>
          <t>Biostatistics : statistics in biomedical, public health, and environmental sciences : the Bernard G. Greenberg volume / edited by Pranab K. Sen.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Amsterdam ; New York : North-Holland ; New York, N.Y., U.S.A. : Sole distributors for the U.S.A. and Canada, Elsevier Science Pub. Co., c1985.</t>
        </is>
      </c>
      <c r="O434" t="inlineStr">
        <is>
          <t>1985</t>
        </is>
      </c>
      <c r="Q434" t="inlineStr">
        <is>
          <t>eng</t>
        </is>
      </c>
      <c r="R434" t="inlineStr">
        <is>
          <t xml:space="preserve">ne </t>
        </is>
      </c>
      <c r="T434" t="inlineStr">
        <is>
          <t xml:space="preserve">WA </t>
        </is>
      </c>
      <c r="U434" t="n">
        <v>22</v>
      </c>
      <c r="V434" t="n">
        <v>22</v>
      </c>
      <c r="W434" t="inlineStr">
        <is>
          <t>1997-10-04</t>
        </is>
      </c>
      <c r="X434" t="inlineStr">
        <is>
          <t>1997-10-04</t>
        </is>
      </c>
      <c r="Y434" t="inlineStr">
        <is>
          <t>1988-01-05</t>
        </is>
      </c>
      <c r="Z434" t="inlineStr">
        <is>
          <t>1988-01-05</t>
        </is>
      </c>
      <c r="AA434" t="n">
        <v>208</v>
      </c>
      <c r="AB434" t="n">
        <v>150</v>
      </c>
      <c r="AC434" t="n">
        <v>152</v>
      </c>
      <c r="AD434" t="n">
        <v>1</v>
      </c>
      <c r="AE434" t="n">
        <v>1</v>
      </c>
      <c r="AF434" t="n">
        <v>2</v>
      </c>
      <c r="AG434" t="n">
        <v>2</v>
      </c>
      <c r="AH434" t="n">
        <v>0</v>
      </c>
      <c r="AI434" t="n">
        <v>0</v>
      </c>
      <c r="AJ434" t="n">
        <v>2</v>
      </c>
      <c r="AK434" t="n">
        <v>2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HYPERLINK("http://catalog.hathitrust.org/Record/000374027","HathiTrust Record")</f>
        <v/>
      </c>
      <c r="AU434">
        <f>HYPERLINK("https://creighton-primo.hosted.exlibrisgroup.com/primo-explore/search?tab=default_tab&amp;search_scope=EVERYTHING&amp;vid=01CRU&amp;lang=en_US&amp;offset=0&amp;query=any,contains,991000734369702656","Catalog Record")</f>
        <v/>
      </c>
      <c r="AV434">
        <f>HYPERLINK("http://www.worldcat.org/oclc/11574423","WorldCat Record")</f>
        <v/>
      </c>
      <c r="AW434" t="inlineStr">
        <is>
          <t>836696721:eng</t>
        </is>
      </c>
      <c r="AX434" t="inlineStr">
        <is>
          <t>11574423</t>
        </is>
      </c>
      <c r="AY434" t="inlineStr">
        <is>
          <t>991000734369702656</t>
        </is>
      </c>
      <c r="AZ434" t="inlineStr">
        <is>
          <t>991000734369702656</t>
        </is>
      </c>
      <c r="BA434" t="inlineStr">
        <is>
          <t>2271973510002656</t>
        </is>
      </c>
      <c r="BB434" t="inlineStr">
        <is>
          <t>BOOK</t>
        </is>
      </c>
      <c r="BD434" t="inlineStr">
        <is>
          <t>9780444876942</t>
        </is>
      </c>
      <c r="BE434" t="inlineStr">
        <is>
          <t>30001000709073</t>
        </is>
      </c>
      <c r="BF434" t="inlineStr">
        <is>
          <t>893357450</t>
        </is>
      </c>
    </row>
    <row r="435">
      <c r="A435" t="inlineStr">
        <is>
          <t>No</t>
        </is>
      </c>
      <c r="B435" t="inlineStr">
        <is>
          <t>CUHSL</t>
        </is>
      </c>
      <c r="C435" t="inlineStr">
        <is>
          <t>SHELVES</t>
        </is>
      </c>
      <c r="D435" t="inlineStr">
        <is>
          <t>WA 950 B642i 1995</t>
        </is>
      </c>
      <c r="E435" t="inlineStr">
        <is>
          <t>0                      WA 0950000B  642i        1995</t>
        </is>
      </c>
      <c r="F435" t="inlineStr">
        <is>
          <t>An introduction to medical statistics/ Martin Bland.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Yes</t>
        </is>
      </c>
      <c r="L435" t="inlineStr">
        <is>
          <t>0</t>
        </is>
      </c>
      <c r="M435" t="inlineStr">
        <is>
          <t>Bland, Martin.</t>
        </is>
      </c>
      <c r="N435" t="inlineStr">
        <is>
          <t>Oxford ; New York : Oxford University Press, 1995.</t>
        </is>
      </c>
      <c r="O435" t="inlineStr">
        <is>
          <t>1995</t>
        </is>
      </c>
      <c r="P435" t="inlineStr">
        <is>
          <t>2nd ed.</t>
        </is>
      </c>
      <c r="Q435" t="inlineStr">
        <is>
          <t>eng</t>
        </is>
      </c>
      <c r="R435" t="inlineStr">
        <is>
          <t>enk</t>
        </is>
      </c>
      <c r="S435" t="inlineStr">
        <is>
          <t>Oxford medical publications</t>
        </is>
      </c>
      <c r="T435" t="inlineStr">
        <is>
          <t xml:space="preserve">WA </t>
        </is>
      </c>
      <c r="U435" t="n">
        <v>30</v>
      </c>
      <c r="V435" t="n">
        <v>30</v>
      </c>
      <c r="W435" t="inlineStr">
        <is>
          <t>2007-07-31</t>
        </is>
      </c>
      <c r="X435" t="inlineStr">
        <is>
          <t>2007-07-31</t>
        </is>
      </c>
      <c r="Y435" t="inlineStr">
        <is>
          <t>1999-01-28</t>
        </is>
      </c>
      <c r="Z435" t="inlineStr">
        <is>
          <t>1999-01-28</t>
        </is>
      </c>
      <c r="AA435" t="n">
        <v>266</v>
      </c>
      <c r="AB435" t="n">
        <v>119</v>
      </c>
      <c r="AC435" t="n">
        <v>380</v>
      </c>
      <c r="AD435" t="n">
        <v>1</v>
      </c>
      <c r="AE435" t="n">
        <v>3</v>
      </c>
      <c r="AF435" t="n">
        <v>1</v>
      </c>
      <c r="AG435" t="n">
        <v>13</v>
      </c>
      <c r="AH435" t="n">
        <v>0</v>
      </c>
      <c r="AI435" t="n">
        <v>2</v>
      </c>
      <c r="AJ435" t="n">
        <v>0</v>
      </c>
      <c r="AK435" t="n">
        <v>4</v>
      </c>
      <c r="AL435" t="n">
        <v>1</v>
      </c>
      <c r="AM435" t="n">
        <v>9</v>
      </c>
      <c r="AN435" t="n">
        <v>0</v>
      </c>
      <c r="AO435" t="n">
        <v>2</v>
      </c>
      <c r="AP435" t="n">
        <v>0</v>
      </c>
      <c r="AQ435" t="n">
        <v>1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HYPERLINK("http://catalog.hathitrust.org/Record/002982274","HathiTrust Record")</f>
        <v/>
      </c>
      <c r="AU435">
        <f>HYPERLINK("https://creighton-primo.hosted.exlibrisgroup.com/primo-explore/search?tab=default_tab&amp;search_scope=EVERYTHING&amp;vid=01CRU&amp;lang=en_US&amp;offset=0&amp;query=any,contains,991001533699702656","Catalog Record")</f>
        <v/>
      </c>
      <c r="AV435">
        <f>HYPERLINK("http://www.worldcat.org/oclc/31819633","WorldCat Record")</f>
        <v/>
      </c>
      <c r="AW435" t="inlineStr">
        <is>
          <t>10457605:eng</t>
        </is>
      </c>
      <c r="AX435" t="inlineStr">
        <is>
          <t>31819633</t>
        </is>
      </c>
      <c r="AY435" t="inlineStr">
        <is>
          <t>991001533699702656</t>
        </is>
      </c>
      <c r="AZ435" t="inlineStr">
        <is>
          <t>991001533699702656</t>
        </is>
      </c>
      <c r="BA435" t="inlineStr">
        <is>
          <t>2259804760002656</t>
        </is>
      </c>
      <c r="BB435" t="inlineStr">
        <is>
          <t>BOOK</t>
        </is>
      </c>
      <c r="BD435" t="inlineStr">
        <is>
          <t>9780192624284</t>
        </is>
      </c>
      <c r="BE435" t="inlineStr">
        <is>
          <t>30001003962232</t>
        </is>
      </c>
      <c r="BF435" t="inlineStr">
        <is>
          <t>893541484</t>
        </is>
      </c>
    </row>
    <row r="436">
      <c r="A436" t="inlineStr">
        <is>
          <t>No</t>
        </is>
      </c>
      <c r="B436" t="inlineStr">
        <is>
          <t>CUHSL</t>
        </is>
      </c>
      <c r="C436" t="inlineStr">
        <is>
          <t>SHELVES</t>
        </is>
      </c>
      <c r="D436" t="inlineStr">
        <is>
          <t>WA950 C676s 2002</t>
        </is>
      </c>
      <c r="E436" t="inlineStr">
        <is>
          <t>0                      WA 0950000C  676s        2002</t>
        </is>
      </c>
      <c r="F436" t="inlineStr">
        <is>
          <t>Statistics in clinical practice / David Coggon.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Coggon, D. (David), Dr.</t>
        </is>
      </c>
      <c r="N436" t="inlineStr">
        <is>
          <t>London : BMJ Books, 2002.</t>
        </is>
      </c>
      <c r="O436" t="inlineStr">
        <is>
          <t>2002</t>
        </is>
      </c>
      <c r="P436" t="inlineStr">
        <is>
          <t>2nd ed.</t>
        </is>
      </c>
      <c r="Q436" t="inlineStr">
        <is>
          <t>eng</t>
        </is>
      </c>
      <c r="R436" t="inlineStr">
        <is>
          <t>enk</t>
        </is>
      </c>
      <c r="T436" t="inlineStr">
        <is>
          <t xml:space="preserve">WA </t>
        </is>
      </c>
      <c r="U436" t="n">
        <v>10</v>
      </c>
      <c r="V436" t="n">
        <v>10</v>
      </c>
      <c r="W436" t="inlineStr">
        <is>
          <t>2010-12-17</t>
        </is>
      </c>
      <c r="X436" t="inlineStr">
        <is>
          <t>2010-12-17</t>
        </is>
      </c>
      <c r="Y436" t="inlineStr">
        <is>
          <t>2004-11-19</t>
        </is>
      </c>
      <c r="Z436" t="inlineStr">
        <is>
          <t>2004-11-19</t>
        </is>
      </c>
      <c r="AA436" t="n">
        <v>126</v>
      </c>
      <c r="AB436" t="n">
        <v>51</v>
      </c>
      <c r="AC436" t="n">
        <v>621</v>
      </c>
      <c r="AD436" t="n">
        <v>1</v>
      </c>
      <c r="AE436" t="n">
        <v>26</v>
      </c>
      <c r="AF436" t="n">
        <v>2</v>
      </c>
      <c r="AG436" t="n">
        <v>27</v>
      </c>
      <c r="AH436" t="n">
        <v>1</v>
      </c>
      <c r="AI436" t="n">
        <v>8</v>
      </c>
      <c r="AJ436" t="n">
        <v>0</v>
      </c>
      <c r="AK436" t="n">
        <v>4</v>
      </c>
      <c r="AL436" t="n">
        <v>1</v>
      </c>
      <c r="AM436" t="n">
        <v>9</v>
      </c>
      <c r="AN436" t="n">
        <v>0</v>
      </c>
      <c r="AO436" t="n">
        <v>11</v>
      </c>
      <c r="AP436" t="n">
        <v>0</v>
      </c>
      <c r="AQ436" t="n">
        <v>0</v>
      </c>
      <c r="AR436" t="inlineStr">
        <is>
          <t>No</t>
        </is>
      </c>
      <c r="AS436" t="inlineStr">
        <is>
          <t>No</t>
        </is>
      </c>
      <c r="AU436">
        <f>HYPERLINK("https://creighton-primo.hosted.exlibrisgroup.com/primo-explore/search?tab=default_tab&amp;search_scope=EVERYTHING&amp;vid=01CRU&amp;lang=en_US&amp;offset=0&amp;query=any,contains,991000413889702656","Catalog Record")</f>
        <v/>
      </c>
      <c r="AV436">
        <f>HYPERLINK("http://www.worldcat.org/oclc/52766664","WorldCat Record")</f>
        <v/>
      </c>
      <c r="AW436" t="inlineStr">
        <is>
          <t>478767897:eng</t>
        </is>
      </c>
      <c r="AX436" t="inlineStr">
        <is>
          <t>52766664</t>
        </is>
      </c>
      <c r="AY436" t="inlineStr">
        <is>
          <t>991000413889702656</t>
        </is>
      </c>
      <c r="AZ436" t="inlineStr">
        <is>
          <t>991000413889702656</t>
        </is>
      </c>
      <c r="BA436" t="inlineStr">
        <is>
          <t>2263764610002656</t>
        </is>
      </c>
      <c r="BB436" t="inlineStr">
        <is>
          <t>BOOK</t>
        </is>
      </c>
      <c r="BD436" t="inlineStr">
        <is>
          <t>9780727916099</t>
        </is>
      </c>
      <c r="BE436" t="inlineStr">
        <is>
          <t>30001004925584</t>
        </is>
      </c>
      <c r="BF436" t="inlineStr">
        <is>
          <t>893822125</t>
        </is>
      </c>
    </row>
    <row r="437">
      <c r="A437" t="inlineStr">
        <is>
          <t>No</t>
        </is>
      </c>
      <c r="B437" t="inlineStr">
        <is>
          <t>CUHSL</t>
        </is>
      </c>
      <c r="C437" t="inlineStr">
        <is>
          <t>SHELVES</t>
        </is>
      </c>
      <c r="D437" t="inlineStr">
        <is>
          <t>WA 950 D272b 1994</t>
        </is>
      </c>
      <c r="E437" t="inlineStr">
        <is>
          <t>0                      WA 0950000D  272b        1994</t>
        </is>
      </c>
      <c r="F437" t="inlineStr">
        <is>
          <t>Basic &amp; clinical biostatistics / Beth Dawson-Saunders, Robert G. Trapp.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Yes</t>
        </is>
      </c>
      <c r="L437" t="inlineStr">
        <is>
          <t>1</t>
        </is>
      </c>
      <c r="M437" t="inlineStr">
        <is>
          <t>Dawson, Beth.</t>
        </is>
      </c>
      <c r="N437" t="inlineStr">
        <is>
          <t>Norwalk, Conn. : Appleton &amp; Lange, c1994.</t>
        </is>
      </c>
      <c r="O437" t="inlineStr">
        <is>
          <t>1994</t>
        </is>
      </c>
      <c r="P437" t="inlineStr">
        <is>
          <t>2nd ed.</t>
        </is>
      </c>
      <c r="Q437" t="inlineStr">
        <is>
          <t>eng</t>
        </is>
      </c>
      <c r="R437" t="inlineStr">
        <is>
          <t>xxu</t>
        </is>
      </c>
      <c r="T437" t="inlineStr">
        <is>
          <t xml:space="preserve">WA </t>
        </is>
      </c>
      <c r="U437" t="n">
        <v>53</v>
      </c>
      <c r="V437" t="n">
        <v>53</v>
      </c>
      <c r="W437" t="inlineStr">
        <is>
          <t>2006-09-29</t>
        </is>
      </c>
      <c r="X437" t="inlineStr">
        <is>
          <t>2006-09-29</t>
        </is>
      </c>
      <c r="Y437" t="inlineStr">
        <is>
          <t>1997-01-17</t>
        </is>
      </c>
      <c r="Z437" t="inlineStr">
        <is>
          <t>1997-01-17</t>
        </is>
      </c>
      <c r="AA437" t="n">
        <v>247</v>
      </c>
      <c r="AB437" t="n">
        <v>186</v>
      </c>
      <c r="AC437" t="n">
        <v>521</v>
      </c>
      <c r="AD437" t="n">
        <v>2</v>
      </c>
      <c r="AE437" t="n">
        <v>3</v>
      </c>
      <c r="AF437" t="n">
        <v>8</v>
      </c>
      <c r="AG437" t="n">
        <v>20</v>
      </c>
      <c r="AH437" t="n">
        <v>4</v>
      </c>
      <c r="AI437" t="n">
        <v>8</v>
      </c>
      <c r="AJ437" t="n">
        <v>3</v>
      </c>
      <c r="AK437" t="n">
        <v>6</v>
      </c>
      <c r="AL437" t="n">
        <v>4</v>
      </c>
      <c r="AM437" t="n">
        <v>10</v>
      </c>
      <c r="AN437" t="n">
        <v>1</v>
      </c>
      <c r="AO437" t="n">
        <v>2</v>
      </c>
      <c r="AP437" t="n">
        <v>0</v>
      </c>
      <c r="AQ437" t="n">
        <v>0</v>
      </c>
      <c r="AR437" t="inlineStr">
        <is>
          <t>No</t>
        </is>
      </c>
      <c r="AS437" t="inlineStr">
        <is>
          <t>Yes</t>
        </is>
      </c>
      <c r="AT437">
        <f>HYPERLINK("http://catalog.hathitrust.org/Record/002728440","HathiTrust Record")</f>
        <v/>
      </c>
      <c r="AU437">
        <f>HYPERLINK("https://creighton-primo.hosted.exlibrisgroup.com/primo-explore/search?tab=default_tab&amp;search_scope=EVERYTHING&amp;vid=01CRU&amp;lang=en_US&amp;offset=0&amp;query=any,contains,991000489749702656","Catalog Record")</f>
        <v/>
      </c>
      <c r="AV437">
        <f>HYPERLINK("http://www.worldcat.org/oclc/29288694","WorldCat Record")</f>
        <v/>
      </c>
      <c r="AW437" t="inlineStr">
        <is>
          <t>651830:eng</t>
        </is>
      </c>
      <c r="AX437" t="inlineStr">
        <is>
          <t>29288694</t>
        </is>
      </c>
      <c r="AY437" t="inlineStr">
        <is>
          <t>991000489749702656</t>
        </is>
      </c>
      <c r="AZ437" t="inlineStr">
        <is>
          <t>991000489749702656</t>
        </is>
      </c>
      <c r="BA437" t="inlineStr">
        <is>
          <t>2254802820002656</t>
        </is>
      </c>
      <c r="BB437" t="inlineStr">
        <is>
          <t>BOOK</t>
        </is>
      </c>
      <c r="BD437" t="inlineStr">
        <is>
          <t>9780838505427</t>
        </is>
      </c>
      <c r="BE437" t="inlineStr">
        <is>
          <t>30001003474162</t>
        </is>
      </c>
      <c r="BF437" t="inlineStr">
        <is>
          <t>893264355</t>
        </is>
      </c>
    </row>
    <row r="438">
      <c r="A438" t="inlineStr">
        <is>
          <t>No</t>
        </is>
      </c>
      <c r="B438" t="inlineStr">
        <is>
          <t>CUHSL</t>
        </is>
      </c>
      <c r="C438" t="inlineStr">
        <is>
          <t>SHELVES</t>
        </is>
      </c>
      <c r="D438" t="inlineStr">
        <is>
          <t>WA950 D578m 2000</t>
        </is>
      </c>
      <c r="E438" t="inlineStr">
        <is>
          <t>0                      WA 0950000D  578m        2000</t>
        </is>
      </c>
      <c r="F438" t="inlineStr">
        <is>
          <t>Mail and internet surveys : the tailored design method / Don A. Dillman.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Yes</t>
        </is>
      </c>
      <c r="L438" t="inlineStr">
        <is>
          <t>0</t>
        </is>
      </c>
      <c r="M438" t="inlineStr">
        <is>
          <t>Dillman, Don A., 1941-</t>
        </is>
      </c>
      <c r="N438" t="inlineStr">
        <is>
          <t>New York : Wiley, c2000.</t>
        </is>
      </c>
      <c r="O438" t="inlineStr">
        <is>
          <t>2000</t>
        </is>
      </c>
      <c r="P438" t="inlineStr">
        <is>
          <t>2nd ed.</t>
        </is>
      </c>
      <c r="Q438" t="inlineStr">
        <is>
          <t>eng</t>
        </is>
      </c>
      <c r="R438" t="inlineStr">
        <is>
          <t>nyu</t>
        </is>
      </c>
      <c r="T438" t="inlineStr">
        <is>
          <t xml:space="preserve">WA </t>
        </is>
      </c>
      <c r="U438" t="n">
        <v>3</v>
      </c>
      <c r="V438" t="n">
        <v>3</v>
      </c>
      <c r="W438" t="inlineStr">
        <is>
          <t>2007-11-07</t>
        </is>
      </c>
      <c r="X438" t="inlineStr">
        <is>
          <t>2007-11-07</t>
        </is>
      </c>
      <c r="Y438" t="inlineStr">
        <is>
          <t>2003-01-27</t>
        </is>
      </c>
      <c r="Z438" t="inlineStr">
        <is>
          <t>2003-01-27</t>
        </is>
      </c>
      <c r="AA438" t="n">
        <v>682</v>
      </c>
      <c r="AB438" t="n">
        <v>493</v>
      </c>
      <c r="AC438" t="n">
        <v>664</v>
      </c>
      <c r="AD438" t="n">
        <v>6</v>
      </c>
      <c r="AE438" t="n">
        <v>6</v>
      </c>
      <c r="AF438" t="n">
        <v>25</v>
      </c>
      <c r="AG438" t="n">
        <v>28</v>
      </c>
      <c r="AH438" t="n">
        <v>9</v>
      </c>
      <c r="AI438" t="n">
        <v>9</v>
      </c>
      <c r="AJ438" t="n">
        <v>7</v>
      </c>
      <c r="AK438" t="n">
        <v>8</v>
      </c>
      <c r="AL438" t="n">
        <v>11</v>
      </c>
      <c r="AM438" t="n">
        <v>13</v>
      </c>
      <c r="AN438" t="n">
        <v>5</v>
      </c>
      <c r="AO438" t="n">
        <v>5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HYPERLINK("https://creighton-primo.hosted.exlibrisgroup.com/primo-explore/search?tab=default_tab&amp;search_scope=EVERYTHING&amp;vid=01CRU&amp;lang=en_US&amp;offset=0&amp;query=any,contains,991000337699702656","Catalog Record")</f>
        <v/>
      </c>
      <c r="AV438">
        <f>HYPERLINK("http://www.worldcat.org/oclc/41951204","WorldCat Record")</f>
        <v/>
      </c>
      <c r="AW438" t="inlineStr">
        <is>
          <t>801945921:eng</t>
        </is>
      </c>
      <c r="AX438" t="inlineStr">
        <is>
          <t>41951204</t>
        </is>
      </c>
      <c r="AY438" t="inlineStr">
        <is>
          <t>991000337699702656</t>
        </is>
      </c>
      <c r="AZ438" t="inlineStr">
        <is>
          <t>991000337699702656</t>
        </is>
      </c>
      <c r="BA438" t="inlineStr">
        <is>
          <t>2269257160002656</t>
        </is>
      </c>
      <c r="BB438" t="inlineStr">
        <is>
          <t>BOOK</t>
        </is>
      </c>
      <c r="BD438" t="inlineStr">
        <is>
          <t>9780471323549</t>
        </is>
      </c>
      <c r="BE438" t="inlineStr">
        <is>
          <t>30001004501476</t>
        </is>
      </c>
      <c r="BF438" t="inlineStr">
        <is>
          <t>893456574</t>
        </is>
      </c>
    </row>
    <row r="439">
      <c r="A439" t="inlineStr">
        <is>
          <t>No</t>
        </is>
      </c>
      <c r="B439" t="inlineStr">
        <is>
          <t>CUHSL</t>
        </is>
      </c>
      <c r="C439" t="inlineStr">
        <is>
          <t>SHELVES</t>
        </is>
      </c>
      <c r="D439" t="inlineStr">
        <is>
          <t>WA 950 F299c 1985</t>
        </is>
      </c>
      <c r="E439" t="inlineStr">
        <is>
          <t>0                      WA 0950000F  299c        1985</t>
        </is>
      </c>
      <c r="F439" t="inlineStr">
        <is>
          <t>Clinical epidemiology : the architecture of clinical research / Alvan R. Feinstein.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Feinstein, Alvan R., 1925-2001.</t>
        </is>
      </c>
      <c r="N439" t="inlineStr">
        <is>
          <t>Philadelphia : Saunders, c1985.</t>
        </is>
      </c>
      <c r="O439" t="inlineStr">
        <is>
          <t>1985</t>
        </is>
      </c>
      <c r="Q439" t="inlineStr">
        <is>
          <t>eng</t>
        </is>
      </c>
      <c r="R439" t="inlineStr">
        <is>
          <t xml:space="preserve">xx </t>
        </is>
      </c>
      <c r="T439" t="inlineStr">
        <is>
          <t xml:space="preserve">WA </t>
        </is>
      </c>
      <c r="U439" t="n">
        <v>14</v>
      </c>
      <c r="V439" t="n">
        <v>14</v>
      </c>
      <c r="W439" t="inlineStr">
        <is>
          <t>2000-03-27</t>
        </is>
      </c>
      <c r="X439" t="inlineStr">
        <is>
          <t>2000-03-27</t>
        </is>
      </c>
      <c r="Y439" t="inlineStr">
        <is>
          <t>1989-04-26</t>
        </is>
      </c>
      <c r="Z439" t="inlineStr">
        <is>
          <t>1989-04-26</t>
        </is>
      </c>
      <c r="AA439" t="n">
        <v>264</v>
      </c>
      <c r="AB439" t="n">
        <v>193</v>
      </c>
      <c r="AC439" t="n">
        <v>195</v>
      </c>
      <c r="AD439" t="n">
        <v>1</v>
      </c>
      <c r="AE439" t="n">
        <v>1</v>
      </c>
      <c r="AF439" t="n">
        <v>2</v>
      </c>
      <c r="AG439" t="n">
        <v>2</v>
      </c>
      <c r="AH439" t="n">
        <v>1</v>
      </c>
      <c r="AI439" t="n">
        <v>1</v>
      </c>
      <c r="AJ439" t="n">
        <v>0</v>
      </c>
      <c r="AK439" t="n">
        <v>0</v>
      </c>
      <c r="AL439" t="n">
        <v>1</v>
      </c>
      <c r="AM439" t="n">
        <v>1</v>
      </c>
      <c r="AN439" t="n">
        <v>0</v>
      </c>
      <c r="AO439" t="n">
        <v>0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HYPERLINK("http://catalog.hathitrust.org/Record/000613888","HathiTrust Record")</f>
        <v/>
      </c>
      <c r="AU439">
        <f>HYPERLINK("https://creighton-primo.hosted.exlibrisgroup.com/primo-explore/search?tab=default_tab&amp;search_scope=EVERYTHING&amp;vid=01CRU&amp;lang=en_US&amp;offset=0&amp;query=any,contains,991001468659702656","Catalog Record")</f>
        <v/>
      </c>
      <c r="AV439">
        <f>HYPERLINK("http://www.worldcat.org/oclc/10800689","WorldCat Record")</f>
        <v/>
      </c>
      <c r="AW439" t="inlineStr">
        <is>
          <t>365160336:eng</t>
        </is>
      </c>
      <c r="AX439" t="inlineStr">
        <is>
          <t>10800689</t>
        </is>
      </c>
      <c r="AY439" t="inlineStr">
        <is>
          <t>991001468659702656</t>
        </is>
      </c>
      <c r="AZ439" t="inlineStr">
        <is>
          <t>991001468659702656</t>
        </is>
      </c>
      <c r="BA439" t="inlineStr">
        <is>
          <t>2268539240002656</t>
        </is>
      </c>
      <c r="BB439" t="inlineStr">
        <is>
          <t>BOOK</t>
        </is>
      </c>
      <c r="BD439" t="inlineStr">
        <is>
          <t>9780721613086</t>
        </is>
      </c>
      <c r="BE439" t="inlineStr">
        <is>
          <t>30001000558520</t>
        </is>
      </c>
      <c r="BF439" t="inlineStr">
        <is>
          <t>893552537</t>
        </is>
      </c>
    </row>
    <row r="440">
      <c r="A440" t="inlineStr">
        <is>
          <t>No</t>
        </is>
      </c>
      <c r="B440" t="inlineStr">
        <is>
          <t>CUHSL</t>
        </is>
      </c>
      <c r="C440" t="inlineStr">
        <is>
          <t>SHELVES</t>
        </is>
      </c>
      <c r="D440" t="inlineStr">
        <is>
          <t>WA 950 F299ca 1987</t>
        </is>
      </c>
      <c r="E440" t="inlineStr">
        <is>
          <t>0                      WA 0950000F  299ca       1987</t>
        </is>
      </c>
      <c r="F440" t="inlineStr">
        <is>
          <t>Clinimetrics / Alvan R. Feinstein.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Feinstein, Alvan R., 1925-2001.</t>
        </is>
      </c>
      <c r="N440" t="inlineStr">
        <is>
          <t>New Haven : Yale University Press, c1987.</t>
        </is>
      </c>
      <c r="O440" t="inlineStr">
        <is>
          <t>1987</t>
        </is>
      </c>
      <c r="Q440" t="inlineStr">
        <is>
          <t>eng</t>
        </is>
      </c>
      <c r="R440" t="inlineStr">
        <is>
          <t>xxu</t>
        </is>
      </c>
      <c r="T440" t="inlineStr">
        <is>
          <t xml:space="preserve">WA </t>
        </is>
      </c>
      <c r="U440" t="n">
        <v>8</v>
      </c>
      <c r="V440" t="n">
        <v>8</v>
      </c>
      <c r="W440" t="inlineStr">
        <is>
          <t>1999-02-21</t>
        </is>
      </c>
      <c r="X440" t="inlineStr">
        <is>
          <t>1999-02-21</t>
        </is>
      </c>
      <c r="Y440" t="inlineStr">
        <is>
          <t>1988-01-12</t>
        </is>
      </c>
      <c r="Z440" t="inlineStr">
        <is>
          <t>1988-01-12</t>
        </is>
      </c>
      <c r="AA440" t="n">
        <v>170</v>
      </c>
      <c r="AB440" t="n">
        <v>114</v>
      </c>
      <c r="AC440" t="n">
        <v>334</v>
      </c>
      <c r="AD440" t="n">
        <v>1</v>
      </c>
      <c r="AE440" t="n">
        <v>1</v>
      </c>
      <c r="AF440" t="n">
        <v>1</v>
      </c>
      <c r="AG440" t="n">
        <v>14</v>
      </c>
      <c r="AH440" t="n">
        <v>0</v>
      </c>
      <c r="AI440" t="n">
        <v>7</v>
      </c>
      <c r="AJ440" t="n">
        <v>0</v>
      </c>
      <c r="AK440" t="n">
        <v>4</v>
      </c>
      <c r="AL440" t="n">
        <v>1</v>
      </c>
      <c r="AM440" t="n">
        <v>8</v>
      </c>
      <c r="AN440" t="n">
        <v>0</v>
      </c>
      <c r="AO440" t="n">
        <v>0</v>
      </c>
      <c r="AP440" t="n">
        <v>0</v>
      </c>
      <c r="AQ440" t="n">
        <v>0</v>
      </c>
      <c r="AR440" t="inlineStr">
        <is>
          <t>No</t>
        </is>
      </c>
      <c r="AS440" t="inlineStr">
        <is>
          <t>No</t>
        </is>
      </c>
      <c r="AU440">
        <f>HYPERLINK("https://creighton-primo.hosted.exlibrisgroup.com/primo-explore/search?tab=default_tab&amp;search_scope=EVERYTHING&amp;vid=01CRU&amp;lang=en_US&amp;offset=0&amp;query=any,contains,991001537189702656","Catalog Record")</f>
        <v/>
      </c>
      <c r="AV440">
        <f>HYPERLINK("http://www.worldcat.org/oclc/15015039","WorldCat Record")</f>
        <v/>
      </c>
      <c r="AW440" t="inlineStr">
        <is>
          <t>8497435:eng</t>
        </is>
      </c>
      <c r="AX440" t="inlineStr">
        <is>
          <t>15015039</t>
        </is>
      </c>
      <c r="AY440" t="inlineStr">
        <is>
          <t>991001537189702656</t>
        </is>
      </c>
      <c r="AZ440" t="inlineStr">
        <is>
          <t>991001537189702656</t>
        </is>
      </c>
      <c r="BA440" t="inlineStr">
        <is>
          <t>2257641380002656</t>
        </is>
      </c>
      <c r="BB440" t="inlineStr">
        <is>
          <t>BOOK</t>
        </is>
      </c>
      <c r="BD440" t="inlineStr">
        <is>
          <t>9780300038064</t>
        </is>
      </c>
      <c r="BE440" t="inlineStr">
        <is>
          <t>30001000623407</t>
        </is>
      </c>
      <c r="BF440" t="inlineStr">
        <is>
          <t>893279196</t>
        </is>
      </c>
    </row>
    <row r="441">
      <c r="A441" t="inlineStr">
        <is>
          <t>No</t>
        </is>
      </c>
      <c r="B441" t="inlineStr">
        <is>
          <t>CUHSL</t>
        </is>
      </c>
      <c r="C441" t="inlineStr">
        <is>
          <t>SHELVES</t>
        </is>
      </c>
      <c r="D441" t="inlineStr">
        <is>
          <t>WA950 F614c 2005</t>
        </is>
      </c>
      <c r="E441" t="inlineStr">
        <is>
          <t>0                      WA 0950000F  614c        2005</t>
        </is>
      </c>
      <c r="F441" t="inlineStr">
        <is>
          <t>Clinical epidemiology : the essentials / Robert H. Fletcher, Suzanne W. Fletcher.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1</t>
        </is>
      </c>
      <c r="M441" t="inlineStr">
        <is>
          <t>Fletcher, Robert H.</t>
        </is>
      </c>
      <c r="N441" t="inlineStr">
        <is>
          <t>Philadelphia : Lippincott Williams &amp; Wilkins, c2005.</t>
        </is>
      </c>
      <c r="O441" t="inlineStr">
        <is>
          <t>2005</t>
        </is>
      </c>
      <c r="P441" t="inlineStr">
        <is>
          <t>4th ed.</t>
        </is>
      </c>
      <c r="Q441" t="inlineStr">
        <is>
          <t>eng</t>
        </is>
      </c>
      <c r="R441" t="inlineStr">
        <is>
          <t>pau</t>
        </is>
      </c>
      <c r="T441" t="inlineStr">
        <is>
          <t xml:space="preserve">WA </t>
        </is>
      </c>
      <c r="U441" t="n">
        <v>1</v>
      </c>
      <c r="V441" t="n">
        <v>1</v>
      </c>
      <c r="W441" t="inlineStr">
        <is>
          <t>2009-01-22</t>
        </is>
      </c>
      <c r="X441" t="inlineStr">
        <is>
          <t>2009-01-22</t>
        </is>
      </c>
      <c r="Y441" t="inlineStr">
        <is>
          <t>2006-11-09</t>
        </is>
      </c>
      <c r="Z441" t="inlineStr">
        <is>
          <t>2006-11-09</t>
        </is>
      </c>
      <c r="AA441" t="n">
        <v>407</v>
      </c>
      <c r="AB441" t="n">
        <v>245</v>
      </c>
      <c r="AC441" t="n">
        <v>985</v>
      </c>
      <c r="AD441" t="n">
        <v>2</v>
      </c>
      <c r="AE441" t="n">
        <v>14</v>
      </c>
      <c r="AF441" t="n">
        <v>10</v>
      </c>
      <c r="AG441" t="n">
        <v>42</v>
      </c>
      <c r="AH441" t="n">
        <v>2</v>
      </c>
      <c r="AI441" t="n">
        <v>10</v>
      </c>
      <c r="AJ441" t="n">
        <v>2</v>
      </c>
      <c r="AK441" t="n">
        <v>8</v>
      </c>
      <c r="AL441" t="n">
        <v>7</v>
      </c>
      <c r="AM441" t="n">
        <v>18</v>
      </c>
      <c r="AN441" t="n">
        <v>1</v>
      </c>
      <c r="AO441" t="n">
        <v>12</v>
      </c>
      <c r="AP441" t="n">
        <v>0</v>
      </c>
      <c r="AQ441" t="n">
        <v>1</v>
      </c>
      <c r="AR441" t="inlineStr">
        <is>
          <t>No</t>
        </is>
      </c>
      <c r="AS441" t="inlineStr">
        <is>
          <t>No</t>
        </is>
      </c>
      <c r="AU441">
        <f>HYPERLINK("https://creighton-primo.hosted.exlibrisgroup.com/primo-explore/search?tab=default_tab&amp;search_scope=EVERYTHING&amp;vid=01CRU&amp;lang=en_US&amp;offset=0&amp;query=any,contains,991000567029702656","Catalog Record")</f>
        <v/>
      </c>
      <c r="AV441">
        <f>HYPERLINK("http://www.worldcat.org/oclc/57251369","WorldCat Record")</f>
        <v/>
      </c>
      <c r="AW441" t="inlineStr">
        <is>
          <t>10835075:eng</t>
        </is>
      </c>
      <c r="AX441" t="inlineStr">
        <is>
          <t>57251369</t>
        </is>
      </c>
      <c r="AY441" t="inlineStr">
        <is>
          <t>991000567029702656</t>
        </is>
      </c>
      <c r="AZ441" t="inlineStr">
        <is>
          <t>991000567029702656</t>
        </is>
      </c>
      <c r="BA441" t="inlineStr">
        <is>
          <t>2272030550002656</t>
        </is>
      </c>
      <c r="BB441" t="inlineStr">
        <is>
          <t>BOOK</t>
        </is>
      </c>
      <c r="BD441" t="inlineStr">
        <is>
          <t>9780781752152</t>
        </is>
      </c>
      <c r="BE441" t="inlineStr">
        <is>
          <t>30001005169927</t>
        </is>
      </c>
      <c r="BF441" t="inlineStr">
        <is>
          <t>893286454</t>
        </is>
      </c>
    </row>
    <row r="442">
      <c r="A442" t="inlineStr">
        <is>
          <t>No</t>
        </is>
      </c>
      <c r="B442" t="inlineStr">
        <is>
          <t>CUHSL</t>
        </is>
      </c>
      <c r="C442" t="inlineStr">
        <is>
          <t>SHELVES</t>
        </is>
      </c>
      <c r="D442" t="inlineStr">
        <is>
          <t>WA 950 G345 1992</t>
        </is>
      </c>
      <c r="E442" t="inlineStr">
        <is>
          <t>0                      WA 0950000G  345         1992</t>
        </is>
      </c>
      <c r="F442" t="inlineStr">
        <is>
          <t>Geographical and environmental epidemiology : methods for small-area studies / edited by P. Elliott ... [et al.].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N442" t="inlineStr">
        <is>
          <t>Oxford ; New York : published on behalf of the World Health Organization Regional Office for Europe by POxford University Press, 1992.</t>
        </is>
      </c>
      <c r="O442" t="inlineStr">
        <is>
          <t>1992</t>
        </is>
      </c>
      <c r="Q442" t="inlineStr">
        <is>
          <t>eng</t>
        </is>
      </c>
      <c r="R442" t="inlineStr">
        <is>
          <t>enk</t>
        </is>
      </c>
      <c r="S442" t="inlineStr">
        <is>
          <t>Oxford medical publications</t>
        </is>
      </c>
      <c r="T442" t="inlineStr">
        <is>
          <t xml:space="preserve">WA </t>
        </is>
      </c>
      <c r="U442" t="n">
        <v>5</v>
      </c>
      <c r="V442" t="n">
        <v>5</v>
      </c>
      <c r="W442" t="inlineStr">
        <is>
          <t>1998-07-13</t>
        </is>
      </c>
      <c r="X442" t="inlineStr">
        <is>
          <t>1998-07-13</t>
        </is>
      </c>
      <c r="Y442" t="inlineStr">
        <is>
          <t>1993-12-15</t>
        </is>
      </c>
      <c r="Z442" t="inlineStr">
        <is>
          <t>1993-12-15</t>
        </is>
      </c>
      <c r="AA442" t="n">
        <v>199</v>
      </c>
      <c r="AB442" t="n">
        <v>117</v>
      </c>
      <c r="AC442" t="n">
        <v>203</v>
      </c>
      <c r="AD442" t="n">
        <v>3</v>
      </c>
      <c r="AE442" t="n">
        <v>3</v>
      </c>
      <c r="AF442" t="n">
        <v>3</v>
      </c>
      <c r="AG442" t="n">
        <v>7</v>
      </c>
      <c r="AH442" t="n">
        <v>0</v>
      </c>
      <c r="AI442" t="n">
        <v>0</v>
      </c>
      <c r="AJ442" t="n">
        <v>0</v>
      </c>
      <c r="AK442" t="n">
        <v>4</v>
      </c>
      <c r="AL442" t="n">
        <v>1</v>
      </c>
      <c r="AM442" t="n">
        <v>2</v>
      </c>
      <c r="AN442" t="n">
        <v>2</v>
      </c>
      <c r="AO442" t="n">
        <v>2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HYPERLINK("http://catalog.hathitrust.org/Record/004550367","HathiTrust Record")</f>
        <v/>
      </c>
      <c r="AU442">
        <f>HYPERLINK("https://creighton-primo.hosted.exlibrisgroup.com/primo-explore/search?tab=default_tab&amp;search_scope=EVERYTHING&amp;vid=01CRU&amp;lang=en_US&amp;offset=0&amp;query=any,contains,991000644989702656","Catalog Record")</f>
        <v/>
      </c>
      <c r="AV442">
        <f>HYPERLINK("http://www.worldcat.org/oclc/25594091","WorldCat Record")</f>
        <v/>
      </c>
      <c r="AW442" t="inlineStr">
        <is>
          <t>836887637:eng</t>
        </is>
      </c>
      <c r="AX442" t="inlineStr">
        <is>
          <t>25594091</t>
        </is>
      </c>
      <c r="AY442" t="inlineStr">
        <is>
          <t>991000644989702656</t>
        </is>
      </c>
      <c r="AZ442" t="inlineStr">
        <is>
          <t>991000644989702656</t>
        </is>
      </c>
      <c r="BA442" t="inlineStr">
        <is>
          <t>2259653250002656</t>
        </is>
      </c>
      <c r="BB442" t="inlineStr">
        <is>
          <t>BOOK</t>
        </is>
      </c>
      <c r="BD442" t="inlineStr">
        <is>
          <t>9780192622808</t>
        </is>
      </c>
      <c r="BE442" t="inlineStr">
        <is>
          <t>30001002690297</t>
        </is>
      </c>
      <c r="BF442" t="inlineStr">
        <is>
          <t>893454652</t>
        </is>
      </c>
    </row>
    <row r="443">
      <c r="A443" t="inlineStr">
        <is>
          <t>No</t>
        </is>
      </c>
      <c r="B443" t="inlineStr">
        <is>
          <t>CUHSL</t>
        </is>
      </c>
      <c r="C443" t="inlineStr">
        <is>
          <t>SHELVES</t>
        </is>
      </c>
      <c r="D443" t="inlineStr">
        <is>
          <t>WA 950 G545p 1992</t>
        </is>
      </c>
      <c r="E443" t="inlineStr">
        <is>
          <t>0                      WA 0950000G  545p        1992</t>
        </is>
      </c>
      <c r="F443" t="inlineStr">
        <is>
          <t>Primer of biostatistics / Stanton A. Glantz.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Yes</t>
        </is>
      </c>
      <c r="L443" t="inlineStr">
        <is>
          <t>0</t>
        </is>
      </c>
      <c r="M443" t="inlineStr">
        <is>
          <t>Glantz, Stanton A.</t>
        </is>
      </c>
      <c r="N443" t="inlineStr">
        <is>
          <t>New York : McGraw Hill, c1992.</t>
        </is>
      </c>
      <c r="O443" t="inlineStr">
        <is>
          <t>1992</t>
        </is>
      </c>
      <c r="P443" t="inlineStr">
        <is>
          <t>3rd ed.</t>
        </is>
      </c>
      <c r="Q443" t="inlineStr">
        <is>
          <t>eng</t>
        </is>
      </c>
      <c r="R443" t="inlineStr">
        <is>
          <t>nyu</t>
        </is>
      </c>
      <c r="T443" t="inlineStr">
        <is>
          <t xml:space="preserve">WA </t>
        </is>
      </c>
      <c r="U443" t="n">
        <v>18</v>
      </c>
      <c r="V443" t="n">
        <v>18</v>
      </c>
      <c r="W443" t="inlineStr">
        <is>
          <t>2002-04-09</t>
        </is>
      </c>
      <c r="X443" t="inlineStr">
        <is>
          <t>2002-04-09</t>
        </is>
      </c>
      <c r="Y443" t="inlineStr">
        <is>
          <t>1993-02-11</t>
        </is>
      </c>
      <c r="Z443" t="inlineStr">
        <is>
          <t>1993-02-11</t>
        </is>
      </c>
      <c r="AA443" t="n">
        <v>316</v>
      </c>
      <c r="AB443" t="n">
        <v>259</v>
      </c>
      <c r="AC443" t="n">
        <v>899</v>
      </c>
      <c r="AD443" t="n">
        <v>1</v>
      </c>
      <c r="AE443" t="n">
        <v>4</v>
      </c>
      <c r="AF443" t="n">
        <v>6</v>
      </c>
      <c r="AG443" t="n">
        <v>29</v>
      </c>
      <c r="AH443" t="n">
        <v>3</v>
      </c>
      <c r="AI443" t="n">
        <v>14</v>
      </c>
      <c r="AJ443" t="n">
        <v>2</v>
      </c>
      <c r="AK443" t="n">
        <v>8</v>
      </c>
      <c r="AL443" t="n">
        <v>5</v>
      </c>
      <c r="AM443" t="n">
        <v>11</v>
      </c>
      <c r="AN443" t="n">
        <v>0</v>
      </c>
      <c r="AO443" t="n">
        <v>3</v>
      </c>
      <c r="AP443" t="n">
        <v>0</v>
      </c>
      <c r="AQ443" t="n">
        <v>1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HYPERLINK("http://catalog.hathitrust.org/Record/002549979","HathiTrust Record")</f>
        <v/>
      </c>
      <c r="AU443">
        <f>HYPERLINK("https://creighton-primo.hosted.exlibrisgroup.com/primo-explore/search?tab=default_tab&amp;search_scope=EVERYTHING&amp;vid=01CRU&amp;lang=en_US&amp;offset=0&amp;query=any,contains,991001428839702656","Catalog Record")</f>
        <v/>
      </c>
      <c r="AV443">
        <f>HYPERLINK("http://www.worldcat.org/oclc/25009601","WorldCat Record")</f>
        <v/>
      </c>
      <c r="AW443" t="inlineStr">
        <is>
          <t>4923116147:eng</t>
        </is>
      </c>
      <c r="AX443" t="inlineStr">
        <is>
          <t>25009601</t>
        </is>
      </c>
      <c r="AY443" t="inlineStr">
        <is>
          <t>991001428839702656</t>
        </is>
      </c>
      <c r="AZ443" t="inlineStr">
        <is>
          <t>991001428839702656</t>
        </is>
      </c>
      <c r="BA443" t="inlineStr">
        <is>
          <t>2269437430002656</t>
        </is>
      </c>
      <c r="BB443" t="inlineStr">
        <is>
          <t>BOOK</t>
        </is>
      </c>
      <c r="BD443" t="inlineStr">
        <is>
          <t>9780070235113</t>
        </is>
      </c>
      <c r="BE443" t="inlineStr">
        <is>
          <t>30001002528166</t>
        </is>
      </c>
      <c r="BF443" t="inlineStr">
        <is>
          <t>893832172</t>
        </is>
      </c>
    </row>
    <row r="444">
      <c r="A444" t="inlineStr">
        <is>
          <t>No</t>
        </is>
      </c>
      <c r="B444" t="inlineStr">
        <is>
          <t>CUHSL</t>
        </is>
      </c>
      <c r="C444" t="inlineStr">
        <is>
          <t>SHELVES</t>
        </is>
      </c>
      <c r="D444" t="inlineStr">
        <is>
          <t>WA 950 H434r 1983</t>
        </is>
      </c>
      <c r="E444" t="inlineStr">
        <is>
          <t>0                      WA 0950000H  434r        1983</t>
        </is>
      </c>
      <c r="F444" t="inlineStr">
        <is>
          <t>Research perspectives for health professionals / Robert Proulx Heaney.</t>
        </is>
      </c>
      <c r="H444" t="inlineStr">
        <is>
          <t>No</t>
        </is>
      </c>
      <c r="I444" t="inlineStr">
        <is>
          <t>1</t>
        </is>
      </c>
      <c r="J444" t="inlineStr">
        <is>
          <t>Yes</t>
        </is>
      </c>
      <c r="K444" t="inlineStr">
        <is>
          <t>Yes</t>
        </is>
      </c>
      <c r="L444" t="inlineStr">
        <is>
          <t>0</t>
        </is>
      </c>
      <c r="M444" t="inlineStr">
        <is>
          <t>Heaney, Robert P. (Robert Proulx), 1927-2016.</t>
        </is>
      </c>
      <c r="N444" t="inlineStr">
        <is>
          <t>Omaha : [s.n.], c1983.</t>
        </is>
      </c>
      <c r="O444" t="inlineStr">
        <is>
          <t>1983</t>
        </is>
      </c>
      <c r="Q444" t="inlineStr">
        <is>
          <t>eng</t>
        </is>
      </c>
      <c r="R444" t="inlineStr">
        <is>
          <t>nbu</t>
        </is>
      </c>
      <c r="T444" t="inlineStr">
        <is>
          <t xml:space="preserve">WA </t>
        </is>
      </c>
      <c r="U444" t="n">
        <v>2</v>
      </c>
      <c r="V444" t="n">
        <v>3</v>
      </c>
      <c r="W444" t="inlineStr">
        <is>
          <t>1992-06-30</t>
        </is>
      </c>
      <c r="X444" t="inlineStr">
        <is>
          <t>1992-06-30</t>
        </is>
      </c>
      <c r="Y444" t="inlineStr">
        <is>
          <t>1992-06-30</t>
        </is>
      </c>
      <c r="Z444" t="inlineStr">
        <is>
          <t>1992-06-30</t>
        </is>
      </c>
      <c r="AA444" t="n">
        <v>1</v>
      </c>
      <c r="AB444" t="n">
        <v>1</v>
      </c>
      <c r="AC444" t="n">
        <v>1</v>
      </c>
      <c r="AD444" t="n">
        <v>1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inlineStr">
        <is>
          <t>No</t>
        </is>
      </c>
      <c r="AS444" t="inlineStr">
        <is>
          <t>No</t>
        </is>
      </c>
      <c r="AU444">
        <f>HYPERLINK("https://creighton-primo.hosted.exlibrisgroup.com/primo-explore/search?tab=default_tab&amp;search_scope=EVERYTHING&amp;vid=01CRU&amp;lang=en_US&amp;offset=0&amp;query=any,contains,991001307839702656","Catalog Record")</f>
        <v/>
      </c>
      <c r="AV444">
        <f>HYPERLINK("http://www.worldcat.org/oclc/23907334","WorldCat Record")</f>
        <v/>
      </c>
      <c r="AW444" t="inlineStr">
        <is>
          <t>11952582:eng</t>
        </is>
      </c>
      <c r="AX444" t="inlineStr">
        <is>
          <t>23907334</t>
        </is>
      </c>
      <c r="AY444" t="inlineStr">
        <is>
          <t>991001307839702656</t>
        </is>
      </c>
      <c r="AZ444" t="inlineStr">
        <is>
          <t>991001307839702656</t>
        </is>
      </c>
      <c r="BA444" t="inlineStr">
        <is>
          <t>2261646150002656</t>
        </is>
      </c>
      <c r="BB444" t="inlineStr">
        <is>
          <t>BOOK</t>
        </is>
      </c>
      <c r="BE444" t="inlineStr">
        <is>
          <t>30001002414680</t>
        </is>
      </c>
      <c r="BF444" t="inlineStr">
        <is>
          <t>893149075</t>
        </is>
      </c>
    </row>
    <row r="445">
      <c r="A445" t="inlineStr">
        <is>
          <t>No</t>
        </is>
      </c>
      <c r="B445" t="inlineStr">
        <is>
          <t>CUHSL</t>
        </is>
      </c>
      <c r="C445" t="inlineStr">
        <is>
          <t>SHELVES</t>
        </is>
      </c>
      <c r="D445" t="inlineStr">
        <is>
          <t>WA950 H434R 1983</t>
        </is>
      </c>
      <c r="E445" t="inlineStr">
        <is>
          <t>0                      WA 0950000H  434R        1983</t>
        </is>
      </c>
      <c r="F445" t="inlineStr">
        <is>
          <t>Research perspectives for health professionals / Robert Proulx Heaney.</t>
        </is>
      </c>
      <c r="H445" t="inlineStr">
        <is>
          <t>No</t>
        </is>
      </c>
      <c r="I445" t="inlineStr">
        <is>
          <t>1</t>
        </is>
      </c>
      <c r="J445" t="inlineStr">
        <is>
          <t>Yes</t>
        </is>
      </c>
      <c r="K445" t="inlineStr">
        <is>
          <t>Yes</t>
        </is>
      </c>
      <c r="L445" t="inlineStr">
        <is>
          <t>0</t>
        </is>
      </c>
      <c r="M445" t="inlineStr">
        <is>
          <t>Heaney, Robert P. (Robert Proulx), 1927-2016.</t>
        </is>
      </c>
      <c r="N445" t="inlineStr">
        <is>
          <t>Omaha : [s.n.], c1983.</t>
        </is>
      </c>
      <c r="O445" t="inlineStr">
        <is>
          <t>1983</t>
        </is>
      </c>
      <c r="Q445" t="inlineStr">
        <is>
          <t>eng</t>
        </is>
      </c>
      <c r="R445" t="inlineStr">
        <is>
          <t>nbu</t>
        </is>
      </c>
      <c r="T445" t="inlineStr">
        <is>
          <t xml:space="preserve">WA </t>
        </is>
      </c>
      <c r="U445" t="n">
        <v>1</v>
      </c>
      <c r="V445" t="n">
        <v>3</v>
      </c>
      <c r="X445" t="inlineStr">
        <is>
          <t>1992-06-30</t>
        </is>
      </c>
      <c r="Y445" t="inlineStr">
        <is>
          <t>1991-06-28</t>
        </is>
      </c>
      <c r="Z445" t="inlineStr">
        <is>
          <t>1992-06-30</t>
        </is>
      </c>
      <c r="AA445" t="n">
        <v>1</v>
      </c>
      <c r="AB445" t="n">
        <v>1</v>
      </c>
      <c r="AC445" t="n">
        <v>1</v>
      </c>
      <c r="AD445" t="n">
        <v>1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No</t>
        </is>
      </c>
      <c r="AU445">
        <f>HYPERLINK("https://creighton-primo.hosted.exlibrisgroup.com/primo-explore/search?tab=default_tab&amp;search_scope=EVERYTHING&amp;vid=01CRU&amp;lang=en_US&amp;offset=0&amp;query=any,contains,991001307839702656","Catalog Record")</f>
        <v/>
      </c>
      <c r="AV445">
        <f>HYPERLINK("http://www.worldcat.org/oclc/23907334","WorldCat Record")</f>
        <v/>
      </c>
      <c r="AW445" t="inlineStr">
        <is>
          <t>11952582:eng</t>
        </is>
      </c>
      <c r="AX445" t="inlineStr">
        <is>
          <t>23907334</t>
        </is>
      </c>
      <c r="AY445" t="inlineStr">
        <is>
          <t>991001307839702656</t>
        </is>
      </c>
      <c r="AZ445" t="inlineStr">
        <is>
          <t>991001307839702656</t>
        </is>
      </c>
      <c r="BA445" t="inlineStr">
        <is>
          <t>2261646150002656</t>
        </is>
      </c>
      <c r="BB445" t="inlineStr">
        <is>
          <t>BOOK</t>
        </is>
      </c>
      <c r="BE445" t="inlineStr">
        <is>
          <t>30001001180647</t>
        </is>
      </c>
      <c r="BF445" t="inlineStr">
        <is>
          <t>893161879</t>
        </is>
      </c>
    </row>
    <row r="446">
      <c r="A446" t="inlineStr">
        <is>
          <t>No</t>
        </is>
      </c>
      <c r="B446" t="inlineStr">
        <is>
          <t>CUHSL</t>
        </is>
      </c>
      <c r="C446" t="inlineStr">
        <is>
          <t>SHELVES</t>
        </is>
      </c>
      <c r="D446" t="inlineStr">
        <is>
          <t>WA 950 H434r 1985</t>
        </is>
      </c>
      <c r="E446" t="inlineStr">
        <is>
          <t>0                      WA 0950000H  434r        1985</t>
        </is>
      </c>
      <c r="F446" t="inlineStr">
        <is>
          <t>Research perspectives for health professionals / Robert Proulx Heaney.</t>
        </is>
      </c>
      <c r="G446" t="inlineStr">
        <is>
          <t>V. 1</t>
        </is>
      </c>
      <c r="H446" t="inlineStr">
        <is>
          <t>Yes</t>
        </is>
      </c>
      <c r="I446" t="inlineStr">
        <is>
          <t>1</t>
        </is>
      </c>
      <c r="J446" t="inlineStr">
        <is>
          <t>No</t>
        </is>
      </c>
      <c r="K446" t="inlineStr">
        <is>
          <t>Yes</t>
        </is>
      </c>
      <c r="L446" t="inlineStr">
        <is>
          <t>0</t>
        </is>
      </c>
      <c r="M446" t="inlineStr">
        <is>
          <t>Heaney, Robert P. (Robert Proulx), 1927-2016.</t>
        </is>
      </c>
      <c r="N446" t="inlineStr">
        <is>
          <t>Omaha : Robert P. Heaney, c1985.</t>
        </is>
      </c>
      <c r="O446" t="inlineStr">
        <is>
          <t>1985</t>
        </is>
      </c>
      <c r="Q446" t="inlineStr">
        <is>
          <t>eng</t>
        </is>
      </c>
      <c r="R446" t="inlineStr">
        <is>
          <t>nbu</t>
        </is>
      </c>
      <c r="T446" t="inlineStr">
        <is>
          <t xml:space="preserve">WA </t>
        </is>
      </c>
      <c r="U446" t="n">
        <v>9</v>
      </c>
      <c r="V446" t="n">
        <v>22</v>
      </c>
      <c r="W446" t="inlineStr">
        <is>
          <t>1993-03-01</t>
        </is>
      </c>
      <c r="X446" t="inlineStr">
        <is>
          <t>1993-03-01</t>
        </is>
      </c>
      <c r="Y446" t="inlineStr">
        <is>
          <t>1988-01-05</t>
        </is>
      </c>
      <c r="Z446" t="inlineStr">
        <is>
          <t>1988-01-05</t>
        </is>
      </c>
      <c r="AA446" t="n">
        <v>1</v>
      </c>
      <c r="AB446" t="n">
        <v>1</v>
      </c>
      <c r="AC446" t="n">
        <v>1</v>
      </c>
      <c r="AD446" t="n">
        <v>1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HYPERLINK("https://creighton-primo.hosted.exlibrisgroup.com/primo-explore/search?tab=default_tab&amp;search_scope=EVERYTHING&amp;vid=01CRU&amp;lang=en_US&amp;offset=0&amp;query=any,contains,991001275919702656","Catalog Record")</f>
        <v/>
      </c>
      <c r="AV446">
        <f>HYPERLINK("http://www.worldcat.org/oclc/16309434","WorldCat Record")</f>
        <v/>
      </c>
      <c r="AW446" t="inlineStr">
        <is>
          <t>11952582:eng</t>
        </is>
      </c>
      <c r="AX446" t="inlineStr">
        <is>
          <t>16309434</t>
        </is>
      </c>
      <c r="AY446" t="inlineStr">
        <is>
          <t>991001275919702656</t>
        </is>
      </c>
      <c r="AZ446" t="inlineStr">
        <is>
          <t>991001275919702656</t>
        </is>
      </c>
      <c r="BA446" t="inlineStr">
        <is>
          <t>2266817320002656</t>
        </is>
      </c>
      <c r="BB446" t="inlineStr">
        <is>
          <t>BOOK</t>
        </is>
      </c>
      <c r="BE446" t="inlineStr">
        <is>
          <t>30001000358087</t>
        </is>
      </c>
      <c r="BF446" t="inlineStr">
        <is>
          <t>893161828</t>
        </is>
      </c>
    </row>
    <row r="447">
      <c r="A447" t="inlineStr">
        <is>
          <t>No</t>
        </is>
      </c>
      <c r="B447" t="inlineStr">
        <is>
          <t>CUHSL</t>
        </is>
      </c>
      <c r="C447" t="inlineStr">
        <is>
          <t>SHELVES</t>
        </is>
      </c>
      <c r="D447" t="inlineStr">
        <is>
          <t>WA 950 H434r 1985</t>
        </is>
      </c>
      <c r="E447" t="inlineStr">
        <is>
          <t>0                      WA 0950000H  434r        1985</t>
        </is>
      </c>
      <c r="F447" t="inlineStr">
        <is>
          <t>Research perspectives for health professionals / Robert Proulx Heaney.</t>
        </is>
      </c>
      <c r="G447" t="inlineStr">
        <is>
          <t>V. 2</t>
        </is>
      </c>
      <c r="H447" t="inlineStr">
        <is>
          <t>Yes</t>
        </is>
      </c>
      <c r="I447" t="inlineStr">
        <is>
          <t>1</t>
        </is>
      </c>
      <c r="J447" t="inlineStr">
        <is>
          <t>No</t>
        </is>
      </c>
      <c r="K447" t="inlineStr">
        <is>
          <t>Yes</t>
        </is>
      </c>
      <c r="L447" t="inlineStr">
        <is>
          <t>0</t>
        </is>
      </c>
      <c r="M447" t="inlineStr">
        <is>
          <t>Heaney, Robert P. (Robert Proulx), 1927-2016.</t>
        </is>
      </c>
      <c r="N447" t="inlineStr">
        <is>
          <t>Omaha : Robert P. Heaney, c1985.</t>
        </is>
      </c>
      <c r="O447" t="inlineStr">
        <is>
          <t>1985</t>
        </is>
      </c>
      <c r="Q447" t="inlineStr">
        <is>
          <t>eng</t>
        </is>
      </c>
      <c r="R447" t="inlineStr">
        <is>
          <t>nbu</t>
        </is>
      </c>
      <c r="T447" t="inlineStr">
        <is>
          <t xml:space="preserve">WA </t>
        </is>
      </c>
      <c r="U447" t="n">
        <v>13</v>
      </c>
      <c r="V447" t="n">
        <v>22</v>
      </c>
      <c r="W447" t="inlineStr">
        <is>
          <t>1993-03-01</t>
        </is>
      </c>
      <c r="X447" t="inlineStr">
        <is>
          <t>1993-03-01</t>
        </is>
      </c>
      <c r="Y447" t="inlineStr">
        <is>
          <t>1988-01-05</t>
        </is>
      </c>
      <c r="Z447" t="inlineStr">
        <is>
          <t>1988-01-05</t>
        </is>
      </c>
      <c r="AA447" t="n">
        <v>1</v>
      </c>
      <c r="AB447" t="n">
        <v>1</v>
      </c>
      <c r="AC447" t="n">
        <v>1</v>
      </c>
      <c r="AD447" t="n">
        <v>1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inlineStr">
        <is>
          <t>No</t>
        </is>
      </c>
      <c r="AS447" t="inlineStr">
        <is>
          <t>No</t>
        </is>
      </c>
      <c r="AU447">
        <f>HYPERLINK("https://creighton-primo.hosted.exlibrisgroup.com/primo-explore/search?tab=default_tab&amp;search_scope=EVERYTHING&amp;vid=01CRU&amp;lang=en_US&amp;offset=0&amp;query=any,contains,991001275919702656","Catalog Record")</f>
        <v/>
      </c>
      <c r="AV447">
        <f>HYPERLINK("http://www.worldcat.org/oclc/16309434","WorldCat Record")</f>
        <v/>
      </c>
      <c r="AW447" t="inlineStr">
        <is>
          <t>11952582:eng</t>
        </is>
      </c>
      <c r="AX447" t="inlineStr">
        <is>
          <t>16309434</t>
        </is>
      </c>
      <c r="AY447" t="inlineStr">
        <is>
          <t>991001275919702656</t>
        </is>
      </c>
      <c r="AZ447" t="inlineStr">
        <is>
          <t>991001275919702656</t>
        </is>
      </c>
      <c r="BA447" t="inlineStr">
        <is>
          <t>2266817320002656</t>
        </is>
      </c>
      <c r="BB447" t="inlineStr">
        <is>
          <t>BOOK</t>
        </is>
      </c>
      <c r="BE447" t="inlineStr">
        <is>
          <t>30001000358095</t>
        </is>
      </c>
      <c r="BF447" t="inlineStr">
        <is>
          <t>893161829</t>
        </is>
      </c>
    </row>
    <row r="448">
      <c r="A448" t="inlineStr">
        <is>
          <t>No</t>
        </is>
      </c>
      <c r="B448" t="inlineStr">
        <is>
          <t>CUHSL</t>
        </is>
      </c>
      <c r="C448" t="inlineStr">
        <is>
          <t>SHELVES</t>
        </is>
      </c>
      <c r="D448" t="inlineStr">
        <is>
          <t>WA 950 H434u 1983</t>
        </is>
      </c>
      <c r="E448" t="inlineStr">
        <is>
          <t>0                      WA 0950000H  434u        1983</t>
        </is>
      </c>
      <c r="F448" t="inlineStr">
        <is>
          <t>Uses of statistics in the health professions / Robert Proulx Heaney.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Yes</t>
        </is>
      </c>
      <c r="L448" t="inlineStr">
        <is>
          <t>0</t>
        </is>
      </c>
      <c r="M448" t="inlineStr">
        <is>
          <t>Heaney, Robert P. (Robert Proulx), 1927-2016.</t>
        </is>
      </c>
      <c r="N448" t="inlineStr">
        <is>
          <t>Omaha : [s.n.], c1983.</t>
        </is>
      </c>
      <c r="O448" t="inlineStr">
        <is>
          <t>1983</t>
        </is>
      </c>
      <c r="Q448" t="inlineStr">
        <is>
          <t>eng</t>
        </is>
      </c>
      <c r="R448" t="inlineStr">
        <is>
          <t>nbu</t>
        </is>
      </c>
      <c r="T448" t="inlineStr">
        <is>
          <t xml:space="preserve">WA </t>
        </is>
      </c>
      <c r="U448" t="n">
        <v>4</v>
      </c>
      <c r="V448" t="n">
        <v>4</v>
      </c>
      <c r="W448" t="inlineStr">
        <is>
          <t>2000-03-09</t>
        </is>
      </c>
      <c r="X448" t="inlineStr">
        <is>
          <t>2000-03-09</t>
        </is>
      </c>
      <c r="Y448" t="inlineStr">
        <is>
          <t>1991-06-28</t>
        </is>
      </c>
      <c r="Z448" t="inlineStr">
        <is>
          <t>1991-06-28</t>
        </is>
      </c>
      <c r="AA448" t="n">
        <v>1</v>
      </c>
      <c r="AB448" t="n">
        <v>1</v>
      </c>
      <c r="AC448" t="n">
        <v>1</v>
      </c>
      <c r="AD448" t="n">
        <v>1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inlineStr">
        <is>
          <t>No</t>
        </is>
      </c>
      <c r="AS448" t="inlineStr">
        <is>
          <t>No</t>
        </is>
      </c>
      <c r="AU448">
        <f>HYPERLINK("https://creighton-primo.hosted.exlibrisgroup.com/primo-explore/search?tab=default_tab&amp;search_scope=EVERYTHING&amp;vid=01CRU&amp;lang=en_US&amp;offset=0&amp;query=any,contains,991001416179702656","Catalog Record")</f>
        <v/>
      </c>
      <c r="AV448">
        <f>HYPERLINK("http://www.worldcat.org/oclc/23907020","WorldCat Record")</f>
        <v/>
      </c>
      <c r="AW448" t="inlineStr">
        <is>
          <t>11950047:eng</t>
        </is>
      </c>
      <c r="AX448" t="inlineStr">
        <is>
          <t>23907020</t>
        </is>
      </c>
      <c r="AY448" t="inlineStr">
        <is>
          <t>991001416179702656</t>
        </is>
      </c>
      <c r="AZ448" t="inlineStr">
        <is>
          <t>991001416179702656</t>
        </is>
      </c>
      <c r="BA448" t="inlineStr">
        <is>
          <t>2261766570002656</t>
        </is>
      </c>
      <c r="BB448" t="inlineStr">
        <is>
          <t>BOOK</t>
        </is>
      </c>
      <c r="BE448" t="inlineStr">
        <is>
          <t>30001001180639</t>
        </is>
      </c>
      <c r="BF448" t="inlineStr">
        <is>
          <t>893369375</t>
        </is>
      </c>
    </row>
    <row r="449">
      <c r="A449" t="inlineStr">
        <is>
          <t>No</t>
        </is>
      </c>
      <c r="B449" t="inlineStr">
        <is>
          <t>CUHSL</t>
        </is>
      </c>
      <c r="C449" t="inlineStr">
        <is>
          <t>SHELVES</t>
        </is>
      </c>
      <c r="D449" t="inlineStr">
        <is>
          <t>WA 950 H434u 1985</t>
        </is>
      </c>
      <c r="E449" t="inlineStr">
        <is>
          <t>0                      WA 0950000H  434u        1985</t>
        </is>
      </c>
      <c r="F449" t="inlineStr">
        <is>
          <t>Uses of statistics in the health professions / Robert Proulx Heaney.</t>
        </is>
      </c>
      <c r="H449" t="inlineStr">
        <is>
          <t>No</t>
        </is>
      </c>
      <c r="I449" t="inlineStr">
        <is>
          <t>1</t>
        </is>
      </c>
      <c r="J449" t="inlineStr">
        <is>
          <t>Yes</t>
        </is>
      </c>
      <c r="K449" t="inlineStr">
        <is>
          <t>Yes</t>
        </is>
      </c>
      <c r="L449" t="inlineStr">
        <is>
          <t>0</t>
        </is>
      </c>
      <c r="M449" t="inlineStr">
        <is>
          <t>Heaney, Robert P. (Robert Proulx), 1927-2016.</t>
        </is>
      </c>
      <c r="N449" t="inlineStr">
        <is>
          <t>Omaha : Robert P. Heaney, c1985.</t>
        </is>
      </c>
      <c r="O449" t="inlineStr">
        <is>
          <t>1985</t>
        </is>
      </c>
      <c r="Q449" t="inlineStr">
        <is>
          <t>eng</t>
        </is>
      </c>
      <c r="R449" t="inlineStr">
        <is>
          <t>nbu</t>
        </is>
      </c>
      <c r="T449" t="inlineStr">
        <is>
          <t xml:space="preserve">WA </t>
        </is>
      </c>
      <c r="U449" t="n">
        <v>5</v>
      </c>
      <c r="V449" t="n">
        <v>11</v>
      </c>
      <c r="W449" t="inlineStr">
        <is>
          <t>1993-03-01</t>
        </is>
      </c>
      <c r="X449" t="inlineStr">
        <is>
          <t>2000-03-09</t>
        </is>
      </c>
      <c r="Y449" t="inlineStr">
        <is>
          <t>1987-10-06</t>
        </is>
      </c>
      <c r="Z449" t="inlineStr">
        <is>
          <t>1992-12-10</t>
        </is>
      </c>
      <c r="AA449" t="n">
        <v>1</v>
      </c>
      <c r="AB449" t="n">
        <v>1</v>
      </c>
      <c r="AC449" t="n">
        <v>1</v>
      </c>
      <c r="AD449" t="n">
        <v>1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No</t>
        </is>
      </c>
      <c r="AU449">
        <f>HYPERLINK("https://creighton-primo.hosted.exlibrisgroup.com/primo-explore/search?tab=default_tab&amp;search_scope=EVERYTHING&amp;vid=01CRU&amp;lang=en_US&amp;offset=0&amp;query=any,contains,991001275839702656","Catalog Record")</f>
        <v/>
      </c>
      <c r="AV449">
        <f>HYPERLINK("http://www.worldcat.org/oclc/16309317","WorldCat Record")</f>
        <v/>
      </c>
      <c r="AW449" t="inlineStr">
        <is>
          <t>11950047:eng</t>
        </is>
      </c>
      <c r="AX449" t="inlineStr">
        <is>
          <t>16309317</t>
        </is>
      </c>
      <c r="AY449" t="inlineStr">
        <is>
          <t>991001275839702656</t>
        </is>
      </c>
      <c r="AZ449" t="inlineStr">
        <is>
          <t>991001275839702656</t>
        </is>
      </c>
      <c r="BA449" t="inlineStr">
        <is>
          <t>2266773930002656</t>
        </is>
      </c>
      <c r="BB449" t="inlineStr">
        <is>
          <t>BOOK</t>
        </is>
      </c>
      <c r="BE449" t="inlineStr">
        <is>
          <t>30001000358061</t>
        </is>
      </c>
      <c r="BF449" t="inlineStr">
        <is>
          <t>893284621</t>
        </is>
      </c>
    </row>
    <row r="450">
      <c r="A450" t="inlineStr">
        <is>
          <t>No</t>
        </is>
      </c>
      <c r="B450" t="inlineStr">
        <is>
          <t>CUHSL</t>
        </is>
      </c>
      <c r="C450" t="inlineStr">
        <is>
          <t>SHELVES</t>
        </is>
      </c>
      <c r="D450" t="inlineStr">
        <is>
          <t>WA 950 H434u 1985</t>
        </is>
      </c>
      <c r="E450" t="inlineStr">
        <is>
          <t>0                      WA 0950000H  434u        1985</t>
        </is>
      </c>
      <c r="F450" t="inlineStr">
        <is>
          <t>Uses of statistics in the health professions / Robert Proulx Heaney.</t>
        </is>
      </c>
      <c r="H450" t="inlineStr">
        <is>
          <t>No</t>
        </is>
      </c>
      <c r="I450" t="inlineStr">
        <is>
          <t>2</t>
        </is>
      </c>
      <c r="J450" t="inlineStr">
        <is>
          <t>Yes</t>
        </is>
      </c>
      <c r="K450" t="inlineStr">
        <is>
          <t>Yes</t>
        </is>
      </c>
      <c r="L450" t="inlineStr">
        <is>
          <t>0</t>
        </is>
      </c>
      <c r="M450" t="inlineStr">
        <is>
          <t>Heaney, Robert P. (Robert Proulx), 1927-2016.</t>
        </is>
      </c>
      <c r="N450" t="inlineStr">
        <is>
          <t>Omaha : Robert P. Heaney, c1985.</t>
        </is>
      </c>
      <c r="O450" t="inlineStr">
        <is>
          <t>1985</t>
        </is>
      </c>
      <c r="Q450" t="inlineStr">
        <is>
          <t>eng</t>
        </is>
      </c>
      <c r="R450" t="inlineStr">
        <is>
          <t>nbu</t>
        </is>
      </c>
      <c r="T450" t="inlineStr">
        <is>
          <t xml:space="preserve">WA </t>
        </is>
      </c>
      <c r="U450" t="n">
        <v>6</v>
      </c>
      <c r="V450" t="n">
        <v>11</v>
      </c>
      <c r="W450" t="inlineStr">
        <is>
          <t>2000-03-09</t>
        </is>
      </c>
      <c r="X450" t="inlineStr">
        <is>
          <t>2000-03-09</t>
        </is>
      </c>
      <c r="Y450" t="inlineStr">
        <is>
          <t>1992-12-10</t>
        </is>
      </c>
      <c r="Z450" t="inlineStr">
        <is>
          <t>1992-12-10</t>
        </is>
      </c>
      <c r="AA450" t="n">
        <v>1</v>
      </c>
      <c r="AB450" t="n">
        <v>1</v>
      </c>
      <c r="AC450" t="n">
        <v>1</v>
      </c>
      <c r="AD450" t="n">
        <v>1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HYPERLINK("https://creighton-primo.hosted.exlibrisgroup.com/primo-explore/search?tab=default_tab&amp;search_scope=EVERYTHING&amp;vid=01CRU&amp;lang=en_US&amp;offset=0&amp;query=any,contains,991001275839702656","Catalog Record")</f>
        <v/>
      </c>
      <c r="AV450">
        <f>HYPERLINK("http://www.worldcat.org/oclc/16309317","WorldCat Record")</f>
        <v/>
      </c>
      <c r="AW450" t="inlineStr">
        <is>
          <t>11950047:eng</t>
        </is>
      </c>
      <c r="AX450" t="inlineStr">
        <is>
          <t>16309317</t>
        </is>
      </c>
      <c r="AY450" t="inlineStr">
        <is>
          <t>991001275839702656</t>
        </is>
      </c>
      <c r="AZ450" t="inlineStr">
        <is>
          <t>991001275839702656</t>
        </is>
      </c>
      <c r="BA450" t="inlineStr">
        <is>
          <t>2266773930002656</t>
        </is>
      </c>
      <c r="BB450" t="inlineStr">
        <is>
          <t>BOOK</t>
        </is>
      </c>
      <c r="BE450" t="inlineStr">
        <is>
          <t>30001000358079</t>
        </is>
      </c>
      <c r="BF450" t="inlineStr">
        <is>
          <t>893268261</t>
        </is>
      </c>
    </row>
    <row r="451">
      <c r="A451" t="inlineStr">
        <is>
          <t>No</t>
        </is>
      </c>
      <c r="B451" t="inlineStr">
        <is>
          <t>CUHSL</t>
        </is>
      </c>
      <c r="C451" t="inlineStr">
        <is>
          <t>SHELVES</t>
        </is>
      </c>
      <c r="D451" t="inlineStr">
        <is>
          <t>WA 950 K97b 1992</t>
        </is>
      </c>
      <c r="E451" t="inlineStr">
        <is>
          <t>0                      WA 0950000K  97b         1992</t>
        </is>
      </c>
      <c r="F451" t="inlineStr">
        <is>
          <t>Basic statistics for the health sciences / Jan W. Kuzma.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Yes</t>
        </is>
      </c>
      <c r="L451" t="inlineStr">
        <is>
          <t>0</t>
        </is>
      </c>
      <c r="M451" t="inlineStr">
        <is>
          <t>Kuzma, Jan.</t>
        </is>
      </c>
      <c r="N451" t="inlineStr">
        <is>
          <t>Mountain View, Calif. : Mayfield, c1992.</t>
        </is>
      </c>
      <c r="O451" t="inlineStr">
        <is>
          <t>1992</t>
        </is>
      </c>
      <c r="P451" t="inlineStr">
        <is>
          <t>2nd ed.</t>
        </is>
      </c>
      <c r="Q451" t="inlineStr">
        <is>
          <t>eng</t>
        </is>
      </c>
      <c r="R451" t="inlineStr">
        <is>
          <t>cau</t>
        </is>
      </c>
      <c r="T451" t="inlineStr">
        <is>
          <t xml:space="preserve">WA </t>
        </is>
      </c>
      <c r="U451" t="n">
        <v>58</v>
      </c>
      <c r="V451" t="n">
        <v>58</v>
      </c>
      <c r="W451" t="inlineStr">
        <is>
          <t>2004-07-12</t>
        </is>
      </c>
      <c r="X451" t="inlineStr">
        <is>
          <t>2004-07-12</t>
        </is>
      </c>
      <c r="Y451" t="inlineStr">
        <is>
          <t>1992-08-12</t>
        </is>
      </c>
      <c r="Z451" t="inlineStr">
        <is>
          <t>1992-08-12</t>
        </is>
      </c>
      <c r="AA451" t="n">
        <v>108</v>
      </c>
      <c r="AB451" t="n">
        <v>79</v>
      </c>
      <c r="AC451" t="n">
        <v>284</v>
      </c>
      <c r="AD451" t="n">
        <v>1</v>
      </c>
      <c r="AE451" t="n">
        <v>2</v>
      </c>
      <c r="AF451" t="n">
        <v>0</v>
      </c>
      <c r="AG451" t="n">
        <v>9</v>
      </c>
      <c r="AH451" t="n">
        <v>0</v>
      </c>
      <c r="AI451" t="n">
        <v>4</v>
      </c>
      <c r="AJ451" t="n">
        <v>0</v>
      </c>
      <c r="AK451" t="n">
        <v>1</v>
      </c>
      <c r="AL451" t="n">
        <v>0</v>
      </c>
      <c r="AM451" t="n">
        <v>3</v>
      </c>
      <c r="AN451" t="n">
        <v>0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Yes</t>
        </is>
      </c>
      <c r="AT451">
        <f>HYPERLINK("http://catalog.hathitrust.org/Record/009145755","HathiTrust Record")</f>
        <v/>
      </c>
      <c r="AU451">
        <f>HYPERLINK("https://creighton-primo.hosted.exlibrisgroup.com/primo-explore/search?tab=default_tab&amp;search_scope=EVERYTHING&amp;vid=01CRU&amp;lang=en_US&amp;offset=0&amp;query=any,contains,991000497919702656","Catalog Record")</f>
        <v/>
      </c>
      <c r="AV451">
        <f>HYPERLINK("http://www.worldcat.org/oclc/24590278","WorldCat Record")</f>
        <v/>
      </c>
      <c r="AW451" t="inlineStr">
        <is>
          <t>3192882:eng</t>
        </is>
      </c>
      <c r="AX451" t="inlineStr">
        <is>
          <t>24590278</t>
        </is>
      </c>
      <c r="AY451" t="inlineStr">
        <is>
          <t>991000497919702656</t>
        </is>
      </c>
      <c r="AZ451" t="inlineStr">
        <is>
          <t>991000497919702656</t>
        </is>
      </c>
      <c r="BA451" t="inlineStr">
        <is>
          <t>2272671750002656</t>
        </is>
      </c>
      <c r="BB451" t="inlineStr">
        <is>
          <t>BOOK</t>
        </is>
      </c>
      <c r="BD451" t="inlineStr">
        <is>
          <t>9780874849967</t>
        </is>
      </c>
      <c r="BE451" t="inlineStr">
        <is>
          <t>30001002455188</t>
        </is>
      </c>
      <c r="BF451" t="inlineStr">
        <is>
          <t>893737850</t>
        </is>
      </c>
    </row>
    <row r="452">
      <c r="A452" t="inlineStr">
        <is>
          <t>No</t>
        </is>
      </c>
      <c r="B452" t="inlineStr">
        <is>
          <t>CUHSL</t>
        </is>
      </c>
      <c r="C452" t="inlineStr">
        <is>
          <t>SHELVES</t>
        </is>
      </c>
      <c r="D452" t="inlineStr">
        <is>
          <t>WA 950 L728f 1994</t>
        </is>
      </c>
      <c r="E452" t="inlineStr">
        <is>
          <t>0                      WA 0950000L  728f        1994</t>
        </is>
      </c>
      <c r="F452" t="inlineStr">
        <is>
          <t>Foundations of epidemiology.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Yes</t>
        </is>
      </c>
      <c r="L452" t="inlineStr">
        <is>
          <t>0</t>
        </is>
      </c>
      <c r="M452" t="inlineStr">
        <is>
          <t>Lilienfeld, David E.</t>
        </is>
      </c>
      <c r="N452" t="inlineStr">
        <is>
          <t>New York : Oxford University Press, c1994.</t>
        </is>
      </c>
      <c r="O452" t="inlineStr">
        <is>
          <t>1994</t>
        </is>
      </c>
      <c r="P452" t="inlineStr">
        <is>
          <t>3rd ed. / revised by David E. Lilienfeld, Paul D. Stolley.</t>
        </is>
      </c>
      <c r="Q452" t="inlineStr">
        <is>
          <t>eng</t>
        </is>
      </c>
      <c r="R452" t="inlineStr">
        <is>
          <t>nyu</t>
        </is>
      </c>
      <c r="T452" t="inlineStr">
        <is>
          <t xml:space="preserve">WA </t>
        </is>
      </c>
      <c r="U452" t="n">
        <v>26</v>
      </c>
      <c r="V452" t="n">
        <v>26</v>
      </c>
      <c r="W452" t="inlineStr">
        <is>
          <t>2005-09-29</t>
        </is>
      </c>
      <c r="X452" t="inlineStr">
        <is>
          <t>2005-09-29</t>
        </is>
      </c>
      <c r="Y452" t="inlineStr">
        <is>
          <t>1994-11-01</t>
        </is>
      </c>
      <c r="Z452" t="inlineStr">
        <is>
          <t>1994-11-01</t>
        </is>
      </c>
      <c r="AA452" t="n">
        <v>451</v>
      </c>
      <c r="AB452" t="n">
        <v>277</v>
      </c>
      <c r="AC452" t="n">
        <v>509</v>
      </c>
      <c r="AD452" t="n">
        <v>2</v>
      </c>
      <c r="AE452" t="n">
        <v>5</v>
      </c>
      <c r="AF452" t="n">
        <v>12</v>
      </c>
      <c r="AG452" t="n">
        <v>17</v>
      </c>
      <c r="AH452" t="n">
        <v>3</v>
      </c>
      <c r="AI452" t="n">
        <v>4</v>
      </c>
      <c r="AJ452" t="n">
        <v>4</v>
      </c>
      <c r="AK452" t="n">
        <v>5</v>
      </c>
      <c r="AL452" t="n">
        <v>7</v>
      </c>
      <c r="AM452" t="n">
        <v>10</v>
      </c>
      <c r="AN452" t="n">
        <v>1</v>
      </c>
      <c r="AO452" t="n">
        <v>2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U452">
        <f>HYPERLINK("https://creighton-primo.hosted.exlibrisgroup.com/primo-explore/search?tab=default_tab&amp;search_scope=EVERYTHING&amp;vid=01CRU&amp;lang=en_US&amp;offset=0&amp;query=any,contains,991000681179702656","Catalog Record")</f>
        <v/>
      </c>
      <c r="AV452">
        <f>HYPERLINK("http://www.worldcat.org/oclc/28586115","WorldCat Record")</f>
        <v/>
      </c>
      <c r="AW452" t="inlineStr">
        <is>
          <t>5264576:eng</t>
        </is>
      </c>
      <c r="AX452" t="inlineStr">
        <is>
          <t>28586115</t>
        </is>
      </c>
      <c r="AY452" t="inlineStr">
        <is>
          <t>991000681179702656</t>
        </is>
      </c>
      <c r="AZ452" t="inlineStr">
        <is>
          <t>991000681179702656</t>
        </is>
      </c>
      <c r="BA452" t="inlineStr">
        <is>
          <t>2263863960002656</t>
        </is>
      </c>
      <c r="BB452" t="inlineStr">
        <is>
          <t>BOOK</t>
        </is>
      </c>
      <c r="BD452" t="inlineStr">
        <is>
          <t>9780195050363</t>
        </is>
      </c>
      <c r="BE452" t="inlineStr">
        <is>
          <t>30001002697581</t>
        </is>
      </c>
      <c r="BF452" t="inlineStr">
        <is>
          <t>893464525</t>
        </is>
      </c>
    </row>
    <row r="453">
      <c r="A453" t="inlineStr">
        <is>
          <t>No</t>
        </is>
      </c>
      <c r="B453" t="inlineStr">
        <is>
          <t>CUHSL</t>
        </is>
      </c>
      <c r="C453" t="inlineStr">
        <is>
          <t>SHELVES</t>
        </is>
      </c>
      <c r="D453" t="inlineStr">
        <is>
          <t>WA 950 M4835 1992</t>
        </is>
      </c>
      <c r="E453" t="inlineStr">
        <is>
          <t>0                      WA 0950000M  4835        1992</t>
        </is>
      </c>
      <c r="F453" t="inlineStr">
        <is>
          <t>Measuring functioning and well-being : the medical outcomes study approach / Anita L. Stewart &amp; John E. Ware, Jr., editors ; with a foreword by Alvin R. Tarlov.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N453" t="inlineStr">
        <is>
          <t>Durham : Duke University Press, c1992.</t>
        </is>
      </c>
      <c r="O453" t="inlineStr">
        <is>
          <t>1992</t>
        </is>
      </c>
      <c r="Q453" t="inlineStr">
        <is>
          <t>eng</t>
        </is>
      </c>
      <c r="R453" t="inlineStr">
        <is>
          <t>ncu</t>
        </is>
      </c>
      <c r="T453" t="inlineStr">
        <is>
          <t xml:space="preserve">WA </t>
        </is>
      </c>
      <c r="U453" t="n">
        <v>18</v>
      </c>
      <c r="V453" t="n">
        <v>18</v>
      </c>
      <c r="W453" t="inlineStr">
        <is>
          <t>1998-12-02</t>
        </is>
      </c>
      <c r="X453" t="inlineStr">
        <is>
          <t>1998-12-02</t>
        </is>
      </c>
      <c r="Y453" t="inlineStr">
        <is>
          <t>1992-08-03</t>
        </is>
      </c>
      <c r="Z453" t="inlineStr">
        <is>
          <t>1992-08-03</t>
        </is>
      </c>
      <c r="AA453" t="n">
        <v>313</v>
      </c>
      <c r="AB453" t="n">
        <v>270</v>
      </c>
      <c r="AC453" t="n">
        <v>271</v>
      </c>
      <c r="AD453" t="n">
        <v>1</v>
      </c>
      <c r="AE453" t="n">
        <v>1</v>
      </c>
      <c r="AF453" t="n">
        <v>9</v>
      </c>
      <c r="AG453" t="n">
        <v>9</v>
      </c>
      <c r="AH453" t="n">
        <v>1</v>
      </c>
      <c r="AI453" t="n">
        <v>1</v>
      </c>
      <c r="AJ453" t="n">
        <v>3</v>
      </c>
      <c r="AK453" t="n">
        <v>3</v>
      </c>
      <c r="AL453" t="n">
        <v>8</v>
      </c>
      <c r="AM453" t="n">
        <v>8</v>
      </c>
      <c r="AN453" t="n">
        <v>0</v>
      </c>
      <c r="AO453" t="n">
        <v>0</v>
      </c>
      <c r="AP453" t="n">
        <v>0</v>
      </c>
      <c r="AQ453" t="n">
        <v>0</v>
      </c>
      <c r="AR453" t="inlineStr">
        <is>
          <t>No</t>
        </is>
      </c>
      <c r="AS453" t="inlineStr">
        <is>
          <t>No</t>
        </is>
      </c>
      <c r="AU453">
        <f>HYPERLINK("https://creighton-primo.hosted.exlibrisgroup.com/primo-explore/search?tab=default_tab&amp;search_scope=EVERYTHING&amp;vid=01CRU&amp;lang=en_US&amp;offset=0&amp;query=any,contains,991001305739702656","Catalog Record")</f>
        <v/>
      </c>
      <c r="AV453">
        <f>HYPERLINK("http://www.worldcat.org/oclc/24502847","WorldCat Record")</f>
        <v/>
      </c>
      <c r="AW453" t="inlineStr">
        <is>
          <t>836910617:eng</t>
        </is>
      </c>
      <c r="AX453" t="inlineStr">
        <is>
          <t>24502847</t>
        </is>
      </c>
      <c r="AY453" t="inlineStr">
        <is>
          <t>991001305739702656</t>
        </is>
      </c>
      <c r="AZ453" t="inlineStr">
        <is>
          <t>991001305739702656</t>
        </is>
      </c>
      <c r="BA453" t="inlineStr">
        <is>
          <t>2266880980002656</t>
        </is>
      </c>
      <c r="BB453" t="inlineStr">
        <is>
          <t>BOOK</t>
        </is>
      </c>
      <c r="BD453" t="inlineStr">
        <is>
          <t>9780822312123</t>
        </is>
      </c>
      <c r="BE453" t="inlineStr">
        <is>
          <t>30001002413781</t>
        </is>
      </c>
      <c r="BF453" t="inlineStr">
        <is>
          <t>893455679</t>
        </is>
      </c>
    </row>
    <row r="454">
      <c r="A454" t="inlineStr">
        <is>
          <t>No</t>
        </is>
      </c>
      <c r="B454" t="inlineStr">
        <is>
          <t>CUHSL</t>
        </is>
      </c>
      <c r="C454" t="inlineStr">
        <is>
          <t>SHELVES</t>
        </is>
      </c>
      <c r="D454" t="inlineStr">
        <is>
          <t>WA 950 M489 1986</t>
        </is>
      </c>
      <c r="E454" t="inlineStr">
        <is>
          <t>0                      WA 0950000M  489         1986</t>
        </is>
      </c>
      <c r="F454" t="inlineStr">
        <is>
          <t>Medical uses of statistics / edited by John C. Bailar III, Frederick Mosteller ; contributing authors, John C. Bailar III ... [et al.].</t>
        </is>
      </c>
      <c r="H454" t="inlineStr">
        <is>
          <t>No</t>
        </is>
      </c>
      <c r="I454" t="inlineStr">
        <is>
          <t>1</t>
        </is>
      </c>
      <c r="J454" t="inlineStr">
        <is>
          <t>Yes</t>
        </is>
      </c>
      <c r="K454" t="inlineStr">
        <is>
          <t>No</t>
        </is>
      </c>
      <c r="L454" t="inlineStr">
        <is>
          <t>0</t>
        </is>
      </c>
      <c r="N454" t="inlineStr">
        <is>
          <t>Waltham, Mass. : NEJM Books, c1986.</t>
        </is>
      </c>
      <c r="O454" t="inlineStr">
        <is>
          <t>1986</t>
        </is>
      </c>
      <c r="Q454" t="inlineStr">
        <is>
          <t>eng</t>
        </is>
      </c>
      <c r="R454" t="inlineStr">
        <is>
          <t>xxu</t>
        </is>
      </c>
      <c r="T454" t="inlineStr">
        <is>
          <t xml:space="preserve">WA </t>
        </is>
      </c>
      <c r="U454" t="n">
        <v>31</v>
      </c>
      <c r="V454" t="n">
        <v>31</v>
      </c>
      <c r="W454" t="inlineStr">
        <is>
          <t>2003-05-02</t>
        </is>
      </c>
      <c r="X454" t="inlineStr">
        <is>
          <t>2003-05-02</t>
        </is>
      </c>
      <c r="Y454" t="inlineStr">
        <is>
          <t>1988-08-04</t>
        </is>
      </c>
      <c r="Z454" t="inlineStr">
        <is>
          <t>1988-08-04</t>
        </is>
      </c>
      <c r="AA454" t="n">
        <v>257</v>
      </c>
      <c r="AB454" t="n">
        <v>187</v>
      </c>
      <c r="AC454" t="n">
        <v>619</v>
      </c>
      <c r="AD454" t="n">
        <v>3</v>
      </c>
      <c r="AE454" t="n">
        <v>4</v>
      </c>
      <c r="AF454" t="n">
        <v>1</v>
      </c>
      <c r="AG454" t="n">
        <v>24</v>
      </c>
      <c r="AH454" t="n">
        <v>0</v>
      </c>
      <c r="AI454" t="n">
        <v>9</v>
      </c>
      <c r="AJ454" t="n">
        <v>0</v>
      </c>
      <c r="AK454" t="n">
        <v>6</v>
      </c>
      <c r="AL454" t="n">
        <v>0</v>
      </c>
      <c r="AM454" t="n">
        <v>10</v>
      </c>
      <c r="AN454" t="n">
        <v>1</v>
      </c>
      <c r="AO454" t="n">
        <v>2</v>
      </c>
      <c r="AP454" t="n">
        <v>0</v>
      </c>
      <c r="AQ454" t="n">
        <v>2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HYPERLINK("http://catalog.hathitrust.org/Record/000832596","HathiTrust Record")</f>
        <v/>
      </c>
      <c r="AU454">
        <f>HYPERLINK("https://creighton-primo.hosted.exlibrisgroup.com/primo-explore/search?tab=default_tab&amp;search_scope=EVERYTHING&amp;vid=01CRU&amp;lang=en_US&amp;offset=0&amp;query=any,contains,991001421209702656","Catalog Record")</f>
        <v/>
      </c>
      <c r="AV454">
        <f>HYPERLINK("http://www.worldcat.org/oclc/13270827","WorldCat Record")</f>
        <v/>
      </c>
      <c r="AW454" t="inlineStr">
        <is>
          <t>509890106:eng</t>
        </is>
      </c>
      <c r="AX454" t="inlineStr">
        <is>
          <t>13270827</t>
        </is>
      </c>
      <c r="AY454" t="inlineStr">
        <is>
          <t>991001421209702656</t>
        </is>
      </c>
      <c r="AZ454" t="inlineStr">
        <is>
          <t>991001421209702656</t>
        </is>
      </c>
      <c r="BA454" t="inlineStr">
        <is>
          <t>2262316910002656</t>
        </is>
      </c>
      <c r="BB454" t="inlineStr">
        <is>
          <t>BOOK</t>
        </is>
      </c>
      <c r="BD454" t="inlineStr">
        <is>
          <t>9780910133166</t>
        </is>
      </c>
      <c r="BE454" t="inlineStr">
        <is>
          <t>30001001182338</t>
        </is>
      </c>
      <c r="BF454" t="inlineStr">
        <is>
          <t>893643560</t>
        </is>
      </c>
    </row>
    <row r="455">
      <c r="A455" t="inlineStr">
        <is>
          <t>No</t>
        </is>
      </c>
      <c r="B455" t="inlineStr">
        <is>
          <t>CUHSL</t>
        </is>
      </c>
      <c r="C455" t="inlineStr">
        <is>
          <t>SHELVES</t>
        </is>
      </c>
      <c r="D455" t="inlineStr">
        <is>
          <t>WA 950 M62b 1984</t>
        </is>
      </c>
      <c r="E455" t="inlineStr">
        <is>
          <t>0                      WA 0950000M  62b         1984</t>
        </is>
      </c>
      <c r="F455" t="inlineStr">
        <is>
          <t>Biomedical bestiary : an epidemiologic guide to flaws and fallacies in the medical literature / by Max Michael, W. Thomas Boyce, Allen J. Wilcox.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Michael, Max.</t>
        </is>
      </c>
      <c r="N455" t="inlineStr">
        <is>
          <t>Boston : Little, Brown, c1984.</t>
        </is>
      </c>
      <c r="O455" t="inlineStr">
        <is>
          <t>1984</t>
        </is>
      </c>
      <c r="P455" t="inlineStr">
        <is>
          <t>1st ed.</t>
        </is>
      </c>
      <c r="Q455" t="inlineStr">
        <is>
          <t>eng</t>
        </is>
      </c>
      <c r="R455" t="inlineStr">
        <is>
          <t>mau</t>
        </is>
      </c>
      <c r="T455" t="inlineStr">
        <is>
          <t xml:space="preserve">WA </t>
        </is>
      </c>
      <c r="U455" t="n">
        <v>16</v>
      </c>
      <c r="V455" t="n">
        <v>16</v>
      </c>
      <c r="W455" t="inlineStr">
        <is>
          <t>2002-02-17</t>
        </is>
      </c>
      <c r="X455" t="inlineStr">
        <is>
          <t>2002-02-17</t>
        </is>
      </c>
      <c r="Y455" t="inlineStr">
        <is>
          <t>1988-01-05</t>
        </is>
      </c>
      <c r="Z455" t="inlineStr">
        <is>
          <t>1988-01-05</t>
        </is>
      </c>
      <c r="AA455" t="n">
        <v>176</v>
      </c>
      <c r="AB455" t="n">
        <v>139</v>
      </c>
      <c r="AC455" t="n">
        <v>141</v>
      </c>
      <c r="AD455" t="n">
        <v>1</v>
      </c>
      <c r="AE455" t="n">
        <v>1</v>
      </c>
      <c r="AF455" t="n">
        <v>3</v>
      </c>
      <c r="AG455" t="n">
        <v>3</v>
      </c>
      <c r="AH455" t="n">
        <v>0</v>
      </c>
      <c r="AI455" t="n">
        <v>0</v>
      </c>
      <c r="AJ455" t="n">
        <v>1</v>
      </c>
      <c r="AK455" t="n">
        <v>1</v>
      </c>
      <c r="AL455" t="n">
        <v>2</v>
      </c>
      <c r="AM455" t="n">
        <v>2</v>
      </c>
      <c r="AN455" t="n">
        <v>0</v>
      </c>
      <c r="AO455" t="n">
        <v>0</v>
      </c>
      <c r="AP455" t="n">
        <v>0</v>
      </c>
      <c r="AQ455" t="n">
        <v>0</v>
      </c>
      <c r="AR455" t="inlineStr">
        <is>
          <t>No</t>
        </is>
      </c>
      <c r="AS455" t="inlineStr">
        <is>
          <t>Yes</t>
        </is>
      </c>
      <c r="AT455">
        <f>HYPERLINK("http://catalog.hathitrust.org/Record/000454125","HathiTrust Record")</f>
        <v/>
      </c>
      <c r="AU455">
        <f>HYPERLINK("https://creighton-primo.hosted.exlibrisgroup.com/primo-explore/search?tab=default_tab&amp;search_scope=EVERYTHING&amp;vid=01CRU&amp;lang=en_US&amp;offset=0&amp;query=any,contains,991001468709702656","Catalog Record")</f>
        <v/>
      </c>
      <c r="AV455">
        <f>HYPERLINK("http://www.worldcat.org/oclc/12083494","WorldCat Record")</f>
        <v/>
      </c>
      <c r="AW455" t="inlineStr">
        <is>
          <t>312886214:eng</t>
        </is>
      </c>
      <c r="AX455" t="inlineStr">
        <is>
          <t>12083494</t>
        </is>
      </c>
      <c r="AY455" t="inlineStr">
        <is>
          <t>991001468709702656</t>
        </is>
      </c>
      <c r="AZ455" t="inlineStr">
        <is>
          <t>991001468709702656</t>
        </is>
      </c>
      <c r="BA455" t="inlineStr">
        <is>
          <t>2267832950002656</t>
        </is>
      </c>
      <c r="BB455" t="inlineStr">
        <is>
          <t>BOOK</t>
        </is>
      </c>
      <c r="BD455" t="inlineStr">
        <is>
          <t>9780316569514</t>
        </is>
      </c>
      <c r="BE455" t="inlineStr">
        <is>
          <t>30001000558538</t>
        </is>
      </c>
      <c r="BF455" t="inlineStr">
        <is>
          <t>893832222</t>
        </is>
      </c>
    </row>
    <row r="456">
      <c r="A456" t="inlineStr">
        <is>
          <t>No</t>
        </is>
      </c>
      <c r="B456" t="inlineStr">
        <is>
          <t>CUHSL</t>
        </is>
      </c>
      <c r="C456" t="inlineStr">
        <is>
          <t>SHELVES</t>
        </is>
      </c>
      <c r="D456" t="inlineStr">
        <is>
          <t>WA 950 M651i 1981</t>
        </is>
      </c>
      <c r="E456" t="inlineStr">
        <is>
          <t>0                      WA 0950000M  651i        1981</t>
        </is>
      </c>
      <c r="F456" t="inlineStr">
        <is>
          <t>Introductory statistics for dentistry and medicine / Sidney L. Miller.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Miller, Sidney L., 1913-2008.</t>
        </is>
      </c>
      <c r="N456" t="inlineStr">
        <is>
          <t>Reston, Va. : Reston Pub. Co., c1981.</t>
        </is>
      </c>
      <c r="O456" t="inlineStr">
        <is>
          <t>1981</t>
        </is>
      </c>
      <c r="Q456" t="inlineStr">
        <is>
          <t>eng</t>
        </is>
      </c>
      <c r="R456" t="inlineStr">
        <is>
          <t>xxu</t>
        </is>
      </c>
      <c r="T456" t="inlineStr">
        <is>
          <t xml:space="preserve">WA </t>
        </is>
      </c>
      <c r="U456" t="n">
        <v>14</v>
      </c>
      <c r="V456" t="n">
        <v>14</v>
      </c>
      <c r="W456" t="inlineStr">
        <is>
          <t>2004-05-10</t>
        </is>
      </c>
      <c r="X456" t="inlineStr">
        <is>
          <t>2004-05-10</t>
        </is>
      </c>
      <c r="Y456" t="inlineStr">
        <is>
          <t>1988-01-05</t>
        </is>
      </c>
      <c r="Z456" t="inlineStr">
        <is>
          <t>1988-01-05</t>
        </is>
      </c>
      <c r="AA456" t="n">
        <v>105</v>
      </c>
      <c r="AB456" t="n">
        <v>75</v>
      </c>
      <c r="AC456" t="n">
        <v>77</v>
      </c>
      <c r="AD456" t="n">
        <v>1</v>
      </c>
      <c r="AE456" t="n">
        <v>1</v>
      </c>
      <c r="AF456" t="n">
        <v>2</v>
      </c>
      <c r="AG456" t="n">
        <v>2</v>
      </c>
      <c r="AH456" t="n">
        <v>0</v>
      </c>
      <c r="AI456" t="n">
        <v>0</v>
      </c>
      <c r="AJ456" t="n">
        <v>1</v>
      </c>
      <c r="AK456" t="n">
        <v>1</v>
      </c>
      <c r="AL456" t="n">
        <v>1</v>
      </c>
      <c r="AM456" t="n">
        <v>1</v>
      </c>
      <c r="AN456" t="n">
        <v>0</v>
      </c>
      <c r="AO456" t="n">
        <v>0</v>
      </c>
      <c r="AP456" t="n">
        <v>0</v>
      </c>
      <c r="AQ456" t="n">
        <v>0</v>
      </c>
      <c r="AR456" t="inlineStr">
        <is>
          <t>No</t>
        </is>
      </c>
      <c r="AS456" t="inlineStr">
        <is>
          <t>Yes</t>
        </is>
      </c>
      <c r="AT456">
        <f>HYPERLINK("http://catalog.hathitrust.org/Record/000223648","HathiTrust Record")</f>
        <v/>
      </c>
      <c r="AU456">
        <f>HYPERLINK("https://creighton-primo.hosted.exlibrisgroup.com/primo-explore/search?tab=default_tab&amp;search_scope=EVERYTHING&amp;vid=01CRU&amp;lang=en_US&amp;offset=0&amp;query=any,contains,991000734419702656","Catalog Record")</f>
        <v/>
      </c>
      <c r="AV456">
        <f>HYPERLINK("http://www.worldcat.org/oclc/6861727","WorldCat Record")</f>
        <v/>
      </c>
      <c r="AW456" t="inlineStr">
        <is>
          <t>497563:eng</t>
        </is>
      </c>
      <c r="AX456" t="inlineStr">
        <is>
          <t>6861727</t>
        </is>
      </c>
      <c r="AY456" t="inlineStr">
        <is>
          <t>991000734419702656</t>
        </is>
      </c>
      <c r="AZ456" t="inlineStr">
        <is>
          <t>991000734419702656</t>
        </is>
      </c>
      <c r="BA456" t="inlineStr">
        <is>
          <t>2268495990002656</t>
        </is>
      </c>
      <c r="BB456" t="inlineStr">
        <is>
          <t>BOOK</t>
        </is>
      </c>
      <c r="BD456" t="inlineStr">
        <is>
          <t>9780835932882</t>
        </is>
      </c>
      <c r="BE456" t="inlineStr">
        <is>
          <t>30001000709099</t>
        </is>
      </c>
      <c r="BF456" t="inlineStr">
        <is>
          <t>893825567</t>
        </is>
      </c>
    </row>
    <row r="457">
      <c r="A457" t="inlineStr">
        <is>
          <t>No</t>
        </is>
      </c>
      <c r="B457" t="inlineStr">
        <is>
          <t>CUHSL</t>
        </is>
      </c>
      <c r="C457" t="inlineStr">
        <is>
          <t>SHELVES</t>
        </is>
      </c>
      <c r="D457" t="inlineStr">
        <is>
          <t>WA 950 M755o 1990</t>
        </is>
      </c>
      <c r="E457" t="inlineStr">
        <is>
          <t>0                      WA 0950000M  755o        1990</t>
        </is>
      </c>
      <c r="F457" t="inlineStr">
        <is>
          <t>Occupational epidemiology / author, Richard R. Monson.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Monson, Richard R., 1936-</t>
        </is>
      </c>
      <c r="N457" t="inlineStr">
        <is>
          <t>Boca Raton, Fla. : CRC Press, c1990.</t>
        </is>
      </c>
      <c r="O457" t="inlineStr">
        <is>
          <t>1990</t>
        </is>
      </c>
      <c r="P457" t="inlineStr">
        <is>
          <t>2nd ed.</t>
        </is>
      </c>
      <c r="Q457" t="inlineStr">
        <is>
          <t>eng</t>
        </is>
      </c>
      <c r="R457" t="inlineStr">
        <is>
          <t>xxu</t>
        </is>
      </c>
      <c r="T457" t="inlineStr">
        <is>
          <t xml:space="preserve">WA </t>
        </is>
      </c>
      <c r="U457" t="n">
        <v>8</v>
      </c>
      <c r="V457" t="n">
        <v>8</v>
      </c>
      <c r="W457" t="inlineStr">
        <is>
          <t>2002-01-23</t>
        </is>
      </c>
      <c r="X457" t="inlineStr">
        <is>
          <t>2002-01-23</t>
        </is>
      </c>
      <c r="Y457" t="inlineStr">
        <is>
          <t>1990-07-25</t>
        </is>
      </c>
      <c r="Z457" t="inlineStr">
        <is>
          <t>1990-07-25</t>
        </is>
      </c>
      <c r="AA457" t="n">
        <v>255</v>
      </c>
      <c r="AB457" t="n">
        <v>172</v>
      </c>
      <c r="AC457" t="n">
        <v>273</v>
      </c>
      <c r="AD457" t="n">
        <v>1</v>
      </c>
      <c r="AE457" t="n">
        <v>2</v>
      </c>
      <c r="AF457" t="n">
        <v>2</v>
      </c>
      <c r="AG457" t="n">
        <v>4</v>
      </c>
      <c r="AH457" t="n">
        <v>0</v>
      </c>
      <c r="AI457" t="n">
        <v>1</v>
      </c>
      <c r="AJ457" t="n">
        <v>2</v>
      </c>
      <c r="AK457" t="n">
        <v>2</v>
      </c>
      <c r="AL457" t="n">
        <v>1</v>
      </c>
      <c r="AM457" t="n">
        <v>1</v>
      </c>
      <c r="AN457" t="n">
        <v>0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HYPERLINK("https://creighton-primo.hosted.exlibrisgroup.com/primo-explore/search?tab=default_tab&amp;search_scope=EVERYTHING&amp;vid=01CRU&amp;lang=en_US&amp;offset=0&amp;query=any,contains,991001451459702656","Catalog Record")</f>
        <v/>
      </c>
      <c r="AV457">
        <f>HYPERLINK("http://www.worldcat.org/oclc/20453882","WorldCat Record")</f>
        <v/>
      </c>
      <c r="AW457" t="inlineStr">
        <is>
          <t>20342540:eng</t>
        </is>
      </c>
      <c r="AX457" t="inlineStr">
        <is>
          <t>20453882</t>
        </is>
      </c>
      <c r="AY457" t="inlineStr">
        <is>
          <t>991001451459702656</t>
        </is>
      </c>
      <c r="AZ457" t="inlineStr">
        <is>
          <t>991001451459702656</t>
        </is>
      </c>
      <c r="BA457" t="inlineStr">
        <is>
          <t>2265429940002656</t>
        </is>
      </c>
      <c r="BB457" t="inlineStr">
        <is>
          <t>BOOK</t>
        </is>
      </c>
      <c r="BD457" t="inlineStr">
        <is>
          <t>9780849349270</t>
        </is>
      </c>
      <c r="BE457" t="inlineStr">
        <is>
          <t>30001001883125</t>
        </is>
      </c>
      <c r="BF457" t="inlineStr">
        <is>
          <t>893649212</t>
        </is>
      </c>
    </row>
    <row r="458">
      <c r="A458" t="inlineStr">
        <is>
          <t>No</t>
        </is>
      </c>
      <c r="B458" t="inlineStr">
        <is>
          <t>CUHSL</t>
        </is>
      </c>
      <c r="C458" t="inlineStr">
        <is>
          <t>SHELVES</t>
        </is>
      </c>
      <c r="D458" t="inlineStr">
        <is>
          <t>WA 950 M978c 1985</t>
        </is>
      </c>
      <c r="E458" t="inlineStr">
        <is>
          <t>0                      WA 0950000M  978c        1985</t>
        </is>
      </c>
      <c r="F458" t="inlineStr">
        <is>
          <t>A companion to medical statistics / Edmond A. Murphy.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Murphy, Edmond A., 1925-</t>
        </is>
      </c>
      <c r="N458" t="inlineStr">
        <is>
          <t>Baltimore : Johns Hopkins University Press, c1985.</t>
        </is>
      </c>
      <c r="O458" t="inlineStr">
        <is>
          <t>1985</t>
        </is>
      </c>
      <c r="Q458" t="inlineStr">
        <is>
          <t>eng</t>
        </is>
      </c>
      <c r="R458" t="inlineStr">
        <is>
          <t>xxu</t>
        </is>
      </c>
      <c r="S458" t="inlineStr">
        <is>
          <t>The Johns Hopkins series in contemporary medicine and public health</t>
        </is>
      </c>
      <c r="T458" t="inlineStr">
        <is>
          <t xml:space="preserve">WA </t>
        </is>
      </c>
      <c r="U458" t="n">
        <v>6</v>
      </c>
      <c r="V458" t="n">
        <v>6</v>
      </c>
      <c r="W458" t="inlineStr">
        <is>
          <t>1989-12-01</t>
        </is>
      </c>
      <c r="X458" t="inlineStr">
        <is>
          <t>1989-12-01</t>
        </is>
      </c>
      <c r="Y458" t="inlineStr">
        <is>
          <t>1988-01-05</t>
        </is>
      </c>
      <c r="Z458" t="inlineStr">
        <is>
          <t>1988-01-05</t>
        </is>
      </c>
      <c r="AA458" t="n">
        <v>192</v>
      </c>
      <c r="AB458" t="n">
        <v>166</v>
      </c>
      <c r="AC458" t="n">
        <v>168</v>
      </c>
      <c r="AD458" t="n">
        <v>1</v>
      </c>
      <c r="AE458" t="n">
        <v>1</v>
      </c>
      <c r="AF458" t="n">
        <v>4</v>
      </c>
      <c r="AG458" t="n">
        <v>4</v>
      </c>
      <c r="AH458" t="n">
        <v>1</v>
      </c>
      <c r="AI458" t="n">
        <v>1</v>
      </c>
      <c r="AJ458" t="n">
        <v>2</v>
      </c>
      <c r="AK458" t="n">
        <v>2</v>
      </c>
      <c r="AL458" t="n">
        <v>2</v>
      </c>
      <c r="AM458" t="n">
        <v>2</v>
      </c>
      <c r="AN458" t="n">
        <v>0</v>
      </c>
      <c r="AO458" t="n">
        <v>0</v>
      </c>
      <c r="AP458" t="n">
        <v>0</v>
      </c>
      <c r="AQ458" t="n">
        <v>0</v>
      </c>
      <c r="AR458" t="inlineStr">
        <is>
          <t>No</t>
        </is>
      </c>
      <c r="AS458" t="inlineStr">
        <is>
          <t>Yes</t>
        </is>
      </c>
      <c r="AT458">
        <f>HYPERLINK("http://catalog.hathitrust.org/Record/000423519","HathiTrust Record")</f>
        <v/>
      </c>
      <c r="AU458">
        <f>HYPERLINK("https://creighton-primo.hosted.exlibrisgroup.com/primo-explore/search?tab=default_tab&amp;search_scope=EVERYTHING&amp;vid=01CRU&amp;lang=en_US&amp;offset=0&amp;query=any,contains,991000734499702656","Catalog Record")</f>
        <v/>
      </c>
      <c r="AV458">
        <f>HYPERLINK("http://www.worldcat.org/oclc/11235768","WorldCat Record")</f>
        <v/>
      </c>
      <c r="AW458" t="inlineStr">
        <is>
          <t>4134857:eng</t>
        </is>
      </c>
      <c r="AX458" t="inlineStr">
        <is>
          <t>11235768</t>
        </is>
      </c>
      <c r="AY458" t="inlineStr">
        <is>
          <t>991000734499702656</t>
        </is>
      </c>
      <c r="AZ458" t="inlineStr">
        <is>
          <t>991000734499702656</t>
        </is>
      </c>
      <c r="BA458" t="inlineStr">
        <is>
          <t>2261957700002656</t>
        </is>
      </c>
      <c r="BB458" t="inlineStr">
        <is>
          <t>BOOK</t>
        </is>
      </c>
      <c r="BD458" t="inlineStr">
        <is>
          <t>9780801826122</t>
        </is>
      </c>
      <c r="BE458" t="inlineStr">
        <is>
          <t>30001000709107</t>
        </is>
      </c>
      <c r="BF458" t="inlineStr">
        <is>
          <t>893637253</t>
        </is>
      </c>
    </row>
    <row r="459">
      <c r="A459" t="inlineStr">
        <is>
          <t>No</t>
        </is>
      </c>
      <c r="B459" t="inlineStr">
        <is>
          <t>CUHSL</t>
        </is>
      </c>
      <c r="C459" t="inlineStr">
        <is>
          <t>SHELVES</t>
        </is>
      </c>
      <c r="D459" t="inlineStr">
        <is>
          <t>WA950 N476 2004</t>
        </is>
      </c>
      <c r="E459" t="inlineStr">
        <is>
          <t>0                      WA 0950000N  476         2004</t>
        </is>
      </c>
      <c r="F459" t="inlineStr">
        <is>
          <t>Network epidemiology : a handbook for survey design and data collection / edited by Martina Morris.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N459" t="inlineStr">
        <is>
          <t>Oxford ; New York : Oxford University Press, 2004.</t>
        </is>
      </c>
      <c r="O459" t="inlineStr">
        <is>
          <t>2004</t>
        </is>
      </c>
      <c r="Q459" t="inlineStr">
        <is>
          <t>eng</t>
        </is>
      </c>
      <c r="R459" t="inlineStr">
        <is>
          <t>enk</t>
        </is>
      </c>
      <c r="S459" t="inlineStr">
        <is>
          <t>International studies in demography</t>
        </is>
      </c>
      <c r="T459" t="inlineStr">
        <is>
          <t xml:space="preserve">WA </t>
        </is>
      </c>
      <c r="U459" t="n">
        <v>2</v>
      </c>
      <c r="V459" t="n">
        <v>2</v>
      </c>
      <c r="W459" t="inlineStr">
        <is>
          <t>2009-03-13</t>
        </is>
      </c>
      <c r="X459" t="inlineStr">
        <is>
          <t>2009-03-13</t>
        </is>
      </c>
      <c r="Y459" t="inlineStr">
        <is>
          <t>2005-04-06</t>
        </is>
      </c>
      <c r="Z459" t="inlineStr">
        <is>
          <t>2005-04-06</t>
        </is>
      </c>
      <c r="AA459" t="n">
        <v>139</v>
      </c>
      <c r="AB459" t="n">
        <v>86</v>
      </c>
      <c r="AC459" t="n">
        <v>172</v>
      </c>
      <c r="AD459" t="n">
        <v>1</v>
      </c>
      <c r="AE459" t="n">
        <v>1</v>
      </c>
      <c r="AF459" t="n">
        <v>4</v>
      </c>
      <c r="AG459" t="n">
        <v>8</v>
      </c>
      <c r="AH459" t="n">
        <v>1</v>
      </c>
      <c r="AI459" t="n">
        <v>1</v>
      </c>
      <c r="AJ459" t="n">
        <v>0</v>
      </c>
      <c r="AK459" t="n">
        <v>4</v>
      </c>
      <c r="AL459" t="n">
        <v>4</v>
      </c>
      <c r="AM459" t="n">
        <v>5</v>
      </c>
      <c r="AN459" t="n">
        <v>0</v>
      </c>
      <c r="AO459" t="n">
        <v>0</v>
      </c>
      <c r="AP459" t="n">
        <v>0</v>
      </c>
      <c r="AQ459" t="n">
        <v>0</v>
      </c>
      <c r="AR459" t="inlineStr">
        <is>
          <t>No</t>
        </is>
      </c>
      <c r="AS459" t="inlineStr">
        <is>
          <t>No</t>
        </is>
      </c>
      <c r="AU459">
        <f>HYPERLINK("https://creighton-primo.hosted.exlibrisgroup.com/primo-explore/search?tab=default_tab&amp;search_scope=EVERYTHING&amp;vid=01CRU&amp;lang=en_US&amp;offset=0&amp;query=any,contains,991000435079702656","Catalog Record")</f>
        <v/>
      </c>
      <c r="AV459">
        <f>HYPERLINK("http://www.worldcat.org/oclc/53871752","WorldCat Record")</f>
        <v/>
      </c>
      <c r="AW459" t="inlineStr">
        <is>
          <t>803387392:eng</t>
        </is>
      </c>
      <c r="AX459" t="inlineStr">
        <is>
          <t>53871752</t>
        </is>
      </c>
      <c r="AY459" t="inlineStr">
        <is>
          <t>991000435079702656</t>
        </is>
      </c>
      <c r="AZ459" t="inlineStr">
        <is>
          <t>991000435079702656</t>
        </is>
      </c>
      <c r="BA459" t="inlineStr">
        <is>
          <t>2270477310002656</t>
        </is>
      </c>
      <c r="BB459" t="inlineStr">
        <is>
          <t>BOOK</t>
        </is>
      </c>
      <c r="BD459" t="inlineStr">
        <is>
          <t>9780199269013</t>
        </is>
      </c>
      <c r="BE459" t="inlineStr">
        <is>
          <t>30001004928935</t>
        </is>
      </c>
      <c r="BF459" t="inlineStr">
        <is>
          <t>893370473</t>
        </is>
      </c>
    </row>
    <row r="460">
      <c r="A460" t="inlineStr">
        <is>
          <t>No</t>
        </is>
      </c>
      <c r="B460" t="inlineStr">
        <is>
          <t>CUHSL</t>
        </is>
      </c>
      <c r="C460" t="inlineStr">
        <is>
          <t>SHELVES</t>
        </is>
      </c>
      <c r="D460" t="inlineStr">
        <is>
          <t>WA950 P421s 2003</t>
        </is>
      </c>
      <c r="E460" t="inlineStr">
        <is>
          <t>0                      WA 0950000P  421s        2003</t>
        </is>
      </c>
      <c r="F460" t="inlineStr">
        <is>
          <t>The statistical evaluation of medical tests for classification and prediction / Margaret Sullivan Pepe.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1</t>
        </is>
      </c>
      <c r="M460" t="inlineStr">
        <is>
          <t>Pepe, Margaret Sullivan, 1961-</t>
        </is>
      </c>
      <c r="N460" t="inlineStr">
        <is>
          <t>Oxford : Oxford University Press, 2003.</t>
        </is>
      </c>
      <c r="O460" t="inlineStr">
        <is>
          <t>2003</t>
        </is>
      </c>
      <c r="Q460" t="inlineStr">
        <is>
          <t>eng</t>
        </is>
      </c>
      <c r="R460" t="inlineStr">
        <is>
          <t>enk</t>
        </is>
      </c>
      <c r="S460" t="inlineStr">
        <is>
          <t>Oxford statistical science series ; 28</t>
        </is>
      </c>
      <c r="T460" t="inlineStr">
        <is>
          <t xml:space="preserve">WA </t>
        </is>
      </c>
      <c r="U460" t="n">
        <v>6</v>
      </c>
      <c r="V460" t="n">
        <v>6</v>
      </c>
      <c r="W460" t="inlineStr">
        <is>
          <t>2010-09-13</t>
        </is>
      </c>
      <c r="X460" t="inlineStr">
        <is>
          <t>2010-09-13</t>
        </is>
      </c>
      <c r="Y460" t="inlineStr">
        <is>
          <t>2003-12-08</t>
        </is>
      </c>
      <c r="Z460" t="inlineStr">
        <is>
          <t>2003-12-08</t>
        </is>
      </c>
      <c r="AA460" t="n">
        <v>174</v>
      </c>
      <c r="AB460" t="n">
        <v>88</v>
      </c>
      <c r="AC460" t="n">
        <v>89</v>
      </c>
      <c r="AD460" t="n">
        <v>2</v>
      </c>
      <c r="AE460" t="n">
        <v>2</v>
      </c>
      <c r="AF460" t="n">
        <v>5</v>
      </c>
      <c r="AG460" t="n">
        <v>5</v>
      </c>
      <c r="AH460" t="n">
        <v>1</v>
      </c>
      <c r="AI460" t="n">
        <v>1</v>
      </c>
      <c r="AJ460" t="n">
        <v>2</v>
      </c>
      <c r="AK460" t="n">
        <v>2</v>
      </c>
      <c r="AL460" t="n">
        <v>2</v>
      </c>
      <c r="AM460" t="n">
        <v>2</v>
      </c>
      <c r="AN460" t="n">
        <v>1</v>
      </c>
      <c r="AO460" t="n">
        <v>1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HYPERLINK("https://creighton-primo.hosted.exlibrisgroup.com/primo-explore/search?tab=default_tab&amp;search_scope=EVERYTHING&amp;vid=01CRU&amp;lang=en_US&amp;offset=0&amp;query=any,contains,991000360899702656","Catalog Record")</f>
        <v/>
      </c>
      <c r="AV460">
        <f>HYPERLINK("http://www.worldcat.org/oclc/51108967","WorldCat Record")</f>
        <v/>
      </c>
      <c r="AW460" t="inlineStr">
        <is>
          <t>663934:eng</t>
        </is>
      </c>
      <c r="AX460" t="inlineStr">
        <is>
          <t>51108967</t>
        </is>
      </c>
      <c r="AY460" t="inlineStr">
        <is>
          <t>991000360899702656</t>
        </is>
      </c>
      <c r="AZ460" t="inlineStr">
        <is>
          <t>991000360899702656</t>
        </is>
      </c>
      <c r="BA460" t="inlineStr">
        <is>
          <t>2266709260002656</t>
        </is>
      </c>
      <c r="BB460" t="inlineStr">
        <is>
          <t>BOOK</t>
        </is>
      </c>
      <c r="BD460" t="inlineStr">
        <is>
          <t>9780198509844</t>
        </is>
      </c>
      <c r="BE460" t="inlineStr">
        <is>
          <t>30001004508000</t>
        </is>
      </c>
      <c r="BF460" t="inlineStr">
        <is>
          <t>893558787</t>
        </is>
      </c>
    </row>
    <row r="461">
      <c r="A461" t="inlineStr">
        <is>
          <t>No</t>
        </is>
      </c>
      <c r="B461" t="inlineStr">
        <is>
          <t>CUHSL</t>
        </is>
      </c>
      <c r="C461" t="inlineStr">
        <is>
          <t>SHELVES</t>
        </is>
      </c>
      <c r="D461" t="inlineStr">
        <is>
          <t>WA 950 P491m 2000</t>
        </is>
      </c>
      <c r="E461" t="inlineStr">
        <is>
          <t>0                      WA 0950000P  491m        2000</t>
        </is>
      </c>
      <c r="F461" t="inlineStr">
        <is>
          <t>Meta-analysis, decision analysis, and cost-effectiveness analysis : methods for quantitative synthesis in medicine / Diana B. Petitti.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Petitti, Diana B.</t>
        </is>
      </c>
      <c r="N461" t="inlineStr">
        <is>
          <t>New York : Oxford University Press, c2000.</t>
        </is>
      </c>
      <c r="O461" t="inlineStr">
        <is>
          <t>2000</t>
        </is>
      </c>
      <c r="P461" t="inlineStr">
        <is>
          <t>2nd ed.</t>
        </is>
      </c>
      <c r="Q461" t="inlineStr">
        <is>
          <t>eng</t>
        </is>
      </c>
      <c r="R461" t="inlineStr">
        <is>
          <t>nyu</t>
        </is>
      </c>
      <c r="S461" t="inlineStr">
        <is>
          <t>Monographs in epidemiology and biostatistics ; v. 31</t>
        </is>
      </c>
      <c r="T461" t="inlineStr">
        <is>
          <t xml:space="preserve">WA </t>
        </is>
      </c>
      <c r="U461" t="n">
        <v>7</v>
      </c>
      <c r="V461" t="n">
        <v>7</v>
      </c>
      <c r="W461" t="inlineStr">
        <is>
          <t>2007-05-30</t>
        </is>
      </c>
      <c r="X461" t="inlineStr">
        <is>
          <t>2007-05-30</t>
        </is>
      </c>
      <c r="Y461" t="inlineStr">
        <is>
          <t>2000-03-27</t>
        </is>
      </c>
      <c r="Z461" t="inlineStr">
        <is>
          <t>2000-03-27</t>
        </is>
      </c>
      <c r="AA461" t="n">
        <v>290</v>
      </c>
      <c r="AB461" t="n">
        <v>190</v>
      </c>
      <c r="AC461" t="n">
        <v>323</v>
      </c>
      <c r="AD461" t="n">
        <v>1</v>
      </c>
      <c r="AE461" t="n">
        <v>1</v>
      </c>
      <c r="AF461" t="n">
        <v>6</v>
      </c>
      <c r="AG461" t="n">
        <v>11</v>
      </c>
      <c r="AH461" t="n">
        <v>1</v>
      </c>
      <c r="AI461" t="n">
        <v>1</v>
      </c>
      <c r="AJ461" t="n">
        <v>3</v>
      </c>
      <c r="AK461" t="n">
        <v>7</v>
      </c>
      <c r="AL461" t="n">
        <v>4</v>
      </c>
      <c r="AM461" t="n">
        <v>6</v>
      </c>
      <c r="AN461" t="n">
        <v>0</v>
      </c>
      <c r="AO461" t="n">
        <v>0</v>
      </c>
      <c r="AP461" t="n">
        <v>0</v>
      </c>
      <c r="AQ461" t="n">
        <v>0</v>
      </c>
      <c r="AR461" t="inlineStr">
        <is>
          <t>No</t>
        </is>
      </c>
      <c r="AS461" t="inlineStr">
        <is>
          <t>No</t>
        </is>
      </c>
      <c r="AU461">
        <f>HYPERLINK("https://creighton-primo.hosted.exlibrisgroup.com/primo-explore/search?tab=default_tab&amp;search_scope=EVERYTHING&amp;vid=01CRU&amp;lang=en_US&amp;offset=0&amp;query=any,contains,991001442929702656","Catalog Record")</f>
        <v/>
      </c>
      <c r="AV461">
        <f>HYPERLINK("http://www.worldcat.org/oclc/40830093","WorldCat Record")</f>
        <v/>
      </c>
      <c r="AW461" t="inlineStr">
        <is>
          <t>25789046:eng</t>
        </is>
      </c>
      <c r="AX461" t="inlineStr">
        <is>
          <t>40830093</t>
        </is>
      </c>
      <c r="AY461" t="inlineStr">
        <is>
          <t>991001442929702656</t>
        </is>
      </c>
      <c r="AZ461" t="inlineStr">
        <is>
          <t>991001442929702656</t>
        </is>
      </c>
      <c r="BA461" t="inlineStr">
        <is>
          <t>2256188690002656</t>
        </is>
      </c>
      <c r="BB461" t="inlineStr">
        <is>
          <t>BOOK</t>
        </is>
      </c>
      <c r="BD461" t="inlineStr">
        <is>
          <t>9780195133646</t>
        </is>
      </c>
      <c r="BE461" t="inlineStr">
        <is>
          <t>30001003883438</t>
        </is>
      </c>
      <c r="BF461" t="inlineStr">
        <is>
          <t>893743793</t>
        </is>
      </c>
    </row>
    <row r="462">
      <c r="A462" t="inlineStr">
        <is>
          <t>No</t>
        </is>
      </c>
      <c r="B462" t="inlineStr">
        <is>
          <t>CUHSL</t>
        </is>
      </c>
      <c r="C462" t="inlineStr">
        <is>
          <t>SHELVES</t>
        </is>
      </c>
      <c r="D462" t="inlineStr">
        <is>
          <t>WA 950 P956 1982</t>
        </is>
      </c>
      <c r="E462" t="inlineStr">
        <is>
          <t>0                      WA 0950000P  956         1982</t>
        </is>
      </c>
      <c r="F462" t="inlineStr">
        <is>
          <t>Principles of epidemiology : a learning guide / Lewis Roht, Beatrice Selwyn, Alfonso Holguin, editors.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N462" t="inlineStr">
        <is>
          <t>New York : Academic Press, c1982.</t>
        </is>
      </c>
      <c r="O462" t="inlineStr">
        <is>
          <t>1982</t>
        </is>
      </c>
      <c r="Q462" t="inlineStr">
        <is>
          <t>eng</t>
        </is>
      </c>
      <c r="R462" t="inlineStr">
        <is>
          <t>xxu</t>
        </is>
      </c>
      <c r="T462" t="inlineStr">
        <is>
          <t xml:space="preserve">WA </t>
        </is>
      </c>
      <c r="U462" t="n">
        <v>2</v>
      </c>
      <c r="V462" t="n">
        <v>2</v>
      </c>
      <c r="W462" t="inlineStr">
        <is>
          <t>1989-07-14</t>
        </is>
      </c>
      <c r="X462" t="inlineStr">
        <is>
          <t>1989-07-14</t>
        </is>
      </c>
      <c r="Y462" t="inlineStr">
        <is>
          <t>1988-01-05</t>
        </is>
      </c>
      <c r="Z462" t="inlineStr">
        <is>
          <t>1988-01-05</t>
        </is>
      </c>
      <c r="AA462" t="n">
        <v>110</v>
      </c>
      <c r="AB462" t="n">
        <v>64</v>
      </c>
      <c r="AC462" t="n">
        <v>108</v>
      </c>
      <c r="AD462" t="n">
        <v>1</v>
      </c>
      <c r="AE462" t="n">
        <v>1</v>
      </c>
      <c r="AF462" t="n">
        <v>0</v>
      </c>
      <c r="AG462" t="n">
        <v>2</v>
      </c>
      <c r="AH462" t="n">
        <v>0</v>
      </c>
      <c r="AI462" t="n">
        <v>1</v>
      </c>
      <c r="AJ462" t="n">
        <v>0</v>
      </c>
      <c r="AK462" t="n">
        <v>1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HYPERLINK("http://catalog.hathitrust.org/Record/004473636","HathiTrust Record")</f>
        <v/>
      </c>
      <c r="AU462">
        <f>HYPERLINK("https://creighton-primo.hosted.exlibrisgroup.com/primo-explore/search?tab=default_tab&amp;search_scope=EVERYTHING&amp;vid=01CRU&amp;lang=en_US&amp;offset=0&amp;query=any,contains,991000734819702656","Catalog Record")</f>
        <v/>
      </c>
      <c r="AV462">
        <f>HYPERLINK("http://www.worldcat.org/oclc/8667932","WorldCat Record")</f>
        <v/>
      </c>
      <c r="AW462" t="inlineStr">
        <is>
          <t>32467845:eng</t>
        </is>
      </c>
      <c r="AX462" t="inlineStr">
        <is>
          <t>8667932</t>
        </is>
      </c>
      <c r="AY462" t="inlineStr">
        <is>
          <t>991000734819702656</t>
        </is>
      </c>
      <c r="AZ462" t="inlineStr">
        <is>
          <t>991000734819702656</t>
        </is>
      </c>
      <c r="BA462" t="inlineStr">
        <is>
          <t>2264014150002656</t>
        </is>
      </c>
      <c r="BB462" t="inlineStr">
        <is>
          <t>BOOK</t>
        </is>
      </c>
      <c r="BD462" t="inlineStr">
        <is>
          <t>9780125931809</t>
        </is>
      </c>
      <c r="BE462" t="inlineStr">
        <is>
          <t>30001000709115</t>
        </is>
      </c>
      <c r="BF462" t="inlineStr">
        <is>
          <t>893726614</t>
        </is>
      </c>
    </row>
    <row r="463">
      <c r="A463" t="inlineStr">
        <is>
          <t>No</t>
        </is>
      </c>
      <c r="B463" t="inlineStr">
        <is>
          <t>CUHSL</t>
        </is>
      </c>
      <c r="C463" t="inlineStr">
        <is>
          <t>SHELVES</t>
        </is>
      </c>
      <c r="D463" t="inlineStr">
        <is>
          <t>WA 950 R335b 1982</t>
        </is>
      </c>
      <c r="E463" t="inlineStr">
        <is>
          <t>0                      WA 0950000R  335b        1982</t>
        </is>
      </c>
      <c r="F463" t="inlineStr">
        <is>
          <t>Biomedical statistics with computing / Mary H. Regier, Ram N. Mohapatra and Surya N. Mohapatra.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Regier, Mary H.</t>
        </is>
      </c>
      <c r="N463" t="inlineStr">
        <is>
          <t>Chichester ; New York : Research Studies Press, c1982.</t>
        </is>
      </c>
      <c r="O463" t="inlineStr">
        <is>
          <t>1982</t>
        </is>
      </c>
      <c r="Q463" t="inlineStr">
        <is>
          <t>eng</t>
        </is>
      </c>
      <c r="R463" t="inlineStr">
        <is>
          <t>enk</t>
        </is>
      </c>
      <c r="S463" t="inlineStr">
        <is>
          <t>Medical computing series ; 6</t>
        </is>
      </c>
      <c r="T463" t="inlineStr">
        <is>
          <t xml:space="preserve">WA </t>
        </is>
      </c>
      <c r="U463" t="n">
        <v>9</v>
      </c>
      <c r="V463" t="n">
        <v>9</v>
      </c>
      <c r="W463" t="inlineStr">
        <is>
          <t>1989-11-15</t>
        </is>
      </c>
      <c r="X463" t="inlineStr">
        <is>
          <t>1989-11-15</t>
        </is>
      </c>
      <c r="Y463" t="inlineStr">
        <is>
          <t>1988-01-05</t>
        </is>
      </c>
      <c r="Z463" t="inlineStr">
        <is>
          <t>1988-01-05</t>
        </is>
      </c>
      <c r="AA463" t="n">
        <v>132</v>
      </c>
      <c r="AB463" t="n">
        <v>88</v>
      </c>
      <c r="AC463" t="n">
        <v>91</v>
      </c>
      <c r="AD463" t="n">
        <v>1</v>
      </c>
      <c r="AE463" t="n">
        <v>1</v>
      </c>
      <c r="AF463" t="n">
        <v>1</v>
      </c>
      <c r="AG463" t="n">
        <v>1</v>
      </c>
      <c r="AH463" t="n">
        <v>0</v>
      </c>
      <c r="AI463" t="n">
        <v>0</v>
      </c>
      <c r="AJ463" t="n">
        <v>1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HYPERLINK("https://creighton-primo.hosted.exlibrisgroup.com/primo-explore/search?tab=default_tab&amp;search_scope=EVERYTHING&amp;vid=01CRU&amp;lang=en_US&amp;offset=0&amp;query=any,contains,991000734879702656","Catalog Record")</f>
        <v/>
      </c>
      <c r="AV463">
        <f>HYPERLINK("http://www.worldcat.org/oclc/12082416","WorldCat Record")</f>
        <v/>
      </c>
      <c r="AW463" t="inlineStr">
        <is>
          <t>4723642:eng</t>
        </is>
      </c>
      <c r="AX463" t="inlineStr">
        <is>
          <t>12082416</t>
        </is>
      </c>
      <c r="AY463" t="inlineStr">
        <is>
          <t>991000734879702656</t>
        </is>
      </c>
      <c r="AZ463" t="inlineStr">
        <is>
          <t>991000734879702656</t>
        </is>
      </c>
      <c r="BA463" t="inlineStr">
        <is>
          <t>2263896560002656</t>
        </is>
      </c>
      <c r="BB463" t="inlineStr">
        <is>
          <t>BOOK</t>
        </is>
      </c>
      <c r="BD463" t="inlineStr">
        <is>
          <t>9780471104490</t>
        </is>
      </c>
      <c r="BE463" t="inlineStr">
        <is>
          <t>30001000709123</t>
        </is>
      </c>
      <c r="BF463" t="inlineStr">
        <is>
          <t>893450169</t>
        </is>
      </c>
    </row>
    <row r="464">
      <c r="A464" t="inlineStr">
        <is>
          <t>No</t>
        </is>
      </c>
      <c r="B464" t="inlineStr">
        <is>
          <t>CUHSL</t>
        </is>
      </c>
      <c r="C464" t="inlineStr">
        <is>
          <t>SHELVES</t>
        </is>
      </c>
      <c r="D464" t="inlineStr">
        <is>
          <t>WA 950 R554s 1989</t>
        </is>
      </c>
      <c r="E464" t="inlineStr">
        <is>
          <t>0                      WA 0950000R  554s        1989</t>
        </is>
      </c>
      <c r="F464" t="inlineStr">
        <is>
          <t>Studying a study and testing a test : how to read the medical literature / Richard K. Riegelman, Robert P. Hirsch.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Riegelman, Richard K.</t>
        </is>
      </c>
      <c r="N464" t="inlineStr">
        <is>
          <t>Boston : Little, Brown, c1989.</t>
        </is>
      </c>
      <c r="O464" t="inlineStr">
        <is>
          <t>1989</t>
        </is>
      </c>
      <c r="P464" t="inlineStr">
        <is>
          <t>2nd ed.</t>
        </is>
      </c>
      <c r="Q464" t="inlineStr">
        <is>
          <t>eng</t>
        </is>
      </c>
      <c r="R464" t="inlineStr">
        <is>
          <t>mau</t>
        </is>
      </c>
      <c r="T464" t="inlineStr">
        <is>
          <t xml:space="preserve">WA </t>
        </is>
      </c>
      <c r="U464" t="n">
        <v>29</v>
      </c>
      <c r="V464" t="n">
        <v>29</v>
      </c>
      <c r="W464" t="inlineStr">
        <is>
          <t>2003-04-10</t>
        </is>
      </c>
      <c r="X464" t="inlineStr">
        <is>
          <t>2003-04-10</t>
        </is>
      </c>
      <c r="Y464" t="inlineStr">
        <is>
          <t>1993-02-11</t>
        </is>
      </c>
      <c r="Z464" t="inlineStr">
        <is>
          <t>1993-02-11</t>
        </is>
      </c>
      <c r="AA464" t="n">
        <v>244</v>
      </c>
      <c r="AB464" t="n">
        <v>187</v>
      </c>
      <c r="AC464" t="n">
        <v>309</v>
      </c>
      <c r="AD464" t="n">
        <v>1</v>
      </c>
      <c r="AE464" t="n">
        <v>1</v>
      </c>
      <c r="AF464" t="n">
        <v>8</v>
      </c>
      <c r="AG464" t="n">
        <v>12</v>
      </c>
      <c r="AH464" t="n">
        <v>3</v>
      </c>
      <c r="AI464" t="n">
        <v>4</v>
      </c>
      <c r="AJ464" t="n">
        <v>1</v>
      </c>
      <c r="AK464" t="n">
        <v>2</v>
      </c>
      <c r="AL464" t="n">
        <v>3</v>
      </c>
      <c r="AM464" t="n">
        <v>6</v>
      </c>
      <c r="AN464" t="n">
        <v>0</v>
      </c>
      <c r="AO464" t="n">
        <v>0</v>
      </c>
      <c r="AP464" t="n">
        <v>3</v>
      </c>
      <c r="AQ464" t="n">
        <v>3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HYPERLINK("http://catalog.hathitrust.org/Record/001821624","HathiTrust Record")</f>
        <v/>
      </c>
      <c r="AU464">
        <f>HYPERLINK("https://creighton-primo.hosted.exlibrisgroup.com/primo-explore/search?tab=default_tab&amp;search_scope=EVERYTHING&amp;vid=01CRU&amp;lang=en_US&amp;offset=0&amp;query=any,contains,991001428879702656","Catalog Record")</f>
        <v/>
      </c>
      <c r="AV464">
        <f>HYPERLINK("http://www.worldcat.org/oclc/19944332","WorldCat Record")</f>
        <v/>
      </c>
      <c r="AW464" t="inlineStr">
        <is>
          <t>1049911:eng</t>
        </is>
      </c>
      <c r="AX464" t="inlineStr">
        <is>
          <t>19944332</t>
        </is>
      </c>
      <c r="AY464" t="inlineStr">
        <is>
          <t>991001428879702656</t>
        </is>
      </c>
      <c r="AZ464" t="inlineStr">
        <is>
          <t>991001428879702656</t>
        </is>
      </c>
      <c r="BA464" t="inlineStr">
        <is>
          <t>2269510860002656</t>
        </is>
      </c>
      <c r="BB464" t="inlineStr">
        <is>
          <t>BOOK</t>
        </is>
      </c>
      <c r="BD464" t="inlineStr">
        <is>
          <t>9780316745246</t>
        </is>
      </c>
      <c r="BE464" t="inlineStr">
        <is>
          <t>30001002528182</t>
        </is>
      </c>
      <c r="BF464" t="inlineStr">
        <is>
          <t>893731994</t>
        </is>
      </c>
    </row>
    <row r="465">
      <c r="A465" t="inlineStr">
        <is>
          <t>No</t>
        </is>
      </c>
      <c r="B465" t="inlineStr">
        <is>
          <t>CUHSL</t>
        </is>
      </c>
      <c r="C465" t="inlineStr">
        <is>
          <t>SHELVES</t>
        </is>
      </c>
      <c r="D465" t="inlineStr">
        <is>
          <t>WA 950 S559s 1990</t>
        </is>
      </c>
      <c r="E465" t="inlineStr">
        <is>
          <t>0                      WA 0950000S  559s        1990</t>
        </is>
      </c>
      <c r="F465" t="inlineStr">
        <is>
          <t>Statistics for health professionals / Susan Shott.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Shott, Susan, 1954-</t>
        </is>
      </c>
      <c r="N465" t="inlineStr">
        <is>
          <t>Philadelphia : Saunders, c1990.</t>
        </is>
      </c>
      <c r="O465" t="inlineStr">
        <is>
          <t>1990</t>
        </is>
      </c>
      <c r="Q465" t="inlineStr">
        <is>
          <t>eng</t>
        </is>
      </c>
      <c r="R465" t="inlineStr">
        <is>
          <t>xxu</t>
        </is>
      </c>
      <c r="T465" t="inlineStr">
        <is>
          <t xml:space="preserve">WA </t>
        </is>
      </c>
      <c r="U465" t="n">
        <v>45</v>
      </c>
      <c r="V465" t="n">
        <v>45</v>
      </c>
      <c r="W465" t="inlineStr">
        <is>
          <t>2004-05-11</t>
        </is>
      </c>
      <c r="X465" t="inlineStr">
        <is>
          <t>2004-05-11</t>
        </is>
      </c>
      <c r="Y465" t="inlineStr">
        <is>
          <t>1991-02-16</t>
        </is>
      </c>
      <c r="Z465" t="inlineStr">
        <is>
          <t>1991-02-16</t>
        </is>
      </c>
      <c r="AA465" t="n">
        <v>507</v>
      </c>
      <c r="AB465" t="n">
        <v>425</v>
      </c>
      <c r="AC465" t="n">
        <v>432</v>
      </c>
      <c r="AD465" t="n">
        <v>3</v>
      </c>
      <c r="AE465" t="n">
        <v>3</v>
      </c>
      <c r="AF465" t="n">
        <v>11</v>
      </c>
      <c r="AG465" t="n">
        <v>11</v>
      </c>
      <c r="AH465" t="n">
        <v>5</v>
      </c>
      <c r="AI465" t="n">
        <v>5</v>
      </c>
      <c r="AJ465" t="n">
        <v>1</v>
      </c>
      <c r="AK465" t="n">
        <v>1</v>
      </c>
      <c r="AL465" t="n">
        <v>8</v>
      </c>
      <c r="AM465" t="n">
        <v>8</v>
      </c>
      <c r="AN465" t="n">
        <v>1</v>
      </c>
      <c r="AO465" t="n">
        <v>1</v>
      </c>
      <c r="AP465" t="n">
        <v>0</v>
      </c>
      <c r="AQ465" t="n">
        <v>0</v>
      </c>
      <c r="AR465" t="inlineStr">
        <is>
          <t>No</t>
        </is>
      </c>
      <c r="AS465" t="inlineStr">
        <is>
          <t>Yes</t>
        </is>
      </c>
      <c r="AT465">
        <f>HYPERLINK("http://catalog.hathitrust.org/Record/004494393","HathiTrust Record")</f>
        <v/>
      </c>
      <c r="AU465">
        <f>HYPERLINK("https://creighton-primo.hosted.exlibrisgroup.com/primo-explore/search?tab=default_tab&amp;search_scope=EVERYTHING&amp;vid=01CRU&amp;lang=en_US&amp;offset=0&amp;query=any,contains,991000820379702656","Catalog Record")</f>
        <v/>
      </c>
      <c r="AV465">
        <f>HYPERLINK("http://www.worldcat.org/oclc/20691847","WorldCat Record")</f>
        <v/>
      </c>
      <c r="AW465" t="inlineStr">
        <is>
          <t>22690930:eng</t>
        </is>
      </c>
      <c r="AX465" t="inlineStr">
        <is>
          <t>20691847</t>
        </is>
      </c>
      <c r="AY465" t="inlineStr">
        <is>
          <t>991000820379702656</t>
        </is>
      </c>
      <c r="AZ465" t="inlineStr">
        <is>
          <t>991000820379702656</t>
        </is>
      </c>
      <c r="BA465" t="inlineStr">
        <is>
          <t>2265507430002656</t>
        </is>
      </c>
      <c r="BB465" t="inlineStr">
        <is>
          <t>BOOK</t>
        </is>
      </c>
      <c r="BD465" t="inlineStr">
        <is>
          <t>9780721682549</t>
        </is>
      </c>
      <c r="BE465" t="inlineStr">
        <is>
          <t>30001002087452</t>
        </is>
      </c>
      <c r="BF465" t="inlineStr">
        <is>
          <t>893455079</t>
        </is>
      </c>
    </row>
    <row r="466">
      <c r="A466" t="inlineStr">
        <is>
          <t>No</t>
        </is>
      </c>
      <c r="B466" t="inlineStr">
        <is>
          <t>CUHSL</t>
        </is>
      </c>
      <c r="C466" t="inlineStr">
        <is>
          <t>SHELVES</t>
        </is>
      </c>
      <c r="D466" t="inlineStr">
        <is>
          <t>WA 950 S915h 1991</t>
        </is>
      </c>
      <c r="E466" t="inlineStr">
        <is>
          <t>0                      WA 0950000S  915h        1991</t>
        </is>
      </c>
      <c r="F466" t="inlineStr">
        <is>
          <t>Health measurement scales : a practical guide to their development and use / David L. Streiner and Geoffrey R. Norman.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Yes</t>
        </is>
      </c>
      <c r="L466" t="inlineStr">
        <is>
          <t>1</t>
        </is>
      </c>
      <c r="M466" t="inlineStr">
        <is>
          <t>Streiner, David L.</t>
        </is>
      </c>
      <c r="N466" t="inlineStr">
        <is>
          <t>Oxford ; New York : Oxford University Press, c1991.</t>
        </is>
      </c>
      <c r="O466" t="inlineStr">
        <is>
          <t>1991</t>
        </is>
      </c>
      <c r="Q466" t="inlineStr">
        <is>
          <t>eng</t>
        </is>
      </c>
      <c r="R466" t="inlineStr">
        <is>
          <t>enk</t>
        </is>
      </c>
      <c r="S466" t="inlineStr">
        <is>
          <t>Oxford medical publications</t>
        </is>
      </c>
      <c r="T466" t="inlineStr">
        <is>
          <t xml:space="preserve">WA </t>
        </is>
      </c>
      <c r="U466" t="n">
        <v>7</v>
      </c>
      <c r="V466" t="n">
        <v>7</v>
      </c>
      <c r="W466" t="inlineStr">
        <is>
          <t>1999-07-16</t>
        </is>
      </c>
      <c r="X466" t="inlineStr">
        <is>
          <t>1999-07-16</t>
        </is>
      </c>
      <c r="Y466" t="inlineStr">
        <is>
          <t>1992-03-23</t>
        </is>
      </c>
      <c r="Z466" t="inlineStr">
        <is>
          <t>1992-03-23</t>
        </is>
      </c>
      <c r="AA466" t="n">
        <v>52</v>
      </c>
      <c r="AB466" t="n">
        <v>13</v>
      </c>
      <c r="AC466" t="n">
        <v>1113</v>
      </c>
      <c r="AD466" t="n">
        <v>1</v>
      </c>
      <c r="AE466" t="n">
        <v>15</v>
      </c>
      <c r="AF466" t="n">
        <v>0</v>
      </c>
      <c r="AG466" t="n">
        <v>55</v>
      </c>
      <c r="AH466" t="n">
        <v>0</v>
      </c>
      <c r="AI466" t="n">
        <v>19</v>
      </c>
      <c r="AJ466" t="n">
        <v>0</v>
      </c>
      <c r="AK466" t="n">
        <v>12</v>
      </c>
      <c r="AL466" t="n">
        <v>0</v>
      </c>
      <c r="AM466" t="n">
        <v>17</v>
      </c>
      <c r="AN466" t="n">
        <v>0</v>
      </c>
      <c r="AO466" t="n">
        <v>13</v>
      </c>
      <c r="AP466" t="n">
        <v>0</v>
      </c>
      <c r="AQ466" t="n">
        <v>3</v>
      </c>
      <c r="AR466" t="inlineStr">
        <is>
          <t>No</t>
        </is>
      </c>
      <c r="AS466" t="inlineStr">
        <is>
          <t>No</t>
        </is>
      </c>
      <c r="AU466">
        <f>HYPERLINK("https://creighton-primo.hosted.exlibrisgroup.com/primo-explore/search?tab=default_tab&amp;search_scope=EVERYTHING&amp;vid=01CRU&amp;lang=en_US&amp;offset=0&amp;query=any,contains,991001298539702656","Catalog Record")</f>
        <v/>
      </c>
      <c r="AV466">
        <f>HYPERLINK("http://www.worldcat.org/oclc/24768716","WorldCat Record")</f>
        <v/>
      </c>
      <c r="AW466" t="inlineStr">
        <is>
          <t>796604746:eng</t>
        </is>
      </c>
      <c r="AX466" t="inlineStr">
        <is>
          <t>24768716</t>
        </is>
      </c>
      <c r="AY466" t="inlineStr">
        <is>
          <t>991001298539702656</t>
        </is>
      </c>
      <c r="AZ466" t="inlineStr">
        <is>
          <t>991001298539702656</t>
        </is>
      </c>
      <c r="BA466" t="inlineStr">
        <is>
          <t>2254722150002656</t>
        </is>
      </c>
      <c r="BB466" t="inlineStr">
        <is>
          <t>BOOK</t>
        </is>
      </c>
      <c r="BD466" t="inlineStr">
        <is>
          <t>9780192620477</t>
        </is>
      </c>
      <c r="BE466" t="inlineStr">
        <is>
          <t>30001002410902</t>
        </is>
      </c>
      <c r="BF466" t="inlineStr">
        <is>
          <t>893643441</t>
        </is>
      </c>
    </row>
    <row r="467">
      <c r="A467" t="inlineStr">
        <is>
          <t>No</t>
        </is>
      </c>
      <c r="B467" t="inlineStr">
        <is>
          <t>CUHSL</t>
        </is>
      </c>
      <c r="C467" t="inlineStr">
        <is>
          <t>SHELVES</t>
        </is>
      </c>
      <c r="D467" t="inlineStr">
        <is>
          <t>WA950 S915h 2003</t>
        </is>
      </c>
      <c r="E467" t="inlineStr">
        <is>
          <t>0                      WA 0950000S  915h        2003</t>
        </is>
      </c>
      <c r="F467" t="inlineStr">
        <is>
          <t>Health measurement scales : a practical guide to their development and use / David L. Streiner and Geoffrey R. Norman.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Yes</t>
        </is>
      </c>
      <c r="L467" t="inlineStr">
        <is>
          <t>1</t>
        </is>
      </c>
      <c r="M467" t="inlineStr">
        <is>
          <t>Streiner, David L.</t>
        </is>
      </c>
      <c r="N467" t="inlineStr">
        <is>
          <t>Oxford ; New York : Oxford University Press, 2003.</t>
        </is>
      </c>
      <c r="O467" t="inlineStr">
        <is>
          <t>2003</t>
        </is>
      </c>
      <c r="P467" t="inlineStr">
        <is>
          <t>3rd ed.</t>
        </is>
      </c>
      <c r="Q467" t="inlineStr">
        <is>
          <t>eng</t>
        </is>
      </c>
      <c r="R467" t="inlineStr">
        <is>
          <t>enk</t>
        </is>
      </c>
      <c r="S467" t="inlineStr">
        <is>
          <t>Oxford medical publications</t>
        </is>
      </c>
      <c r="T467" t="inlineStr">
        <is>
          <t xml:space="preserve">WA </t>
        </is>
      </c>
      <c r="U467" t="n">
        <v>2</v>
      </c>
      <c r="V467" t="n">
        <v>2</v>
      </c>
      <c r="W467" t="inlineStr">
        <is>
          <t>2007-03-02</t>
        </is>
      </c>
      <c r="X467" t="inlineStr">
        <is>
          <t>2007-03-02</t>
        </is>
      </c>
      <c r="Y467" t="inlineStr">
        <is>
          <t>2006-02-23</t>
        </is>
      </c>
      <c r="Z467" t="inlineStr">
        <is>
          <t>2006-02-23</t>
        </is>
      </c>
      <c r="AA467" t="n">
        <v>300</v>
      </c>
      <c r="AB467" t="n">
        <v>174</v>
      </c>
      <c r="AC467" t="n">
        <v>1113</v>
      </c>
      <c r="AD467" t="n">
        <v>3</v>
      </c>
      <c r="AE467" t="n">
        <v>15</v>
      </c>
      <c r="AF467" t="n">
        <v>10</v>
      </c>
      <c r="AG467" t="n">
        <v>55</v>
      </c>
      <c r="AH467" t="n">
        <v>0</v>
      </c>
      <c r="AI467" t="n">
        <v>19</v>
      </c>
      <c r="AJ467" t="n">
        <v>5</v>
      </c>
      <c r="AK467" t="n">
        <v>12</v>
      </c>
      <c r="AL467" t="n">
        <v>4</v>
      </c>
      <c r="AM467" t="n">
        <v>17</v>
      </c>
      <c r="AN467" t="n">
        <v>2</v>
      </c>
      <c r="AO467" t="n">
        <v>13</v>
      </c>
      <c r="AP467" t="n">
        <v>0</v>
      </c>
      <c r="AQ467" t="n">
        <v>3</v>
      </c>
      <c r="AR467" t="inlineStr">
        <is>
          <t>No</t>
        </is>
      </c>
      <c r="AS467" t="inlineStr">
        <is>
          <t>No</t>
        </is>
      </c>
      <c r="AU467">
        <f>HYPERLINK("https://creighton-primo.hosted.exlibrisgroup.com/primo-explore/search?tab=default_tab&amp;search_scope=EVERYTHING&amp;vid=01CRU&amp;lang=en_US&amp;offset=0&amp;query=any,contains,991000465959702656","Catalog Record")</f>
        <v/>
      </c>
      <c r="AV467">
        <f>HYPERLINK("http://www.worldcat.org/oclc/52784698","WorldCat Record")</f>
        <v/>
      </c>
      <c r="AW467" t="inlineStr">
        <is>
          <t>796604746:eng</t>
        </is>
      </c>
      <c r="AX467" t="inlineStr">
        <is>
          <t>52784698</t>
        </is>
      </c>
      <c r="AY467" t="inlineStr">
        <is>
          <t>991000465959702656</t>
        </is>
      </c>
      <c r="AZ467" t="inlineStr">
        <is>
          <t>991000465959702656</t>
        </is>
      </c>
      <c r="BA467" t="inlineStr">
        <is>
          <t>2261334270002656</t>
        </is>
      </c>
      <c r="BB467" t="inlineStr">
        <is>
          <t>BOOK</t>
        </is>
      </c>
      <c r="BD467" t="inlineStr">
        <is>
          <t>9780198528470</t>
        </is>
      </c>
      <c r="BE467" t="inlineStr">
        <is>
          <t>30001004911113</t>
        </is>
      </c>
      <c r="BF467" t="inlineStr">
        <is>
          <t>893723577</t>
        </is>
      </c>
    </row>
    <row r="468">
      <c r="A468" t="inlineStr">
        <is>
          <t>No</t>
        </is>
      </c>
      <c r="B468" t="inlineStr">
        <is>
          <t>CUHSL</t>
        </is>
      </c>
      <c r="C468" t="inlineStr">
        <is>
          <t>SHELVES</t>
        </is>
      </c>
      <c r="D468" t="inlineStr">
        <is>
          <t>WA 950 V136e 1992</t>
        </is>
      </c>
      <c r="E468" t="inlineStr">
        <is>
          <t>0                      WA 0950000V  136e        1992</t>
        </is>
      </c>
      <c r="F468" t="inlineStr">
        <is>
          <t>Epidemiology in nursing and health care / Barbara Valanis ; [with contributions by Karen Labuhn, Linda Shortridge, Mary Ann Woodbury].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Valanis, Barbara.</t>
        </is>
      </c>
      <c r="N468" t="inlineStr">
        <is>
          <t>Norwalk, Conn. : Appleton &amp; Lange, c1992.</t>
        </is>
      </c>
      <c r="O468" t="inlineStr">
        <is>
          <t>1992</t>
        </is>
      </c>
      <c r="P468" t="inlineStr">
        <is>
          <t>2nd ed.</t>
        </is>
      </c>
      <c r="Q468" t="inlineStr">
        <is>
          <t>eng</t>
        </is>
      </c>
      <c r="R468" t="inlineStr">
        <is>
          <t>xxu</t>
        </is>
      </c>
      <c r="T468" t="inlineStr">
        <is>
          <t xml:space="preserve">WA </t>
        </is>
      </c>
      <c r="U468" t="n">
        <v>4</v>
      </c>
      <c r="V468" t="n">
        <v>4</v>
      </c>
      <c r="W468" t="inlineStr">
        <is>
          <t>2005-09-29</t>
        </is>
      </c>
      <c r="X468" t="inlineStr">
        <is>
          <t>2005-09-29</t>
        </is>
      </c>
      <c r="Y468" t="inlineStr">
        <is>
          <t>1992-05-06</t>
        </is>
      </c>
      <c r="Z468" t="inlineStr">
        <is>
          <t>1992-05-06</t>
        </is>
      </c>
      <c r="AA468" t="n">
        <v>344</v>
      </c>
      <c r="AB468" t="n">
        <v>263</v>
      </c>
      <c r="AC468" t="n">
        <v>403</v>
      </c>
      <c r="AD468" t="n">
        <v>3</v>
      </c>
      <c r="AE468" t="n">
        <v>3</v>
      </c>
      <c r="AF468" t="n">
        <v>12</v>
      </c>
      <c r="AG468" t="n">
        <v>16</v>
      </c>
      <c r="AH468" t="n">
        <v>4</v>
      </c>
      <c r="AI468" t="n">
        <v>7</v>
      </c>
      <c r="AJ468" t="n">
        <v>3</v>
      </c>
      <c r="AK468" t="n">
        <v>3</v>
      </c>
      <c r="AL468" t="n">
        <v>9</v>
      </c>
      <c r="AM468" t="n">
        <v>12</v>
      </c>
      <c r="AN468" t="n">
        <v>1</v>
      </c>
      <c r="AO468" t="n">
        <v>1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HYPERLINK("https://creighton-primo.hosted.exlibrisgroup.com/primo-explore/search?tab=default_tab&amp;search_scope=EVERYTHING&amp;vid=01CRU&amp;lang=en_US&amp;offset=0&amp;query=any,contains,991001301089702656","Catalog Record")</f>
        <v/>
      </c>
      <c r="AV468">
        <f>HYPERLINK("http://www.worldcat.org/oclc/24870912","WorldCat Record")</f>
        <v/>
      </c>
      <c r="AW468" t="inlineStr">
        <is>
          <t>5706977:eng</t>
        </is>
      </c>
      <c r="AX468" t="inlineStr">
        <is>
          <t>24870912</t>
        </is>
      </c>
      <c r="AY468" t="inlineStr">
        <is>
          <t>991001301089702656</t>
        </is>
      </c>
      <c r="AZ468" t="inlineStr">
        <is>
          <t>991001301089702656</t>
        </is>
      </c>
      <c r="BA468" t="inlineStr">
        <is>
          <t>2270286440002656</t>
        </is>
      </c>
      <c r="BB468" t="inlineStr">
        <is>
          <t>BOOK</t>
        </is>
      </c>
      <c r="BD468" t="inlineStr">
        <is>
          <t>9780838522264</t>
        </is>
      </c>
      <c r="BE468" t="inlineStr">
        <is>
          <t>30001002411728</t>
        </is>
      </c>
      <c r="BF468" t="inlineStr">
        <is>
          <t>893465390</t>
        </is>
      </c>
    </row>
    <row r="469">
      <c r="A469" t="inlineStr">
        <is>
          <t>No</t>
        </is>
      </c>
      <c r="B469" t="inlineStr">
        <is>
          <t>CUHSL</t>
        </is>
      </c>
      <c r="C469" t="inlineStr">
        <is>
          <t>SHELVES</t>
        </is>
      </c>
      <c r="D469" t="inlineStr">
        <is>
          <t>WA 950 V136e 1999</t>
        </is>
      </c>
      <c r="E469" t="inlineStr">
        <is>
          <t>0                      WA 0950000V  136e        1999</t>
        </is>
      </c>
      <c r="F469" t="inlineStr">
        <is>
          <t>Epidemiology in health care / Barbara Valanis.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Valanis, Barbara.</t>
        </is>
      </c>
      <c r="N469" t="inlineStr">
        <is>
          <t>Stamford, Conn. : Appleton &amp; Lange, c1999.</t>
        </is>
      </c>
      <c r="O469" t="inlineStr">
        <is>
          <t>1999</t>
        </is>
      </c>
      <c r="P469" t="inlineStr">
        <is>
          <t>3rd ed.</t>
        </is>
      </c>
      <c r="Q469" t="inlineStr">
        <is>
          <t>eng</t>
        </is>
      </c>
      <c r="R469" t="inlineStr">
        <is>
          <t>ctu</t>
        </is>
      </c>
      <c r="T469" t="inlineStr">
        <is>
          <t xml:space="preserve">WA </t>
        </is>
      </c>
      <c r="U469" t="n">
        <v>13</v>
      </c>
      <c r="V469" t="n">
        <v>13</v>
      </c>
      <c r="W469" t="inlineStr">
        <is>
          <t>2003-11-17</t>
        </is>
      </c>
      <c r="X469" t="inlineStr">
        <is>
          <t>2003-11-17</t>
        </is>
      </c>
      <c r="Y469" t="inlineStr">
        <is>
          <t>2000-01-10</t>
        </is>
      </c>
      <c r="Z469" t="inlineStr">
        <is>
          <t>2000-01-10</t>
        </is>
      </c>
      <c r="AA469" t="n">
        <v>270</v>
      </c>
      <c r="AB469" t="n">
        <v>194</v>
      </c>
      <c r="AC469" t="n">
        <v>203</v>
      </c>
      <c r="AD469" t="n">
        <v>1</v>
      </c>
      <c r="AE469" t="n">
        <v>1</v>
      </c>
      <c r="AF469" t="n">
        <v>11</v>
      </c>
      <c r="AG469" t="n">
        <v>11</v>
      </c>
      <c r="AH469" t="n">
        <v>4</v>
      </c>
      <c r="AI469" t="n">
        <v>4</v>
      </c>
      <c r="AJ469" t="n">
        <v>3</v>
      </c>
      <c r="AK469" t="n">
        <v>3</v>
      </c>
      <c r="AL469" t="n">
        <v>6</v>
      </c>
      <c r="AM469" t="n">
        <v>6</v>
      </c>
      <c r="AN469" t="n">
        <v>0</v>
      </c>
      <c r="AO469" t="n">
        <v>0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HYPERLINK("http://catalog.hathitrust.org/Record/005614312","HathiTrust Record")</f>
        <v/>
      </c>
      <c r="AU469">
        <f>HYPERLINK("https://creighton-primo.hosted.exlibrisgroup.com/primo-explore/search?tab=default_tab&amp;search_scope=EVERYTHING&amp;vid=01CRU&amp;lang=en_US&amp;offset=0&amp;query=any,contains,991001800929702656","Catalog Record")</f>
        <v/>
      </c>
      <c r="AV469">
        <f>HYPERLINK("http://www.worldcat.org/oclc/42976719","WorldCat Record")</f>
        <v/>
      </c>
      <c r="AW469" t="inlineStr">
        <is>
          <t>3857487489:eng</t>
        </is>
      </c>
      <c r="AX469" t="inlineStr">
        <is>
          <t>42976719</t>
        </is>
      </c>
      <c r="AY469" t="inlineStr">
        <is>
          <t>991001800929702656</t>
        </is>
      </c>
      <c r="AZ469" t="inlineStr">
        <is>
          <t>991001800929702656</t>
        </is>
      </c>
      <c r="BA469" t="inlineStr">
        <is>
          <t>2255570240002656</t>
        </is>
      </c>
      <c r="BB469" t="inlineStr">
        <is>
          <t>BOOK</t>
        </is>
      </c>
      <c r="BD469" t="inlineStr">
        <is>
          <t>9780838522271</t>
        </is>
      </c>
      <c r="BE469" t="inlineStr">
        <is>
          <t>30001003890318</t>
        </is>
      </c>
      <c r="BF469" t="inlineStr">
        <is>
          <t>893274606</t>
        </is>
      </c>
    </row>
    <row r="470">
      <c r="A470" t="inlineStr">
        <is>
          <t>No</t>
        </is>
      </c>
      <c r="B470" t="inlineStr">
        <is>
          <t>CUHSL</t>
        </is>
      </c>
      <c r="C470" t="inlineStr">
        <is>
          <t>SHELVES</t>
        </is>
      </c>
      <c r="D470" t="inlineStr">
        <is>
          <t>WA 950 W424b 1985</t>
        </is>
      </c>
      <c r="E470" t="inlineStr">
        <is>
          <t>0                      WA 0950000W  424b        1985</t>
        </is>
      </c>
      <c r="F470" t="inlineStr">
        <is>
          <t>Biostats : data analysis for dental health care professionals / Jane A. Weintraub, Chester W. Douglass, Dennis B. Gillings.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Weintraub, Jane A., 1954-</t>
        </is>
      </c>
      <c r="N470" t="inlineStr">
        <is>
          <t>Chapel Hill, N.C. : CAVCO Inc., c1985.</t>
        </is>
      </c>
      <c r="O470" t="inlineStr">
        <is>
          <t>1985</t>
        </is>
      </c>
      <c r="P470" t="inlineStr">
        <is>
          <t>2nd ed. rev.</t>
        </is>
      </c>
      <c r="Q470" t="inlineStr">
        <is>
          <t>eng</t>
        </is>
      </c>
      <c r="R470" t="inlineStr">
        <is>
          <t>ncu</t>
        </is>
      </c>
      <c r="T470" t="inlineStr">
        <is>
          <t xml:space="preserve">WA </t>
        </is>
      </c>
      <c r="U470" t="n">
        <v>11</v>
      </c>
      <c r="V470" t="n">
        <v>11</v>
      </c>
      <c r="W470" t="inlineStr">
        <is>
          <t>2004-07-09</t>
        </is>
      </c>
      <c r="X470" t="inlineStr">
        <is>
          <t>2004-07-09</t>
        </is>
      </c>
      <c r="Y470" t="inlineStr">
        <is>
          <t>1991-09-11</t>
        </is>
      </c>
      <c r="Z470" t="inlineStr">
        <is>
          <t>1991-09-11</t>
        </is>
      </c>
      <c r="AA470" t="n">
        <v>60</v>
      </c>
      <c r="AB470" t="n">
        <v>45</v>
      </c>
      <c r="AC470" t="n">
        <v>51</v>
      </c>
      <c r="AD470" t="n">
        <v>2</v>
      </c>
      <c r="AE470" t="n">
        <v>2</v>
      </c>
      <c r="AF470" t="n">
        <v>2</v>
      </c>
      <c r="AG470" t="n">
        <v>3</v>
      </c>
      <c r="AH470" t="n">
        <v>0</v>
      </c>
      <c r="AI470" t="n">
        <v>0</v>
      </c>
      <c r="AJ470" t="n">
        <v>1</v>
      </c>
      <c r="AK470" t="n">
        <v>1</v>
      </c>
      <c r="AL470" t="n">
        <v>1</v>
      </c>
      <c r="AM470" t="n">
        <v>2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HYPERLINK("http://catalog.hathitrust.org/Record/000623959","HathiTrust Record")</f>
        <v/>
      </c>
      <c r="AU470">
        <f>HYPERLINK("https://creighton-primo.hosted.exlibrisgroup.com/primo-explore/search?tab=default_tab&amp;search_scope=EVERYTHING&amp;vid=01CRU&amp;lang=en_US&amp;offset=0&amp;query=any,contains,991000947099702656","Catalog Record")</f>
        <v/>
      </c>
      <c r="AV470">
        <f>HYPERLINK("http://www.worldcat.org/oclc/12135090","WorldCat Record")</f>
        <v/>
      </c>
      <c r="AW470" t="inlineStr">
        <is>
          <t>3942324:eng</t>
        </is>
      </c>
      <c r="AX470" t="inlineStr">
        <is>
          <t>12135090</t>
        </is>
      </c>
      <c r="AY470" t="inlineStr">
        <is>
          <t>991000947099702656</t>
        </is>
      </c>
      <c r="AZ470" t="inlineStr">
        <is>
          <t>991000947099702656</t>
        </is>
      </c>
      <c r="BA470" t="inlineStr">
        <is>
          <t>2260058490002656</t>
        </is>
      </c>
      <c r="BB470" t="inlineStr">
        <is>
          <t>BOOK</t>
        </is>
      </c>
      <c r="BD470" t="inlineStr">
        <is>
          <t>9780932137012</t>
        </is>
      </c>
      <c r="BE470" t="inlineStr">
        <is>
          <t>30001002194092</t>
        </is>
      </c>
      <c r="BF470" t="inlineStr">
        <is>
          <t>893632523</t>
        </is>
      </c>
    </row>
    <row r="471">
      <c r="A471" t="inlineStr">
        <is>
          <t>No</t>
        </is>
      </c>
      <c r="B471" t="inlineStr">
        <is>
          <t>CUHSL</t>
        </is>
      </c>
      <c r="C471" t="inlineStr">
        <is>
          <t>SHELVES</t>
        </is>
      </c>
      <c r="D471" t="inlineStr">
        <is>
          <t>ZWA 300 A615 1993</t>
        </is>
      </c>
      <c r="E471" t="inlineStr">
        <is>
          <t>0Z                     WA 0300000A  615         1993</t>
        </is>
      </c>
      <c r="F471" t="inlineStr">
        <is>
          <t>Annual review of women's health / edited by Beverly J. McElmurry and Randy Spreen Parker.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N471" t="inlineStr">
        <is>
          <t>New York, NY : National League for Nursing Press, c1993.</t>
        </is>
      </c>
      <c r="O471" t="inlineStr">
        <is>
          <t>1993</t>
        </is>
      </c>
      <c r="Q471" t="inlineStr">
        <is>
          <t>eng</t>
        </is>
      </c>
      <c r="R471" t="inlineStr">
        <is>
          <t>nyu</t>
        </is>
      </c>
      <c r="S471" t="inlineStr">
        <is>
          <t>NLN pub. no. 19-2546.</t>
        </is>
      </c>
      <c r="T471" t="inlineStr">
        <is>
          <t xml:space="preserve">WA </t>
        </is>
      </c>
      <c r="U471" t="n">
        <v>0</v>
      </c>
      <c r="V471" t="n">
        <v>0</v>
      </c>
      <c r="W471" t="inlineStr">
        <is>
          <t>2007-04-16</t>
        </is>
      </c>
      <c r="X471" t="inlineStr">
        <is>
          <t>2007-04-16</t>
        </is>
      </c>
      <c r="Y471" t="inlineStr">
        <is>
          <t>2000-06-15</t>
        </is>
      </c>
      <c r="Z471" t="inlineStr">
        <is>
          <t>2000-06-15</t>
        </is>
      </c>
      <c r="AA471" t="n">
        <v>75</v>
      </c>
      <c r="AB471" t="n">
        <v>69</v>
      </c>
      <c r="AC471" t="n">
        <v>70</v>
      </c>
      <c r="AD471" t="n">
        <v>2</v>
      </c>
      <c r="AE471" t="n">
        <v>2</v>
      </c>
      <c r="AF471" t="n">
        <v>2</v>
      </c>
      <c r="AG471" t="n">
        <v>2</v>
      </c>
      <c r="AH471" t="n">
        <v>0</v>
      </c>
      <c r="AI471" t="n">
        <v>0</v>
      </c>
      <c r="AJ471" t="n">
        <v>0</v>
      </c>
      <c r="AK471" t="n">
        <v>0</v>
      </c>
      <c r="AL471" t="n">
        <v>2</v>
      </c>
      <c r="AM471" t="n">
        <v>2</v>
      </c>
      <c r="AN471" t="n">
        <v>0</v>
      </c>
      <c r="AO471" t="n">
        <v>0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U471">
        <f>HYPERLINK("https://creighton-primo.hosted.exlibrisgroup.com/primo-explore/search?tab=default_tab&amp;search_scope=EVERYTHING&amp;vid=01CRU&amp;lang=en_US&amp;offset=0&amp;query=any,contains,991000246069702656","Catalog Record")</f>
        <v/>
      </c>
      <c r="AV471">
        <f>HYPERLINK("http://www.worldcat.org/oclc/29649634","WorldCat Record")</f>
        <v/>
      </c>
      <c r="AW471" t="inlineStr">
        <is>
          <t>2864770173:eng</t>
        </is>
      </c>
      <c r="AX471" t="inlineStr">
        <is>
          <t>29649634</t>
        </is>
      </c>
      <c r="AY471" t="inlineStr">
        <is>
          <t>991000246069702656</t>
        </is>
      </c>
      <c r="AZ471" t="inlineStr">
        <is>
          <t>991000246069702656</t>
        </is>
      </c>
      <c r="BA471" t="inlineStr">
        <is>
          <t>2262675800002656</t>
        </is>
      </c>
      <c r="BB471" t="inlineStr">
        <is>
          <t>BOOK</t>
        </is>
      </c>
      <c r="BE471" t="inlineStr">
        <is>
          <t>30001002950147</t>
        </is>
      </c>
      <c r="BF471" t="inlineStr">
        <is>
          <t>893633563</t>
        </is>
      </c>
    </row>
    <row r="472">
      <c r="A472" t="inlineStr">
        <is>
          <t>No</t>
        </is>
      </c>
      <c r="B472" t="inlineStr">
        <is>
          <t>CUHSL</t>
        </is>
      </c>
      <c r="C472" t="inlineStr">
        <is>
          <t>SHELVES</t>
        </is>
      </c>
      <c r="D472" t="inlineStr">
        <is>
          <t>ZWA 300 A615 1995</t>
        </is>
      </c>
      <c r="E472" t="inlineStr">
        <is>
          <t>0Z                     WA 0300000A  615         1995</t>
        </is>
      </c>
      <c r="F472" t="inlineStr">
        <is>
          <t>Annual review of women's health vol. III / edited by Beverly J. McElmurry and Randy Spreen Parker.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N472" t="inlineStr">
        <is>
          <t>New York, NY : National League for Nursing Press, c1996.</t>
        </is>
      </c>
      <c r="O472" t="inlineStr">
        <is>
          <t>1996</t>
        </is>
      </c>
      <c r="Q472" t="inlineStr">
        <is>
          <t>eng</t>
        </is>
      </c>
      <c r="R472" t="inlineStr">
        <is>
          <t>nyu</t>
        </is>
      </c>
      <c r="S472" t="inlineStr">
        <is>
          <t>NLN publication ; no. 14-672x</t>
        </is>
      </c>
      <c r="T472" t="inlineStr">
        <is>
          <t xml:space="preserve">WA </t>
        </is>
      </c>
      <c r="U472" t="n">
        <v>0</v>
      </c>
      <c r="V472" t="n">
        <v>0</v>
      </c>
      <c r="W472" t="inlineStr">
        <is>
          <t>2007-04-16</t>
        </is>
      </c>
      <c r="X472" t="inlineStr">
        <is>
          <t>2007-04-16</t>
        </is>
      </c>
      <c r="Y472" t="inlineStr">
        <is>
          <t>2000-06-15</t>
        </is>
      </c>
      <c r="Z472" t="inlineStr">
        <is>
          <t>2000-06-15</t>
        </is>
      </c>
      <c r="AA472" t="n">
        <v>24</v>
      </c>
      <c r="AB472" t="n">
        <v>22</v>
      </c>
      <c r="AC472" t="n">
        <v>22</v>
      </c>
      <c r="AD472" t="n">
        <v>1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HYPERLINK("https://creighton-primo.hosted.exlibrisgroup.com/primo-explore/search?tab=default_tab&amp;search_scope=EVERYTHING&amp;vid=01CRU&amp;lang=en_US&amp;offset=0&amp;query=any,contains,991000264989702656","Catalog Record")</f>
        <v/>
      </c>
      <c r="AV472">
        <f>HYPERLINK("http://www.worldcat.org/oclc/36259310","WorldCat Record")</f>
        <v/>
      </c>
      <c r="AW472" t="inlineStr">
        <is>
          <t>3377248393:eng</t>
        </is>
      </c>
      <c r="AX472" t="inlineStr">
        <is>
          <t>36259310</t>
        </is>
      </c>
      <c r="AY472" t="inlineStr">
        <is>
          <t>991000264989702656</t>
        </is>
      </c>
      <c r="AZ472" t="inlineStr">
        <is>
          <t>991000264989702656</t>
        </is>
      </c>
      <c r="BA472" t="inlineStr">
        <is>
          <t>2262792110002656</t>
        </is>
      </c>
      <c r="BB472" t="inlineStr">
        <is>
          <t>BOOK</t>
        </is>
      </c>
      <c r="BE472" t="inlineStr">
        <is>
          <t>30001003524453</t>
        </is>
      </c>
      <c r="BF472" t="inlineStr">
        <is>
          <t>893832737</t>
        </is>
      </c>
    </row>
    <row r="473">
      <c r="A473" t="inlineStr">
        <is>
          <t>No</t>
        </is>
      </c>
      <c r="B473" t="inlineStr">
        <is>
          <t>CUHSL</t>
        </is>
      </c>
      <c r="C473" t="inlineStr">
        <is>
          <t>SHELVES</t>
        </is>
      </c>
      <c r="D473" t="inlineStr">
        <is>
          <t>ZWA 300 A615 1995 vII</t>
        </is>
      </c>
      <c r="E473" t="inlineStr">
        <is>
          <t>0Z                     WA 0300000A  615         1995                                        vII</t>
        </is>
      </c>
      <c r="F473" t="inlineStr">
        <is>
          <t>Annual review of women's health vol. II / edited by Beverly J. McElmurry and Randy Spreen Parker.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N473" t="inlineStr">
        <is>
          <t>New York, NY : National League for Nursing Press, c1995.</t>
        </is>
      </c>
      <c r="O473" t="inlineStr">
        <is>
          <t>1995</t>
        </is>
      </c>
      <c r="Q473" t="inlineStr">
        <is>
          <t>eng</t>
        </is>
      </c>
      <c r="R473" t="inlineStr">
        <is>
          <t>nyu</t>
        </is>
      </c>
      <c r="S473" t="inlineStr">
        <is>
          <t>NLN pub. no. 19-2669</t>
        </is>
      </c>
      <c r="T473" t="inlineStr">
        <is>
          <t xml:space="preserve">WA </t>
        </is>
      </c>
      <c r="U473" t="n">
        <v>1</v>
      </c>
      <c r="V473" t="n">
        <v>1</v>
      </c>
      <c r="W473" t="inlineStr">
        <is>
          <t>2007-04-16</t>
        </is>
      </c>
      <c r="X473" t="inlineStr">
        <is>
          <t>2007-04-16</t>
        </is>
      </c>
      <c r="Y473" t="inlineStr">
        <is>
          <t>2000-06-15</t>
        </is>
      </c>
      <c r="Z473" t="inlineStr">
        <is>
          <t>2000-06-15</t>
        </is>
      </c>
      <c r="AA473" t="n">
        <v>52</v>
      </c>
      <c r="AB473" t="n">
        <v>47</v>
      </c>
      <c r="AC473" t="n">
        <v>47</v>
      </c>
      <c r="AD473" t="n">
        <v>2</v>
      </c>
      <c r="AE473" t="n">
        <v>2</v>
      </c>
      <c r="AF473" t="n">
        <v>1</v>
      </c>
      <c r="AG473" t="n">
        <v>1</v>
      </c>
      <c r="AH473" t="n">
        <v>0</v>
      </c>
      <c r="AI473" t="n">
        <v>0</v>
      </c>
      <c r="AJ473" t="n">
        <v>0</v>
      </c>
      <c r="AK473" t="n">
        <v>0</v>
      </c>
      <c r="AL473" t="n">
        <v>1</v>
      </c>
      <c r="AM473" t="n">
        <v>1</v>
      </c>
      <c r="AN473" t="n">
        <v>0</v>
      </c>
      <c r="AO473" t="n">
        <v>0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HYPERLINK("https://creighton-primo.hosted.exlibrisgroup.com/primo-explore/search?tab=default_tab&amp;search_scope=EVERYTHING&amp;vid=01CRU&amp;lang=en_US&amp;offset=0&amp;query=any,contains,991000254369702656","Catalog Record")</f>
        <v/>
      </c>
      <c r="AV473">
        <f>HYPERLINK("http://www.worldcat.org/oclc/32463084","WorldCat Record")</f>
        <v/>
      </c>
      <c r="AW473" t="inlineStr">
        <is>
          <t>4021007710:eng</t>
        </is>
      </c>
      <c r="AX473" t="inlineStr">
        <is>
          <t>32463084</t>
        </is>
      </c>
      <c r="AY473" t="inlineStr">
        <is>
          <t>991000254369702656</t>
        </is>
      </c>
      <c r="AZ473" t="inlineStr">
        <is>
          <t>991000254369702656</t>
        </is>
      </c>
      <c r="BA473" t="inlineStr">
        <is>
          <t>2267923440002656</t>
        </is>
      </c>
      <c r="BB473" t="inlineStr">
        <is>
          <t>BOOK</t>
        </is>
      </c>
      <c r="BD473" t="inlineStr">
        <is>
          <t>9780887376368</t>
        </is>
      </c>
      <c r="BE473" t="inlineStr">
        <is>
          <t>30001003169010</t>
        </is>
      </c>
      <c r="BF473" t="inlineStr">
        <is>
          <t>893811284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